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1.xml" ContentType="application/vnd.openxmlformats-officedocument.spreadsheetml.comments+xml"/>
  <Override PartName="/xl/drawings/drawing4.xml" ContentType="application/vnd.openxmlformats-officedocument.drawing+xml"/>
  <Override PartName="/xl/ctrlProps/ctrlProp6.xml" ContentType="application/vnd.ms-excel.controlproperties+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https://batashoeorganization-my.sharepoint.com/personal/gerishom_khatete_bata_com/Documents/Desktop/All together/Modelled/"/>
    </mc:Choice>
  </mc:AlternateContent>
  <xr:revisionPtr revIDLastSave="0" documentId="13_ncr:1_{D4DA668A-18BA-4AF7-9DE4-3DA4AE4D8652}" xr6:coauthVersionLast="47" xr6:coauthVersionMax="47" xr10:uidLastSave="{00000000-0000-0000-0000-000000000000}"/>
  <bookViews>
    <workbookView xWindow="-108" yWindow="-108" windowWidth="23256" windowHeight="12456" xr2:uid="{00000000-000D-0000-FFFF-FFFF00000000}"/>
  </bookViews>
  <sheets>
    <sheet name="Cover" sheetId="7" r:id="rId1"/>
    <sheet name="Outputs" sheetId="3" r:id="rId2"/>
    <sheet name="Transaction" sheetId="5" r:id="rId3"/>
    <sheet name="Inputs" sheetId="4" r:id="rId4"/>
    <sheet name="Model" sheetId="1" r:id="rId5"/>
    <sheet name="Machines Set Up Costs" sheetId="14" r:id="rId6"/>
    <sheet name="Detail" sheetId="16" r:id="rId7"/>
    <sheet name="Project Timeline Schedule " sheetId="13" state="hidden" r:id="rId8"/>
    <sheet name="Market Players" sheetId="15" state="hidden" r:id="rId9"/>
    <sheet name="DCF Valuation" sheetId="11" r:id="rId10"/>
    <sheet name="Relative Valuation" sheetId="9" state="hidden" r:id="rId11"/>
    <sheet name="Football Field Chart" sheetId="10" state="hidden" r:id="rId12"/>
  </sheets>
  <definedNames>
    <definedName name="_xlchart.v5.0" hidden="1">Outputs!$T$55:$T$60</definedName>
    <definedName name="_xlchart.v5.1" hidden="1">Outputs!$U$55:$U$60</definedName>
    <definedName name="CIQWBGuid" hidden="1">"2cd8126d-26c3-430c-b7fa-a069e3a1fc62"</definedName>
    <definedName name="closure_units">Transaction!#REF!</definedName>
    <definedName name="Gross_Profit">#REF!</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OnHolidays">OFFSET(#REF!,,,COUNTA(#REF!),)</definedName>
    <definedName name="periodselected">#REF!</definedName>
    <definedName name="prevWBS" localSheetId="7">'Project Timeline Schedule '!$B1048576</definedName>
    <definedName name="_xlnm.Print_Area" localSheetId="0">Cover!$B$2:$Q$39</definedName>
    <definedName name="_xlnm.Print_Area" localSheetId="9">'DCF Valuation'!$B$85:$P$125,'DCF Valuation'!$B$128:$P$165,'DCF Valuation'!$B$168:$P$191,'DCF Valuation'!$B$194:$P$216</definedName>
    <definedName name="_xlnm.Print_Area" localSheetId="6">Detail!$A$1:$F$48</definedName>
    <definedName name="_xlnm.Print_Area" localSheetId="11">'Football Field Chart'!$B$3:$O$28</definedName>
    <definedName name="_xlnm.Print_Area" localSheetId="3">Inputs!$B$3:$L$44,Inputs!$A$46:$L$55,Inputs!$A$57:$L$80,Inputs!$B$83:$L$115</definedName>
    <definedName name="_xlnm.Print_Area" localSheetId="5">'Machines Set Up Costs'!$A$1:$K$31</definedName>
    <definedName name="_xlnm.Print_Area" localSheetId="4">Model!$B$3:$O$34,Model!#REF!,Model!$B$38:$O$75,Model!$B$78:$O$96,Model!$B$99:$O$127,Model!$B$130:$O$160,Model!$B$163:$O$199,Model!$B$201:$O$230,Model!$B$233:$O$276,Model!$B$279:$O$306,Model!$B$309:$O$348,Model!$B$351:$O$393,Model!$B$396:$O$433,Model!$B$436:$O$469,Model!$B$472:$O$508,Model!$B$511:$O$529,Model!$B$532:$O$573,Model!$B$576:$O$611</definedName>
    <definedName name="_xlnm.Print_Area" localSheetId="1">Outputs!$C$3:$R$46,Outputs!$C$49:$R$91,Outputs!$C$94:$R$131</definedName>
    <definedName name="_xlnm.Print_Area" localSheetId="7">'Project Timeline Schedule '!$B$1:$BO$40</definedName>
    <definedName name="_xlnm.Print_Area" localSheetId="10">'Relative Valuation'!$B$3:$Q$44,'Relative Valuation'!$B$47:$Q$79</definedName>
    <definedName name="_xlnm.Print_Area" localSheetId="2">Transaction!$B$3:$N$47,Transaction!$B$50:$N$94</definedName>
    <definedName name="scrolValue" localSheetId="6">#REF!</definedName>
    <definedName name="scrolValue" localSheetId="5">#REF!</definedName>
    <definedName name="scrolValue">#REF!</definedName>
    <definedName name="Sensitivity">#REF!</definedName>
    <definedName name="SG_A">#REF!</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1" i="4" l="1"/>
  <c r="I42" i="4"/>
  <c r="I40" i="4"/>
  <c r="J40" i="4" s="1"/>
  <c r="K40" i="4" s="1"/>
  <c r="L40" i="4" s="1"/>
  <c r="E10" i="1"/>
  <c r="N26" i="5"/>
  <c r="L36" i="4"/>
  <c r="K36" i="4"/>
  <c r="J36" i="4"/>
  <c r="I36" i="4"/>
  <c r="H53" i="4"/>
  <c r="I53" i="4" s="1"/>
  <c r="J53" i="4" s="1"/>
  <c r="K53" i="4" s="1"/>
  <c r="L53" i="4" s="1"/>
  <c r="J42" i="4"/>
  <c r="K42" i="4" s="1"/>
  <c r="L42" i="4" s="1"/>
  <c r="H107" i="4"/>
  <c r="C15" i="5"/>
  <c r="L75" i="4"/>
  <c r="O214" i="1" s="1"/>
  <c r="K75" i="4"/>
  <c r="N214" i="1" s="1"/>
  <c r="J75" i="4"/>
  <c r="M214" i="1" s="1"/>
  <c r="I75" i="4"/>
  <c r="L214" i="1" s="1"/>
  <c r="H75" i="4"/>
  <c r="L69" i="4"/>
  <c r="O213" i="1" s="1"/>
  <c r="K69" i="4"/>
  <c r="N213" i="1" s="1"/>
  <c r="J69" i="4"/>
  <c r="M213" i="1" s="1"/>
  <c r="I69" i="4"/>
  <c r="L213" i="1" s="1"/>
  <c r="H69" i="4"/>
  <c r="K54" i="1"/>
  <c r="I38" i="5"/>
  <c r="E42" i="14"/>
  <c r="F39" i="14"/>
  <c r="E78" i="16"/>
  <c r="D78" i="16"/>
  <c r="D75" i="16"/>
  <c r="D74" i="16"/>
  <c r="E73" i="16"/>
  <c r="D73" i="16"/>
  <c r="E72" i="16"/>
  <c r="D72" i="16"/>
  <c r="E71" i="16"/>
  <c r="D71" i="16"/>
  <c r="E70" i="16"/>
  <c r="D70" i="16"/>
  <c r="E69" i="16"/>
  <c r="D69" i="16"/>
  <c r="E68" i="16"/>
  <c r="D68" i="16"/>
  <c r="E67" i="16"/>
  <c r="D67" i="16"/>
  <c r="E66" i="16"/>
  <c r="E76" i="16" s="1"/>
  <c r="D66" i="16"/>
  <c r="D76" i="16" s="1"/>
  <c r="E39" i="14" s="1"/>
  <c r="D61" i="16"/>
  <c r="E58" i="16"/>
  <c r="D58" i="16"/>
  <c r="E57" i="16"/>
  <c r="D57" i="16"/>
  <c r="E56" i="16"/>
  <c r="D56" i="16"/>
  <c r="E36" i="14" s="1"/>
  <c r="D54" i="16"/>
  <c r="D53" i="16"/>
  <c r="D52" i="16"/>
  <c r="D51" i="16"/>
  <c r="D50" i="16"/>
  <c r="E49" i="16"/>
  <c r="E59" i="16" s="1"/>
  <c r="D49" i="16"/>
  <c r="D44" i="16"/>
  <c r="D43" i="16"/>
  <c r="D42" i="16"/>
  <c r="D41" i="16"/>
  <c r="D40" i="16"/>
  <c r="D39" i="16"/>
  <c r="D38" i="16"/>
  <c r="D37" i="16"/>
  <c r="D36" i="16"/>
  <c r="D35" i="16"/>
  <c r="D34" i="16"/>
  <c r="E33" i="16"/>
  <c r="E45" i="16" s="1"/>
  <c r="F31" i="14" s="1"/>
  <c r="D32" i="16"/>
  <c r="D31" i="16"/>
  <c r="D30" i="16"/>
  <c r="D29" i="16"/>
  <c r="D45" i="16" s="1"/>
  <c r="E31" i="14" s="1"/>
  <c r="E25" i="16"/>
  <c r="D25" i="16"/>
  <c r="D23" i="16"/>
  <c r="D22" i="16"/>
  <c r="D21" i="16"/>
  <c r="D20" i="16"/>
  <c r="E18" i="16"/>
  <c r="D12" i="16"/>
  <c r="D11" i="16"/>
  <c r="E10" i="16"/>
  <c r="E13" i="16" s="1"/>
  <c r="F26" i="14" s="1"/>
  <c r="D10" i="16"/>
  <c r="D9" i="16"/>
  <c r="D8" i="16"/>
  <c r="D7" i="16"/>
  <c r="D6" i="16"/>
  <c r="E5" i="16"/>
  <c r="D5" i="16"/>
  <c r="D4" i="16"/>
  <c r="D3" i="16"/>
  <c r="D13" i="16" s="1"/>
  <c r="E26" i="14" s="1"/>
  <c r="F36" i="14"/>
  <c r="E37" i="14"/>
  <c r="F37" i="14"/>
  <c r="F40" i="14"/>
  <c r="E40" i="14" s="1"/>
  <c r="E27" i="14"/>
  <c r="E28" i="14"/>
  <c r="F28" i="14"/>
  <c r="E29" i="14"/>
  <c r="E30" i="14"/>
  <c r="B47" i="16"/>
  <c r="L15" i="1" l="1"/>
  <c r="M15" i="1"/>
  <c r="O15" i="1"/>
  <c r="N15" i="1"/>
  <c r="F38" i="14"/>
  <c r="D59" i="16"/>
  <c r="E62" i="16"/>
  <c r="D62" i="16" l="1"/>
  <c r="E38" i="14"/>
  <c r="B27" i="16" l="1"/>
  <c r="B16" i="16"/>
  <c r="B2" i="16"/>
  <c r="F22" i="14"/>
  <c r="F21" i="14"/>
  <c r="E14" i="14" l="1"/>
  <c r="F14" i="14" s="1"/>
  <c r="F6" i="14" l="1"/>
  <c r="F7" i="14"/>
  <c r="F8" i="14"/>
  <c r="F5" i="14"/>
  <c r="I8" i="4"/>
  <c r="L14" i="1" s="1"/>
  <c r="J8" i="4"/>
  <c r="M14" i="1" s="1"/>
  <c r="K8" i="4"/>
  <c r="N14" i="1" s="1"/>
  <c r="L8" i="4"/>
  <c r="O14" i="1" s="1"/>
  <c r="D2" i="13"/>
  <c r="L7" i="13"/>
  <c r="D148" i="3" l="1"/>
  <c r="D149" i="3" s="1"/>
  <c r="W146" i="3"/>
  <c r="D146" i="3"/>
  <c r="D145" i="3"/>
  <c r="N144" i="3"/>
  <c r="H144" i="3"/>
  <c r="I144" i="3" s="1"/>
  <c r="F144" i="3"/>
  <c r="E144" i="3"/>
  <c r="W139" i="3"/>
  <c r="N139" i="3"/>
  <c r="W138" i="3"/>
  <c r="D138" i="3"/>
  <c r="D139" i="3" s="1"/>
  <c r="W137" i="3"/>
  <c r="W136" i="3"/>
  <c r="D136" i="3"/>
  <c r="D135" i="3"/>
  <c r="N134" i="3"/>
  <c r="H134" i="3"/>
  <c r="I134" i="3" s="1"/>
  <c r="F134" i="3"/>
  <c r="E134" i="3"/>
  <c r="N149" i="3" l="1"/>
  <c r="F42" i="14"/>
  <c r="E9" i="14"/>
  <c r="F23" i="14"/>
  <c r="E23" i="14" s="1"/>
  <c r="E13" i="14" l="1"/>
  <c r="E12" i="14"/>
  <c r="E11" i="14"/>
  <c r="F9" i="14"/>
  <c r="E15" i="14" l="1"/>
  <c r="E17" i="14" s="1"/>
  <c r="F13" i="14"/>
  <c r="F12" i="14"/>
  <c r="F11" i="14"/>
  <c r="F15" i="14" l="1"/>
  <c r="F17" i="14" s="1"/>
  <c r="J40" i="13"/>
  <c r="J39" i="13"/>
  <c r="J38" i="13"/>
  <c r="G37" i="13"/>
  <c r="J37" i="13" s="1"/>
  <c r="J36" i="13"/>
  <c r="J35" i="13"/>
  <c r="J34" i="13"/>
  <c r="J33" i="13"/>
  <c r="J32" i="13"/>
  <c r="J31" i="13"/>
  <c r="J30" i="13"/>
  <c r="G29" i="13"/>
  <c r="J29" i="13" s="1"/>
  <c r="J28" i="13"/>
  <c r="J27" i="13"/>
  <c r="J26" i="13"/>
  <c r="J25" i="13"/>
  <c r="J24" i="13"/>
  <c r="G23" i="13"/>
  <c r="J23" i="13" s="1"/>
  <c r="J22" i="13"/>
  <c r="J21" i="13"/>
  <c r="J20" i="13"/>
  <c r="G19" i="13"/>
  <c r="J19" i="13" s="1"/>
  <c r="J18" i="13"/>
  <c r="J17" i="13"/>
  <c r="J16" i="13"/>
  <c r="J15" i="13"/>
  <c r="G14" i="13"/>
  <c r="J14" i="13" s="1"/>
  <c r="J13" i="13"/>
  <c r="J12" i="13"/>
  <c r="J11" i="13"/>
  <c r="J10" i="13"/>
  <c r="J9" i="13"/>
  <c r="B8" i="13"/>
  <c r="B9" i="13" s="1"/>
  <c r="B10" i="13" s="1"/>
  <c r="B11" i="13" s="1"/>
  <c r="B12" i="13" s="1"/>
  <c r="B13" i="13" s="1"/>
  <c r="B14" i="13" s="1"/>
  <c r="B15" i="13" s="1"/>
  <c r="B16" i="13" s="1"/>
  <c r="B17" i="13" s="1"/>
  <c r="B18" i="13" s="1"/>
  <c r="B19" i="13" s="1"/>
  <c r="B20" i="13" s="1"/>
  <c r="B21" i="13" s="1"/>
  <c r="B22" i="13" s="1"/>
  <c r="B23" i="13" s="1"/>
  <c r="B24" i="13" s="1"/>
  <c r="B25" i="13" s="1"/>
  <c r="B26" i="13" s="1"/>
  <c r="B27" i="13" s="1"/>
  <c r="B28" i="13" s="1"/>
  <c r="B29" i="13" s="1"/>
  <c r="B30" i="13" s="1"/>
  <c r="B31" i="13" s="1"/>
  <c r="B32" i="13" s="1"/>
  <c r="B33" i="13" s="1"/>
  <c r="B34" i="13" s="1"/>
  <c r="B35" i="13" s="1"/>
  <c r="B36" i="13" s="1"/>
  <c r="B37" i="13" s="1"/>
  <c r="B38" i="13" s="1"/>
  <c r="B39" i="13" s="1"/>
  <c r="B40" i="13" s="1"/>
  <c r="L6" i="13"/>
  <c r="D88" i="3"/>
  <c r="D89" i="3" s="1"/>
  <c r="D86" i="3"/>
  <c r="D85" i="3" s="1"/>
  <c r="H84" i="3"/>
  <c r="I84" i="3" s="1"/>
  <c r="F84" i="3"/>
  <c r="E84" i="3" s="1"/>
  <c r="F74" i="3"/>
  <c r="E74" i="3" s="1"/>
  <c r="D76" i="3"/>
  <c r="D75" i="3" s="1"/>
  <c r="D78" i="3"/>
  <c r="D79" i="3" s="1"/>
  <c r="L24" i="4"/>
  <c r="K24" i="4"/>
  <c r="J24" i="4"/>
  <c r="L22" i="4"/>
  <c r="K22" i="4"/>
  <c r="J22" i="4"/>
  <c r="I22" i="4"/>
  <c r="H17" i="4"/>
  <c r="H16" i="4" s="1"/>
  <c r="H18" i="4" l="1"/>
  <c r="I17" i="4"/>
  <c r="I16" i="4" s="1"/>
  <c r="M6" i="13"/>
  <c r="L5" i="13"/>
  <c r="L4" i="13"/>
  <c r="J17" i="4" l="1"/>
  <c r="J16" i="4" s="1"/>
  <c r="I18" i="4"/>
  <c r="M7" i="13"/>
  <c r="N6" i="13"/>
  <c r="K17" i="4" l="1"/>
  <c r="K16" i="4" s="1"/>
  <c r="J18" i="4"/>
  <c r="O6" i="13"/>
  <c r="N7" i="13"/>
  <c r="L17" i="4" l="1"/>
  <c r="K18" i="4"/>
  <c r="P6" i="13"/>
  <c r="O7" i="13"/>
  <c r="L18" i="4" l="1"/>
  <c r="L16" i="4"/>
  <c r="Q6" i="13"/>
  <c r="P7" i="13"/>
  <c r="R6" i="13" l="1"/>
  <c r="Q7" i="13"/>
  <c r="S6" i="13" l="1"/>
  <c r="R7" i="13"/>
  <c r="S4" i="13" l="1"/>
  <c r="T6" i="13"/>
  <c r="S7" i="13"/>
  <c r="S5" i="13"/>
  <c r="U6" i="13" l="1"/>
  <c r="T7" i="13"/>
  <c r="U7" i="13" l="1"/>
  <c r="V6" i="13"/>
  <c r="W6" i="13" l="1"/>
  <c r="V7" i="13"/>
  <c r="X6" i="13" l="1"/>
  <c r="W7" i="13"/>
  <c r="X7" i="13" l="1"/>
  <c r="Y6" i="13"/>
  <c r="Y7" i="13" l="1"/>
  <c r="Z6" i="13"/>
  <c r="Z4" i="13" l="1"/>
  <c r="Z7" i="13"/>
  <c r="AA6" i="13"/>
  <c r="Z5" i="13"/>
  <c r="AB6" i="13" l="1"/>
  <c r="AA7" i="13"/>
  <c r="AB7" i="13" l="1"/>
  <c r="AC6" i="13"/>
  <c r="AC7" i="13" l="1"/>
  <c r="AD6" i="13"/>
  <c r="AE6" i="13" l="1"/>
  <c r="AD7" i="13"/>
  <c r="AF6" i="13" l="1"/>
  <c r="AE7" i="13"/>
  <c r="AF7" i="13" l="1"/>
  <c r="AG6" i="13"/>
  <c r="AG4" i="13" l="1"/>
  <c r="AH6" i="13"/>
  <c r="AG5" i="13"/>
  <c r="AG7" i="13"/>
  <c r="AI6" i="13" l="1"/>
  <c r="AH7" i="13"/>
  <c r="AI7" i="13" l="1"/>
  <c r="AJ6" i="13"/>
  <c r="AJ7" i="13" l="1"/>
  <c r="AK6" i="13"/>
  <c r="AK7" i="13" l="1"/>
  <c r="AL6" i="13"/>
  <c r="AL7" i="13" l="1"/>
  <c r="AM6" i="13"/>
  <c r="AN6" i="13" l="1"/>
  <c r="AM7" i="13"/>
  <c r="AN7" i="13" l="1"/>
  <c r="AN4" i="13"/>
  <c r="AN5" i="13"/>
  <c r="AO6" i="13"/>
  <c r="AO7" i="13" l="1"/>
  <c r="AP6" i="13"/>
  <c r="AQ6" i="13" l="1"/>
  <c r="AP7" i="13"/>
  <c r="AR6" i="13" l="1"/>
  <c r="AQ7" i="13"/>
  <c r="AS6" i="13" l="1"/>
  <c r="AR7" i="13"/>
  <c r="AT6" i="13" l="1"/>
  <c r="AS7" i="13"/>
  <c r="AT7" i="13" l="1"/>
  <c r="AU6" i="13"/>
  <c r="AU5" i="13" l="1"/>
  <c r="AU4" i="13"/>
  <c r="AU7" i="13"/>
  <c r="AV6" i="13"/>
  <c r="AV7" i="13" l="1"/>
  <c r="AW6" i="13"/>
  <c r="AW7" i="13" l="1"/>
  <c r="AX6" i="13"/>
  <c r="AY6" i="13" l="1"/>
  <c r="AX7" i="13"/>
  <c r="AY7" i="13" l="1"/>
  <c r="AZ6" i="13"/>
  <c r="AZ7" i="13" l="1"/>
  <c r="BA6" i="13"/>
  <c r="BB6" i="13" l="1"/>
  <c r="BA7" i="13"/>
  <c r="BB5" i="13" l="1"/>
  <c r="BB4" i="13"/>
  <c r="BC6" i="13"/>
  <c r="BB7" i="13"/>
  <c r="BD6" i="13" l="1"/>
  <c r="BC7" i="13"/>
  <c r="BE6" i="13" l="1"/>
  <c r="BD7" i="13"/>
  <c r="BF6" i="13" l="1"/>
  <c r="BE7" i="13"/>
  <c r="BG6" i="13" l="1"/>
  <c r="BF7" i="13"/>
  <c r="BH6" i="13" l="1"/>
  <c r="BG7" i="13"/>
  <c r="BH7" i="13" l="1"/>
  <c r="BI6" i="13"/>
  <c r="BI5" i="13" l="1"/>
  <c r="BI4" i="13"/>
  <c r="BJ6" i="13"/>
  <c r="BI7" i="13"/>
  <c r="BJ7" i="13" l="1"/>
  <c r="BK6" i="13"/>
  <c r="BL6" i="13" l="1"/>
  <c r="BK7" i="13"/>
  <c r="BL7" i="13" l="1"/>
  <c r="BM6" i="13"/>
  <c r="BM7" i="13" l="1"/>
  <c r="BN6" i="13"/>
  <c r="BO6" i="13" l="1"/>
  <c r="BO7" i="13" s="1"/>
  <c r="BN7" i="13"/>
  <c r="AC98" i="3" l="1"/>
  <c r="F41" i="10"/>
  <c r="G40" i="10"/>
  <c r="E40" i="10"/>
  <c r="G39" i="10"/>
  <c r="E39" i="10"/>
  <c r="B75" i="9"/>
  <c r="B74" i="9"/>
  <c r="L73" i="9"/>
  <c r="H73" i="9"/>
  <c r="H74" i="9" s="1"/>
  <c r="H75" i="9" s="1"/>
  <c r="B73" i="9"/>
  <c r="I63" i="9"/>
  <c r="K63" i="9" s="1"/>
  <c r="G63" i="9"/>
  <c r="Q62" i="9"/>
  <c r="P62" i="9"/>
  <c r="O62" i="9"/>
  <c r="K62" i="9"/>
  <c r="I62" i="9"/>
  <c r="G62" i="9"/>
  <c r="I61" i="9"/>
  <c r="K61" i="9" s="1"/>
  <c r="G61" i="9"/>
  <c r="Q60" i="9"/>
  <c r="P60" i="9"/>
  <c r="O60" i="9"/>
  <c r="K60" i="9"/>
  <c r="I60" i="9"/>
  <c r="G60" i="9"/>
  <c r="I59" i="9"/>
  <c r="K59" i="9" s="1"/>
  <c r="G59" i="9"/>
  <c r="Q58" i="9"/>
  <c r="P58" i="9"/>
  <c r="O58" i="9"/>
  <c r="K58" i="9"/>
  <c r="I58" i="9"/>
  <c r="G58" i="9"/>
  <c r="I57" i="9"/>
  <c r="K57" i="9" s="1"/>
  <c r="G57" i="9"/>
  <c r="Q56" i="9"/>
  <c r="P56" i="9"/>
  <c r="O56" i="9"/>
  <c r="K56" i="9"/>
  <c r="I56" i="9"/>
  <c r="G56" i="9"/>
  <c r="I55" i="9"/>
  <c r="K55" i="9" s="1"/>
  <c r="G55" i="9"/>
  <c r="Q54" i="9"/>
  <c r="P54" i="9"/>
  <c r="O54" i="9"/>
  <c r="K54" i="9"/>
  <c r="I54" i="9"/>
  <c r="G54" i="9"/>
  <c r="B38" i="9"/>
  <c r="L37" i="9"/>
  <c r="B37" i="9"/>
  <c r="B36" i="9"/>
  <c r="J35" i="9"/>
  <c r="F35" i="9"/>
  <c r="F36" i="9" s="1"/>
  <c r="F37" i="9" s="1"/>
  <c r="F38" i="9" s="1"/>
  <c r="B35" i="9"/>
  <c r="P31" i="9"/>
  <c r="N31" i="9"/>
  <c r="P30" i="9"/>
  <c r="N30" i="9"/>
  <c r="P29" i="9"/>
  <c r="P37" i="9" s="1"/>
  <c r="N29" i="9"/>
  <c r="N35" i="9" s="1"/>
  <c r="P28" i="9"/>
  <c r="N28" i="9"/>
  <c r="G20" i="9"/>
  <c r="Q20" i="9" s="1"/>
  <c r="G19" i="9"/>
  <c r="G18" i="9"/>
  <c r="Q18" i="9" s="1"/>
  <c r="G17" i="9"/>
  <c r="Q17" i="9" s="1"/>
  <c r="G16" i="9"/>
  <c r="G15" i="9"/>
  <c r="Q15" i="9" s="1"/>
  <c r="G14" i="9"/>
  <c r="Q14" i="9" s="1"/>
  <c r="G13" i="9"/>
  <c r="G12" i="9"/>
  <c r="Q12" i="9" s="1"/>
  <c r="G11" i="9"/>
  <c r="Q11" i="9" s="1"/>
  <c r="I214" i="11"/>
  <c r="I215" i="11" s="1"/>
  <c r="I212" i="11"/>
  <c r="I211" i="11" s="1"/>
  <c r="M210" i="11"/>
  <c r="N210" i="11" s="1"/>
  <c r="K210" i="11"/>
  <c r="J210" i="11" s="1"/>
  <c r="I203" i="11"/>
  <c r="I204" i="11" s="1"/>
  <c r="I201" i="11"/>
  <c r="I200" i="11" s="1"/>
  <c r="M199" i="11"/>
  <c r="N199" i="11" s="1"/>
  <c r="K199" i="11"/>
  <c r="J199" i="11" s="1"/>
  <c r="L173" i="11"/>
  <c r="M173" i="11" s="1"/>
  <c r="N173" i="11" s="1"/>
  <c r="O173" i="11" s="1"/>
  <c r="P173" i="11" s="1"/>
  <c r="L172" i="11"/>
  <c r="M172" i="11" s="1"/>
  <c r="N172" i="11" s="1"/>
  <c r="O172" i="11" s="1"/>
  <c r="P172" i="11" s="1"/>
  <c r="J172" i="11"/>
  <c r="J173" i="11" s="1"/>
  <c r="L133" i="11"/>
  <c r="M133" i="11" s="1"/>
  <c r="L132" i="11"/>
  <c r="L142" i="11" s="1"/>
  <c r="J132" i="11"/>
  <c r="K142" i="11" s="1"/>
  <c r="F67" i="11"/>
  <c r="F64" i="11"/>
  <c r="F59" i="11"/>
  <c r="F68" i="11" s="1"/>
  <c r="J19" i="11"/>
  <c r="D116" i="11" s="1"/>
  <c r="K625" i="1"/>
  <c r="F619" i="1"/>
  <c r="D619" i="1"/>
  <c r="D607" i="1"/>
  <c r="K607" i="1" s="1"/>
  <c r="N606" i="1"/>
  <c r="M606" i="1"/>
  <c r="L606" i="1"/>
  <c r="K606" i="1"/>
  <c r="F583" i="1"/>
  <c r="K583" i="1" s="1"/>
  <c r="H563" i="1"/>
  <c r="H562" i="1"/>
  <c r="H561" i="1"/>
  <c r="K559" i="1" s="1"/>
  <c r="O559" i="1"/>
  <c r="H549" i="1"/>
  <c r="H548" i="1"/>
  <c r="H547" i="1"/>
  <c r="N545" i="1" s="1"/>
  <c r="K542" i="1"/>
  <c r="J528" i="1"/>
  <c r="K525" i="1" s="1"/>
  <c r="K518" i="1"/>
  <c r="H468" i="1"/>
  <c r="O467" i="1"/>
  <c r="N467" i="1"/>
  <c r="M467" i="1"/>
  <c r="L467" i="1"/>
  <c r="K467" i="1"/>
  <c r="J465" i="1"/>
  <c r="K463" i="1" s="1"/>
  <c r="H457" i="1"/>
  <c r="K452" i="1"/>
  <c r="K454" i="1" s="1"/>
  <c r="O452" i="1"/>
  <c r="O454" i="1" s="1"/>
  <c r="N452" i="1"/>
  <c r="N454" i="1" s="1"/>
  <c r="M452" i="1"/>
  <c r="M454" i="1" s="1"/>
  <c r="L452" i="1"/>
  <c r="L454" i="1" s="1"/>
  <c r="O442" i="1"/>
  <c r="N442" i="1"/>
  <c r="M442" i="1"/>
  <c r="L442" i="1"/>
  <c r="K442" i="1"/>
  <c r="H432" i="1"/>
  <c r="O430" i="1"/>
  <c r="N430" i="1"/>
  <c r="M430" i="1"/>
  <c r="L430" i="1"/>
  <c r="K430" i="1"/>
  <c r="H427" i="1"/>
  <c r="O421" i="1"/>
  <c r="N421" i="1"/>
  <c r="M421" i="1"/>
  <c r="L421" i="1"/>
  <c r="K421" i="1"/>
  <c r="H416" i="1"/>
  <c r="O414" i="1"/>
  <c r="N414" i="1"/>
  <c r="M414" i="1"/>
  <c r="L414" i="1"/>
  <c r="K414" i="1"/>
  <c r="H411" i="1"/>
  <c r="O405" i="1"/>
  <c r="N405" i="1"/>
  <c r="M405" i="1"/>
  <c r="L405" i="1"/>
  <c r="K405" i="1"/>
  <c r="H386" i="1"/>
  <c r="H383" i="1"/>
  <c r="H377" i="1"/>
  <c r="O375" i="1"/>
  <c r="N375" i="1"/>
  <c r="M375" i="1"/>
  <c r="L375" i="1"/>
  <c r="K375" i="1"/>
  <c r="H366" i="1"/>
  <c r="J336" i="1"/>
  <c r="K333" i="1" s="1"/>
  <c r="F317" i="1"/>
  <c r="J301" i="1"/>
  <c r="K298" i="1" s="1"/>
  <c r="J294" i="1"/>
  <c r="K291" i="1" s="1"/>
  <c r="F287" i="1"/>
  <c r="F286" i="1"/>
  <c r="J284" i="1"/>
  <c r="K257" i="1"/>
  <c r="K256" i="1"/>
  <c r="L257" i="1" s="1"/>
  <c r="K255" i="1"/>
  <c r="L256" i="1" s="1"/>
  <c r="M257" i="1" s="1"/>
  <c r="K254" i="1"/>
  <c r="L255" i="1" s="1"/>
  <c r="M256" i="1" s="1"/>
  <c r="N257" i="1" s="1"/>
  <c r="F249" i="1"/>
  <c r="K249" i="1" s="1"/>
  <c r="L248" i="1"/>
  <c r="M248" i="1" s="1"/>
  <c r="N248" i="1" s="1"/>
  <c r="O248" i="1" s="1"/>
  <c r="F248" i="1"/>
  <c r="I253" i="1" s="1"/>
  <c r="I254" i="1" s="1"/>
  <c r="I255" i="1" s="1"/>
  <c r="I256" i="1" s="1"/>
  <c r="I257" i="1" s="1"/>
  <c r="F243" i="1"/>
  <c r="L242" i="1"/>
  <c r="M242" i="1" s="1"/>
  <c r="N242" i="1" s="1"/>
  <c r="O242" i="1" s="1"/>
  <c r="F242" i="1"/>
  <c r="K157" i="1"/>
  <c r="K406" i="1" s="1"/>
  <c r="O111" i="1"/>
  <c r="N111" i="1"/>
  <c r="M111" i="1"/>
  <c r="L111" i="1"/>
  <c r="K111" i="1"/>
  <c r="E83" i="1"/>
  <c r="E42" i="1"/>
  <c r="J33" i="1"/>
  <c r="J31" i="1"/>
  <c r="E9" i="1"/>
  <c r="E8" i="1"/>
  <c r="B6" i="1" a="1"/>
  <c r="B6" i="1" s="1"/>
  <c r="B616" i="1" s="1"/>
  <c r="K5" i="1"/>
  <c r="K353" i="1" s="1"/>
  <c r="L353" i="1" s="1"/>
  <c r="M353" i="1" s="1"/>
  <c r="N353" i="1" s="1"/>
  <c r="O353" i="1" s="1"/>
  <c r="B114" i="4"/>
  <c r="B113" i="4"/>
  <c r="B112" i="4"/>
  <c r="L110" i="4" a="1"/>
  <c r="L110" i="4" s="1"/>
  <c r="O520" i="1" s="1"/>
  <c r="K110" i="4" a="1"/>
  <c r="K110" i="4" s="1"/>
  <c r="N520" i="1" s="1"/>
  <c r="J110" i="4" a="1"/>
  <c r="J110" i="4" s="1"/>
  <c r="M520" i="1" s="1"/>
  <c r="I110" i="4" a="1"/>
  <c r="I110" i="4" s="1"/>
  <c r="L520" i="1" s="1"/>
  <c r="H110" i="4" a="1"/>
  <c r="H110" i="4" s="1"/>
  <c r="K520" i="1" s="1"/>
  <c r="B107" i="4"/>
  <c r="B106" i="4"/>
  <c r="B105" i="4"/>
  <c r="L103" i="4" a="1"/>
  <c r="L103" i="4" s="1"/>
  <c r="O519" i="1" s="1"/>
  <c r="K103" i="4" a="1"/>
  <c r="K103" i="4" s="1"/>
  <c r="N519" i="1" s="1"/>
  <c r="J103" i="4" a="1"/>
  <c r="J103" i="4" s="1"/>
  <c r="M519" i="1" s="1"/>
  <c r="I103" i="4" a="1"/>
  <c r="I103" i="4" s="1"/>
  <c r="L519" i="1" s="1"/>
  <c r="H103" i="4" a="1"/>
  <c r="H103" i="4" s="1"/>
  <c r="K519" i="1" s="1"/>
  <c r="B100" i="4"/>
  <c r="B99" i="4"/>
  <c r="B98" i="4"/>
  <c r="L96" i="4" a="1"/>
  <c r="L96" i="4" s="1"/>
  <c r="O527" i="1" s="1"/>
  <c r="O153" i="1" s="1"/>
  <c r="K96" i="4" a="1"/>
  <c r="K96" i="4" s="1"/>
  <c r="N527" i="1" s="1"/>
  <c r="N365" i="1" s="1"/>
  <c r="J96" i="4" a="1"/>
  <c r="J96" i="4" s="1"/>
  <c r="M527" i="1" s="1"/>
  <c r="I96" i="4" a="1"/>
  <c r="I96" i="4" s="1"/>
  <c r="L527" i="1" s="1"/>
  <c r="H96" i="4" a="1"/>
  <c r="H96" i="4" s="1"/>
  <c r="K527" i="1" s="1"/>
  <c r="B93" i="4"/>
  <c r="B92" i="4"/>
  <c r="B91" i="4"/>
  <c r="L89" i="4" a="1"/>
  <c r="L89" i="4" s="1"/>
  <c r="K89" i="4" a="1"/>
  <c r="K89" i="4" s="1"/>
  <c r="J89" i="4" a="1"/>
  <c r="J89" i="4" s="1"/>
  <c r="M356" i="1" s="1"/>
  <c r="I89" i="4" a="1"/>
  <c r="I89" i="4" s="1"/>
  <c r="H89" i="4" a="1"/>
  <c r="H89" i="4" s="1"/>
  <c r="B79" i="4"/>
  <c r="B78" i="4"/>
  <c r="B77" i="4"/>
  <c r="K214" i="1"/>
  <c r="B73" i="4"/>
  <c r="B72" i="4"/>
  <c r="B71" i="4"/>
  <c r="K213" i="1"/>
  <c r="B67" i="4"/>
  <c r="B66" i="4"/>
  <c r="B65" i="4"/>
  <c r="L63" i="4"/>
  <c r="O212" i="1" s="1"/>
  <c r="K63" i="4"/>
  <c r="N212" i="1" s="1"/>
  <c r="J63" i="4"/>
  <c r="M212" i="1" s="1"/>
  <c r="I63" i="4"/>
  <c r="L212" i="1" s="1"/>
  <c r="H63" i="4"/>
  <c r="K212" i="1" s="1"/>
  <c r="B42" i="4"/>
  <c r="B41" i="4"/>
  <c r="B40" i="4"/>
  <c r="B36" i="4"/>
  <c r="B35" i="4"/>
  <c r="B34" i="4"/>
  <c r="L32" i="4"/>
  <c r="O46" i="1" s="1"/>
  <c r="K32" i="4"/>
  <c r="N46" i="1" s="1"/>
  <c r="J32" i="4"/>
  <c r="M46" i="1" s="1"/>
  <c r="I32" i="4"/>
  <c r="L46" i="1" s="1"/>
  <c r="H32" i="4"/>
  <c r="K46" i="1" s="1"/>
  <c r="B30" i="4"/>
  <c r="B29" i="4"/>
  <c r="B28" i="4"/>
  <c r="L26" i="4"/>
  <c r="K26" i="4"/>
  <c r="J26" i="4"/>
  <c r="I26" i="4"/>
  <c r="H26" i="4"/>
  <c r="H23" i="4"/>
  <c r="H20" i="4" s="1"/>
  <c r="L20" i="4"/>
  <c r="K20" i="4"/>
  <c r="J20" i="4"/>
  <c r="I20" i="4"/>
  <c r="H14" i="4"/>
  <c r="L14" i="4"/>
  <c r="K14" i="4"/>
  <c r="J14" i="4"/>
  <c r="I14" i="4"/>
  <c r="H11" i="4"/>
  <c r="K70" i="5"/>
  <c r="K69" i="5"/>
  <c r="K68" i="5"/>
  <c r="I65" i="5"/>
  <c r="J65" i="5" s="1"/>
  <c r="H65" i="5"/>
  <c r="G65" i="5"/>
  <c r="G56" i="5"/>
  <c r="K36" i="5"/>
  <c r="K35" i="5"/>
  <c r="N24" i="5"/>
  <c r="I24" i="5"/>
  <c r="D583" i="1" s="1"/>
  <c r="J583" i="1" s="1"/>
  <c r="C23" i="5"/>
  <c r="N10" i="5" s="1"/>
  <c r="Q8" i="3" s="1"/>
  <c r="J17" i="5"/>
  <c r="P7" i="7" s="1"/>
  <c r="J12" i="5"/>
  <c r="L10" i="3" s="1"/>
  <c r="N9" i="5"/>
  <c r="J9" i="5"/>
  <c r="J373" i="1" s="1"/>
  <c r="J8" i="5"/>
  <c r="C55" i="5" s="1"/>
  <c r="I8" i="5"/>
  <c r="AC100" i="3"/>
  <c r="AC103" i="3" s="1"/>
  <c r="AC104" i="3" s="1"/>
  <c r="N96" i="3"/>
  <c r="O96" i="3" s="1"/>
  <c r="P96" i="3" s="1"/>
  <c r="Q96" i="3" s="1"/>
  <c r="AG94" i="3"/>
  <c r="AF94" i="3"/>
  <c r="AE94" i="3"/>
  <c r="AD94" i="3"/>
  <c r="AC94" i="3"/>
  <c r="W79" i="3"/>
  <c r="J11" i="5" s="1"/>
  <c r="L9" i="3" s="1"/>
  <c r="W78" i="3"/>
  <c r="W77" i="3"/>
  <c r="O588" i="1" s="1"/>
  <c r="W76" i="3"/>
  <c r="C14" i="5" s="1"/>
  <c r="C16" i="5" s="1"/>
  <c r="C21" i="5" s="1"/>
  <c r="H106" i="4" s="1"/>
  <c r="H105" i="4" s="1"/>
  <c r="N74" i="3"/>
  <c r="T69" i="3"/>
  <c r="W58" i="3"/>
  <c r="V58" i="3"/>
  <c r="Y57" i="3"/>
  <c r="V57" i="3"/>
  <c r="T27" i="3"/>
  <c r="F8" i="3"/>
  <c r="Q7" i="3"/>
  <c r="L6" i="3"/>
  <c r="D29" i="7"/>
  <c r="C29" i="7"/>
  <c r="D28" i="7"/>
  <c r="C28" i="7"/>
  <c r="C27" i="7"/>
  <c r="P8" i="7"/>
  <c r="L53" i="1" l="1"/>
  <c r="M53" i="1" s="1"/>
  <c r="N53" i="1" s="1"/>
  <c r="O53" i="1" s="1"/>
  <c r="L52" i="1"/>
  <c r="M52" i="1" s="1"/>
  <c r="N52" i="1" s="1"/>
  <c r="O52" i="1" s="1"/>
  <c r="L51" i="1"/>
  <c r="M51" i="1" s="1"/>
  <c r="N51" i="1" s="1"/>
  <c r="O51" i="1" s="1"/>
  <c r="L50" i="1"/>
  <c r="M50" i="1" s="1"/>
  <c r="N50" i="1" s="1"/>
  <c r="O50" i="1" s="1"/>
  <c r="L49" i="1"/>
  <c r="M49" i="1" s="1"/>
  <c r="N49" i="1" s="1"/>
  <c r="O49" i="1" s="1"/>
  <c r="K356" i="1"/>
  <c r="K376" i="1" s="1"/>
  <c r="K401" i="1"/>
  <c r="K431" i="1" s="1"/>
  <c r="X58" i="3"/>
  <c r="U58" i="3" s="1"/>
  <c r="L25" i="1"/>
  <c r="L26" i="1" s="1"/>
  <c r="L30" i="1" s="1"/>
  <c r="M25" i="1"/>
  <c r="M26" i="1" s="1"/>
  <c r="M30" i="1" s="1"/>
  <c r="O545" i="1"/>
  <c r="O552" i="1" s="1"/>
  <c r="N559" i="1"/>
  <c r="N566" i="1" s="1"/>
  <c r="O86" i="1"/>
  <c r="O8" i="1"/>
  <c r="O206" i="1" s="1"/>
  <c r="L559" i="1"/>
  <c r="L566" i="1" s="1"/>
  <c r="K8" i="1"/>
  <c r="K206" i="1" s="1"/>
  <c r="L607" i="1"/>
  <c r="L8" i="1"/>
  <c r="L206" i="1" s="1"/>
  <c r="K415" i="1"/>
  <c r="M607" i="1"/>
  <c r="M8" i="1"/>
  <c r="M206" i="1" s="1"/>
  <c r="D608" i="1"/>
  <c r="T68" i="3"/>
  <c r="N8" i="1"/>
  <c r="N206" i="1" s="1"/>
  <c r="H564" i="1"/>
  <c r="K567" i="1" s="1"/>
  <c r="K545" i="1"/>
  <c r="O566" i="1"/>
  <c r="L545" i="1"/>
  <c r="L552" i="1" s="1"/>
  <c r="M545" i="1"/>
  <c r="M552" i="1" s="1"/>
  <c r="N25" i="1"/>
  <c r="N26" i="1" s="1"/>
  <c r="N30" i="1" s="1"/>
  <c r="O25" i="1"/>
  <c r="O26" i="1" s="1"/>
  <c r="O30" i="1" s="1"/>
  <c r="O104" i="1"/>
  <c r="C17" i="3"/>
  <c r="K15" i="1"/>
  <c r="L16" i="1"/>
  <c r="L33" i="1" s="1"/>
  <c r="M16" i="1"/>
  <c r="M33" i="1" s="1"/>
  <c r="N16" i="1"/>
  <c r="N33" i="1" s="1"/>
  <c r="O16" i="1"/>
  <c r="O33" i="1" s="1"/>
  <c r="H8" i="4"/>
  <c r="I35" i="9"/>
  <c r="G37" i="9"/>
  <c r="E37" i="9" s="1"/>
  <c r="K152" i="1"/>
  <c r="C56" i="5"/>
  <c r="K365" i="1"/>
  <c r="K153" i="1"/>
  <c r="Q57" i="9"/>
  <c r="P57" i="9"/>
  <c r="O57" i="9"/>
  <c r="Q63" i="9"/>
  <c r="P63" i="9"/>
  <c r="O63" i="9"/>
  <c r="Q16" i="9"/>
  <c r="I16" i="9"/>
  <c r="O16" i="9" s="1"/>
  <c r="P69" i="9"/>
  <c r="O356" i="1"/>
  <c r="O376" i="1" s="1"/>
  <c r="O401" i="1"/>
  <c r="O431" i="1" s="1"/>
  <c r="J619" i="1"/>
  <c r="L583" i="1"/>
  <c r="K104" i="1"/>
  <c r="K86" i="1"/>
  <c r="L104" i="1"/>
  <c r="L86" i="1"/>
  <c r="O366" i="1"/>
  <c r="N366" i="1"/>
  <c r="M366" i="1"/>
  <c r="L366" i="1"/>
  <c r="K366" i="1"/>
  <c r="M104" i="1"/>
  <c r="M86" i="1"/>
  <c r="K364" i="1"/>
  <c r="N104" i="1"/>
  <c r="N86" i="1"/>
  <c r="Q19" i="9"/>
  <c r="I19" i="9"/>
  <c r="O19" i="9" s="1"/>
  <c r="Q55" i="9"/>
  <c r="Q69" i="9" s="1"/>
  <c r="P55" i="9"/>
  <c r="O55" i="9"/>
  <c r="Q61" i="9"/>
  <c r="P61" i="9"/>
  <c r="O61" i="9"/>
  <c r="K25" i="1"/>
  <c r="K26" i="1" s="1"/>
  <c r="K30" i="1" s="1"/>
  <c r="L364" i="1"/>
  <c r="L152" i="1"/>
  <c r="L249" i="1"/>
  <c r="K253" i="1"/>
  <c r="L254" i="1" s="1"/>
  <c r="M255" i="1" s="1"/>
  <c r="N256" i="1" s="1"/>
  <c r="O257" i="1" s="1"/>
  <c r="M376" i="1"/>
  <c r="M401" i="1"/>
  <c r="L365" i="1"/>
  <c r="L153" i="1"/>
  <c r="L601" i="1"/>
  <c r="M364" i="1"/>
  <c r="M152" i="1"/>
  <c r="K81" i="1"/>
  <c r="N364" i="1"/>
  <c r="N152" i="1"/>
  <c r="K619" i="1"/>
  <c r="M583" i="1"/>
  <c r="J383" i="1"/>
  <c r="K381" i="1" s="1"/>
  <c r="K371" i="1"/>
  <c r="M365" i="1"/>
  <c r="M153" i="1"/>
  <c r="M601" i="1"/>
  <c r="L356" i="1"/>
  <c r="L376" i="1" s="1"/>
  <c r="L401" i="1"/>
  <c r="L415" i="1" s="1"/>
  <c r="N153" i="1"/>
  <c r="N601" i="1"/>
  <c r="B514" i="1"/>
  <c r="K601" i="1"/>
  <c r="J73" i="9"/>
  <c r="J74" i="9" s="1"/>
  <c r="J75" i="9" s="1"/>
  <c r="H35" i="9"/>
  <c r="H36" i="9" s="1"/>
  <c r="H37" i="9" s="1"/>
  <c r="H38" i="9" s="1"/>
  <c r="Q30" i="9"/>
  <c r="Q29" i="9"/>
  <c r="Q38" i="9" s="1"/>
  <c r="G35" i="9"/>
  <c r="E35" i="9" s="1"/>
  <c r="Q59" i="9"/>
  <c r="P59" i="9"/>
  <c r="O59" i="9"/>
  <c r="O69" i="9" s="1"/>
  <c r="C58" i="5"/>
  <c r="G58" i="5" s="1"/>
  <c r="J428" i="1"/>
  <c r="K425" i="1" s="1"/>
  <c r="K426" i="1" s="1"/>
  <c r="K521" i="1"/>
  <c r="N552" i="1"/>
  <c r="C59" i="5"/>
  <c r="G59" i="5" s="1"/>
  <c r="J447" i="1"/>
  <c r="K474" i="1"/>
  <c r="L474" i="1" s="1"/>
  <c r="M474" i="1" s="1"/>
  <c r="N474" i="1" s="1"/>
  <c r="O474" i="1" s="1"/>
  <c r="K132" i="1"/>
  <c r="K513" i="1"/>
  <c r="L513" i="1" s="1"/>
  <c r="M513" i="1" s="1"/>
  <c r="N513" i="1" s="1"/>
  <c r="O513" i="1" s="1"/>
  <c r="K176" i="11"/>
  <c r="K91" i="11"/>
  <c r="K615" i="1"/>
  <c r="L615" i="1" s="1"/>
  <c r="M615" i="1" s="1"/>
  <c r="N615" i="1" s="1"/>
  <c r="O615" i="1" s="1"/>
  <c r="K534" i="1"/>
  <c r="L534" i="1" s="1"/>
  <c r="M534" i="1" s="1"/>
  <c r="N534" i="1" s="1"/>
  <c r="O534" i="1" s="1"/>
  <c r="K398" i="1"/>
  <c r="L398" i="1" s="1"/>
  <c r="M398" i="1" s="1"/>
  <c r="N398" i="1" s="1"/>
  <c r="O398" i="1" s="1"/>
  <c r="K578" i="1"/>
  <c r="L578" i="1" s="1"/>
  <c r="M578" i="1" s="1"/>
  <c r="N578" i="1" s="1"/>
  <c r="O578" i="1" s="1"/>
  <c r="K438" i="1"/>
  <c r="L438" i="1" s="1"/>
  <c r="M438" i="1" s="1"/>
  <c r="N438" i="1" s="1"/>
  <c r="O438" i="1" s="1"/>
  <c r="K235" i="1"/>
  <c r="K136" i="11"/>
  <c r="K25" i="11"/>
  <c r="K6" i="11"/>
  <c r="K311" i="1"/>
  <c r="L5" i="1"/>
  <c r="K79" i="11"/>
  <c r="K100" i="11"/>
  <c r="K281" i="1"/>
  <c r="K203" i="1"/>
  <c r="K40" i="1"/>
  <c r="J5" i="1"/>
  <c r="O364" i="1"/>
  <c r="O152" i="1"/>
  <c r="Q13" i="9"/>
  <c r="Q31" i="9" s="1"/>
  <c r="I13" i="9"/>
  <c r="O13" i="9" s="1"/>
  <c r="N356" i="1"/>
  <c r="N376" i="1" s="1"/>
  <c r="N401" i="1"/>
  <c r="B535" i="1"/>
  <c r="B399" i="1"/>
  <c r="B579" i="1"/>
  <c r="B439" i="1"/>
  <c r="B236" i="1"/>
  <c r="B312" i="1"/>
  <c r="B102" i="1"/>
  <c r="B82" i="1"/>
  <c r="B282" i="1"/>
  <c r="B204" i="1"/>
  <c r="B166" i="1"/>
  <c r="B41" i="1"/>
  <c r="B354" i="1"/>
  <c r="B475" i="1"/>
  <c r="B133" i="1"/>
  <c r="K101" i="1"/>
  <c r="K407" i="1"/>
  <c r="K243" i="1"/>
  <c r="K269" i="1" s="1"/>
  <c r="H550" i="1"/>
  <c r="K553" i="1" s="1"/>
  <c r="N133" i="11"/>
  <c r="O365" i="1"/>
  <c r="M559" i="1"/>
  <c r="M566" i="1" s="1"/>
  <c r="P66" i="9"/>
  <c r="Q66" i="9"/>
  <c r="O67" i="9"/>
  <c r="O73" i="9" s="1"/>
  <c r="K73" i="9" s="1"/>
  <c r="K9" i="1"/>
  <c r="O601" i="1"/>
  <c r="M132" i="11"/>
  <c r="P67" i="9"/>
  <c r="P74" i="9" s="1"/>
  <c r="F7" i="3"/>
  <c r="L9" i="1"/>
  <c r="I11" i="9"/>
  <c r="O11" i="9" s="1"/>
  <c r="I14" i="9"/>
  <c r="O14" i="9" s="1"/>
  <c r="I17" i="9"/>
  <c r="O17" i="9" s="1"/>
  <c r="I20" i="9"/>
  <c r="O20" i="9" s="1"/>
  <c r="Q67" i="9"/>
  <c r="Q75" i="9" s="1"/>
  <c r="H5" i="4"/>
  <c r="H48" i="4" s="1"/>
  <c r="I48" i="4" s="1"/>
  <c r="J48" i="4" s="1"/>
  <c r="K48" i="4" s="1"/>
  <c r="L48" i="4" s="1"/>
  <c r="L7" i="3"/>
  <c r="M9" i="1"/>
  <c r="O68" i="9"/>
  <c r="N9" i="1"/>
  <c r="K588" i="1"/>
  <c r="P68" i="9"/>
  <c r="J10" i="5"/>
  <c r="O9" i="1"/>
  <c r="E43" i="1"/>
  <c r="E84" i="1" s="1"/>
  <c r="L588" i="1"/>
  <c r="J133" i="11"/>
  <c r="M148" i="11" s="1"/>
  <c r="Q68" i="9"/>
  <c r="M588" i="1"/>
  <c r="I12" i="9"/>
  <c r="O12" i="9" s="1"/>
  <c r="I15" i="9"/>
  <c r="O15" i="9" s="1"/>
  <c r="I18" i="9"/>
  <c r="O18" i="9" s="1"/>
  <c r="E35" i="5"/>
  <c r="N588" i="1"/>
  <c r="F69" i="11"/>
  <c r="D87" i="11" s="1"/>
  <c r="C109" i="11"/>
  <c r="F6" i="3"/>
  <c r="F9" i="3" s="1"/>
  <c r="C25" i="5"/>
  <c r="Z27" i="3"/>
  <c r="F40" i="10"/>
  <c r="N79" i="3"/>
  <c r="N89" i="3" s="1"/>
  <c r="Y27" i="3"/>
  <c r="X27" i="3"/>
  <c r="F39" i="10"/>
  <c r="O21" i="1"/>
  <c r="L21" i="1"/>
  <c r="M21" i="1"/>
  <c r="N21" i="1"/>
  <c r="AA27" i="3"/>
  <c r="I37" i="9" l="1"/>
  <c r="I73" i="9"/>
  <c r="F73" i="9" s="1"/>
  <c r="W27" i="3"/>
  <c r="K14" i="1"/>
  <c r="L553" i="1"/>
  <c r="M553" i="1" s="1"/>
  <c r="N553" i="1" s="1"/>
  <c r="O553" i="1" s="1"/>
  <c r="L567" i="1"/>
  <c r="M567" i="1" s="1"/>
  <c r="N567" i="1" s="1"/>
  <c r="O567" i="1" s="1"/>
  <c r="D609" i="1"/>
  <c r="L608" i="1"/>
  <c r="K608" i="1"/>
  <c r="T67" i="3"/>
  <c r="O415" i="1"/>
  <c r="C50" i="3"/>
  <c r="N131" i="3"/>
  <c r="N71" i="3"/>
  <c r="C132" i="11"/>
  <c r="D75" i="11"/>
  <c r="C172" i="11"/>
  <c r="L40" i="1"/>
  <c r="M40" i="1" s="1"/>
  <c r="N40" i="1" s="1"/>
  <c r="O40" i="1" s="1"/>
  <c r="J40" i="1"/>
  <c r="J412" i="1"/>
  <c r="C57" i="5"/>
  <c r="G57" i="5" s="1"/>
  <c r="N23" i="5" s="1"/>
  <c r="N27" i="5" s="1"/>
  <c r="V59" i="3"/>
  <c r="L8" i="3"/>
  <c r="N20" i="1"/>
  <c r="N22" i="1" s="1"/>
  <c r="N29" i="1" s="1"/>
  <c r="N45" i="1" s="1"/>
  <c r="N56" i="1" s="1"/>
  <c r="N43" i="1"/>
  <c r="H253" i="1"/>
  <c r="K260" i="1"/>
  <c r="L235" i="1"/>
  <c r="J235" i="1"/>
  <c r="B243" i="1" s="1"/>
  <c r="K252" i="1"/>
  <c r="O31" i="9"/>
  <c r="O28" i="9"/>
  <c r="O30" i="9"/>
  <c r="O29" i="9"/>
  <c r="O36" i="9" s="1"/>
  <c r="W24" i="3"/>
  <c r="L101" i="1"/>
  <c r="J101" i="1"/>
  <c r="B15" i="5" s="1"/>
  <c r="M43" i="1"/>
  <c r="M20" i="1"/>
  <c r="M22" i="1" s="1"/>
  <c r="M29" i="1" s="1"/>
  <c r="J176" i="11"/>
  <c r="J136" i="11"/>
  <c r="J25" i="11"/>
  <c r="J6" i="11"/>
  <c r="J100" i="11"/>
  <c r="K111" i="11" s="1"/>
  <c r="L281" i="1"/>
  <c r="M281" i="1" s="1"/>
  <c r="N281" i="1" s="1"/>
  <c r="O281" i="1" s="1"/>
  <c r="J281" i="1"/>
  <c r="K192" i="1"/>
  <c r="L518" i="1"/>
  <c r="L521" i="1" s="1"/>
  <c r="Q28" i="9"/>
  <c r="I5" i="4"/>
  <c r="H85" i="4"/>
  <c r="H59" i="4"/>
  <c r="I59" i="4" s="1"/>
  <c r="J59" i="4" s="1"/>
  <c r="K59" i="4" s="1"/>
  <c r="L59" i="4" s="1"/>
  <c r="O66" i="9"/>
  <c r="L243" i="1"/>
  <c r="L269" i="1" s="1"/>
  <c r="L431" i="1"/>
  <c r="L619" i="1"/>
  <c r="N583" i="1"/>
  <c r="N619" i="1" s="1"/>
  <c r="O20" i="1"/>
  <c r="O22" i="1" s="1"/>
  <c r="O29" i="1" s="1"/>
  <c r="O31" i="1" s="1"/>
  <c r="O106" i="1" s="1"/>
  <c r="O43" i="1"/>
  <c r="N415" i="1"/>
  <c r="N431" i="1"/>
  <c r="M142" i="11"/>
  <c r="N132" i="11"/>
  <c r="M415" i="1"/>
  <c r="M431" i="1"/>
  <c r="L148" i="11"/>
  <c r="K148" i="11"/>
  <c r="N148" i="11"/>
  <c r="O133" i="11"/>
  <c r="L176" i="11"/>
  <c r="L91" i="11"/>
  <c r="L136" i="11"/>
  <c r="L25" i="11"/>
  <c r="L6" i="11"/>
  <c r="M5" i="1"/>
  <c r="L79" i="11"/>
  <c r="L100" i="11"/>
  <c r="L311" i="1"/>
  <c r="M311" i="1" s="1"/>
  <c r="N311" i="1" s="1"/>
  <c r="O311" i="1" s="1"/>
  <c r="J311" i="1"/>
  <c r="L81" i="1"/>
  <c r="M81" i="1" s="1"/>
  <c r="N81" i="1" s="1"/>
  <c r="O81" i="1" s="1"/>
  <c r="J81" i="1"/>
  <c r="M249" i="1"/>
  <c r="L253" i="1"/>
  <c r="M254" i="1" s="1"/>
  <c r="N255" i="1" s="1"/>
  <c r="O256" i="1" s="1"/>
  <c r="L43" i="1"/>
  <c r="L71" i="1" s="1"/>
  <c r="L20" i="1"/>
  <c r="L22" i="1" s="1"/>
  <c r="L29" i="1" s="1"/>
  <c r="L31" i="1" s="1"/>
  <c r="L106" i="1" s="1"/>
  <c r="L203" i="1"/>
  <c r="M203" i="1" s="1"/>
  <c r="N203" i="1" s="1"/>
  <c r="O203" i="1" s="1"/>
  <c r="J203" i="1"/>
  <c r="K43" i="1"/>
  <c r="K20" i="1"/>
  <c r="K165" i="1"/>
  <c r="L132" i="1"/>
  <c r="K444" i="1"/>
  <c r="K445" i="1" s="1"/>
  <c r="K481" i="1" s="1"/>
  <c r="M619" i="1"/>
  <c r="O583" i="1"/>
  <c r="O619" i="1" s="1"/>
  <c r="J13" i="5"/>
  <c r="C28" i="5"/>
  <c r="F12" i="3" s="1"/>
  <c r="E123" i="11" s="1"/>
  <c r="E73" i="9" s="1"/>
  <c r="N8" i="5"/>
  <c r="K21" i="1" l="1"/>
  <c r="K22" i="1" s="1"/>
  <c r="K29" i="1" s="1"/>
  <c r="K31" i="1" s="1"/>
  <c r="K106" i="1" s="1"/>
  <c r="K16" i="1"/>
  <c r="K33" i="1" s="1"/>
  <c r="P9" i="7" s="1"/>
  <c r="M243" i="1"/>
  <c r="M269" i="1" s="1"/>
  <c r="D610" i="1"/>
  <c r="T65" i="3" s="1"/>
  <c r="T66" i="3"/>
  <c r="K609" i="1"/>
  <c r="L111" i="11"/>
  <c r="N31" i="1"/>
  <c r="N106" i="1" s="1"/>
  <c r="L45" i="1"/>
  <c r="L56" i="1" s="1"/>
  <c r="M31" i="1"/>
  <c r="M106" i="1" s="1"/>
  <c r="M45" i="1"/>
  <c r="M56" i="1" s="1"/>
  <c r="N249" i="1"/>
  <c r="M253" i="1"/>
  <c r="N254" i="1" s="1"/>
  <c r="O255" i="1" s="1"/>
  <c r="H261" i="1"/>
  <c r="H254" i="1"/>
  <c r="M132" i="1"/>
  <c r="L165" i="1"/>
  <c r="L192" i="1"/>
  <c r="M518" i="1"/>
  <c r="M521" i="1" s="1"/>
  <c r="M71" i="1"/>
  <c r="M84" i="1"/>
  <c r="N142" i="11"/>
  <c r="O132" i="11"/>
  <c r="O45" i="1"/>
  <c r="O56" i="1" s="1"/>
  <c r="N71" i="1"/>
  <c r="N66" i="1" s="1"/>
  <c r="N84" i="1"/>
  <c r="M176" i="11"/>
  <c r="M91" i="11"/>
  <c r="M136" i="11"/>
  <c r="M25" i="11"/>
  <c r="M6" i="11"/>
  <c r="N5" i="1"/>
  <c r="M79" i="11"/>
  <c r="M100" i="11"/>
  <c r="M111" i="11" s="1"/>
  <c r="O71" i="1"/>
  <c r="O84" i="1"/>
  <c r="L84" i="1"/>
  <c r="J5" i="4"/>
  <c r="I85" i="4"/>
  <c r="N11" i="5"/>
  <c r="Q9" i="3" s="1"/>
  <c r="U56" i="3"/>
  <c r="K84" i="1"/>
  <c r="K71" i="1"/>
  <c r="K72" i="1"/>
  <c r="L72" i="1" s="1"/>
  <c r="M72" i="1" s="1"/>
  <c r="N72" i="1" s="1"/>
  <c r="O72" i="1" s="1"/>
  <c r="K409" i="1"/>
  <c r="K410" i="1" s="1"/>
  <c r="O148" i="11"/>
  <c r="P133" i="11"/>
  <c r="L260" i="1"/>
  <c r="M235" i="1"/>
  <c r="L252" i="1"/>
  <c r="X24" i="3"/>
  <c r="M101" i="1"/>
  <c r="Q6" i="3"/>
  <c r="E74" i="9"/>
  <c r="E75" i="9" s="1"/>
  <c r="G73" i="9"/>
  <c r="I13" i="5"/>
  <c r="I15" i="5" s="1"/>
  <c r="L11" i="3"/>
  <c r="O44" i="1"/>
  <c r="L44" i="1"/>
  <c r="N67" i="1" l="1"/>
  <c r="N69" i="1" s="1"/>
  <c r="N90" i="1" s="1"/>
  <c r="K44" i="1"/>
  <c r="K85" i="1" s="1"/>
  <c r="N243" i="1"/>
  <c r="N269" i="1" s="1"/>
  <c r="N44" i="1"/>
  <c r="M44" i="1"/>
  <c r="M85" i="1" s="1"/>
  <c r="K45" i="1"/>
  <c r="K56" i="1" s="1"/>
  <c r="M67" i="1"/>
  <c r="M66" i="1"/>
  <c r="L67" i="1"/>
  <c r="L66" i="1"/>
  <c r="O66" i="1"/>
  <c r="O67" i="1"/>
  <c r="Q10" i="3"/>
  <c r="M260" i="1"/>
  <c r="N235" i="1"/>
  <c r="M252" i="1"/>
  <c r="O74" i="1"/>
  <c r="O94" i="1" s="1"/>
  <c r="O110" i="1" s="1"/>
  <c r="M192" i="1"/>
  <c r="N518" i="1"/>
  <c r="N521" i="1" s="1"/>
  <c r="K74" i="1"/>
  <c r="K94" i="1" s="1"/>
  <c r="K110" i="1" s="1"/>
  <c r="L74" i="1"/>
  <c r="L94" i="1" s="1"/>
  <c r="L110" i="1" s="1"/>
  <c r="N176" i="11"/>
  <c r="N91" i="11"/>
  <c r="N136" i="11"/>
  <c r="N25" i="11"/>
  <c r="N6" i="11"/>
  <c r="O5" i="1"/>
  <c r="N79" i="11"/>
  <c r="N100" i="11"/>
  <c r="N111" i="11" s="1"/>
  <c r="N101" i="1"/>
  <c r="Y24" i="3"/>
  <c r="N253" i="1"/>
  <c r="O254" i="1" s="1"/>
  <c r="O249" i="1"/>
  <c r="O253" i="1" s="1"/>
  <c r="K411" i="1"/>
  <c r="K360" i="1" s="1"/>
  <c r="M165" i="1"/>
  <c r="N132" i="1"/>
  <c r="N12" i="5"/>
  <c r="J14" i="5" s="1"/>
  <c r="K5" i="4"/>
  <c r="J85" i="4"/>
  <c r="M74" i="1"/>
  <c r="M94" i="1" s="1"/>
  <c r="M110" i="1" s="1"/>
  <c r="N74" i="1"/>
  <c r="N94" i="1" s="1"/>
  <c r="N110" i="1" s="1"/>
  <c r="P132" i="11"/>
  <c r="O142" i="11"/>
  <c r="H262" i="1"/>
  <c r="H255" i="1"/>
  <c r="L207" i="1"/>
  <c r="L218" i="1" s="1"/>
  <c r="N99" i="3"/>
  <c r="O85" i="1"/>
  <c r="L85" i="1"/>
  <c r="K57" i="1" l="1"/>
  <c r="K60" i="1"/>
  <c r="K58" i="1"/>
  <c r="K59" i="1"/>
  <c r="N85" i="1"/>
  <c r="O243" i="1"/>
  <c r="O269" i="1" s="1"/>
  <c r="K66" i="1"/>
  <c r="K67" i="1"/>
  <c r="L69" i="1"/>
  <c r="L90" i="1" s="1"/>
  <c r="M69" i="1"/>
  <c r="M90" i="1" s="1"/>
  <c r="O69" i="1"/>
  <c r="O90" i="1" s="1"/>
  <c r="M207" i="1"/>
  <c r="O99" i="3"/>
  <c r="O98" i="3" s="1"/>
  <c r="L12" i="3"/>
  <c r="C60" i="5"/>
  <c r="J15" i="5"/>
  <c r="H41" i="4" s="1"/>
  <c r="N165" i="1"/>
  <c r="O132" i="1"/>
  <c r="O165" i="1" s="1"/>
  <c r="K479" i="1"/>
  <c r="N192" i="1"/>
  <c r="O518" i="1"/>
  <c r="O521" i="1" s="1"/>
  <c r="O192" i="1" s="1"/>
  <c r="N260" i="1"/>
  <c r="O235" i="1"/>
  <c r="N252" i="1"/>
  <c r="O101" i="1"/>
  <c r="AA24" i="3" s="1"/>
  <c r="Z24" i="3"/>
  <c r="H256" i="1"/>
  <c r="H263" i="1"/>
  <c r="L5" i="4"/>
  <c r="L85" i="4" s="1"/>
  <c r="K85" i="4"/>
  <c r="O176" i="11"/>
  <c r="O91" i="11"/>
  <c r="K120" i="11" s="1"/>
  <c r="O136" i="11"/>
  <c r="O25" i="11"/>
  <c r="O6" i="11"/>
  <c r="O79" i="11"/>
  <c r="K115" i="11" s="1"/>
  <c r="O100" i="11"/>
  <c r="O111" i="11" s="1"/>
  <c r="K149" i="1"/>
  <c r="K412" i="1"/>
  <c r="L171" i="1"/>
  <c r="H38" i="4" l="1"/>
  <c r="K284" i="1" s="1"/>
  <c r="K292" i="1" s="1"/>
  <c r="M218" i="1"/>
  <c r="M171" i="1" s="1"/>
  <c r="K207" i="1"/>
  <c r="K218" i="1" s="1"/>
  <c r="K171" i="1" s="1"/>
  <c r="M99" i="3"/>
  <c r="N98" i="3" s="1"/>
  <c r="K69" i="1"/>
  <c r="K90" i="1" s="1"/>
  <c r="K89" i="1"/>
  <c r="O260" i="1"/>
  <c r="O252" i="1"/>
  <c r="N207" i="1"/>
  <c r="P99" i="3"/>
  <c r="P98" i="3" s="1"/>
  <c r="K487" i="1"/>
  <c r="L409" i="1"/>
  <c r="L410" i="1" s="1"/>
  <c r="K416" i="1"/>
  <c r="K495" i="1" s="1"/>
  <c r="J609" i="1"/>
  <c r="C61" i="5"/>
  <c r="J608" i="1"/>
  <c r="J606" i="1"/>
  <c r="U55" i="3"/>
  <c r="J610" i="1"/>
  <c r="J607" i="1"/>
  <c r="Q99" i="3"/>
  <c r="O207" i="1"/>
  <c r="H257" i="1"/>
  <c r="H265" i="1" s="1"/>
  <c r="H264" i="1"/>
  <c r="D21" i="3"/>
  <c r="L13" i="3"/>
  <c r="K238" i="1" l="1"/>
  <c r="K144" i="1" s="1"/>
  <c r="J41" i="4"/>
  <c r="I38" i="4"/>
  <c r="N218" i="1"/>
  <c r="O218" i="1"/>
  <c r="O171" i="1" s="1"/>
  <c r="K91" i="1"/>
  <c r="K299" i="1"/>
  <c r="D60" i="5"/>
  <c r="D59" i="5"/>
  <c r="D58" i="5"/>
  <c r="D55" i="5"/>
  <c r="D56" i="5"/>
  <c r="D57" i="5"/>
  <c r="Q98" i="3"/>
  <c r="I261" i="1" l="1"/>
  <c r="J261" i="1" s="1"/>
  <c r="O261" i="1" s="1"/>
  <c r="L238" i="1"/>
  <c r="L284" i="1"/>
  <c r="L292" i="1" s="1"/>
  <c r="L299" i="1" s="1"/>
  <c r="L636" i="1" s="1"/>
  <c r="K41" i="4"/>
  <c r="J38" i="4"/>
  <c r="N171" i="1"/>
  <c r="D61" i="5"/>
  <c r="K636" i="1"/>
  <c r="K300" i="1"/>
  <c r="K324" i="1" s="1"/>
  <c r="K145" i="1"/>
  <c r="K540" i="1"/>
  <c r="M261" i="1" l="1"/>
  <c r="K261" i="1"/>
  <c r="N261" i="1"/>
  <c r="L261" i="1"/>
  <c r="M238" i="1"/>
  <c r="M284" i="1"/>
  <c r="M292" i="1" s="1"/>
  <c r="M299" i="1" s="1"/>
  <c r="M636" i="1" s="1"/>
  <c r="L41" i="4"/>
  <c r="L38" i="4" s="1"/>
  <c r="K38" i="4"/>
  <c r="L144" i="1"/>
  <c r="I262" i="1"/>
  <c r="J262" i="1" s="1"/>
  <c r="K301" i="1"/>
  <c r="L298" i="1" s="1"/>
  <c r="L300" i="1" s="1"/>
  <c r="L324" i="1" s="1"/>
  <c r="J139" i="11"/>
  <c r="J179" i="11"/>
  <c r="M107" i="3"/>
  <c r="J16" i="11"/>
  <c r="J33" i="11" s="1"/>
  <c r="L262" i="1" l="1"/>
  <c r="O262" i="1"/>
  <c r="K262" i="1"/>
  <c r="M262" i="1"/>
  <c r="N262" i="1"/>
  <c r="L145" i="1"/>
  <c r="L362" i="1"/>
  <c r="L540" i="1"/>
  <c r="N284" i="1"/>
  <c r="N292" i="1" s="1"/>
  <c r="N299" i="1" s="1"/>
  <c r="N636" i="1" s="1"/>
  <c r="N238" i="1"/>
  <c r="O284" i="1"/>
  <c r="O292" i="1" s="1"/>
  <c r="O299" i="1" s="1"/>
  <c r="O636" i="1" s="1"/>
  <c r="O238" i="1"/>
  <c r="M144" i="1"/>
  <c r="I263" i="1"/>
  <c r="J263" i="1" s="1"/>
  <c r="L301" i="1"/>
  <c r="M298" i="1" s="1"/>
  <c r="M300" i="1" s="1"/>
  <c r="M324" i="1" s="1"/>
  <c r="O144" i="1" l="1"/>
  <c r="I265" i="1"/>
  <c r="J265" i="1" s="1"/>
  <c r="N144" i="1"/>
  <c r="I264" i="1"/>
  <c r="J264" i="1" s="1"/>
  <c r="K16" i="11"/>
  <c r="N107" i="3"/>
  <c r="N263" i="1"/>
  <c r="M263" i="1"/>
  <c r="O263" i="1"/>
  <c r="K263" i="1"/>
  <c r="L263" i="1"/>
  <c r="M145" i="1"/>
  <c r="O107" i="3" s="1"/>
  <c r="M540" i="1"/>
  <c r="M362" i="1"/>
  <c r="M301" i="1"/>
  <c r="N298" i="1" s="1"/>
  <c r="N300" i="1" s="1"/>
  <c r="N324" i="1" s="1"/>
  <c r="L16" i="11" l="1"/>
  <c r="K31" i="11"/>
  <c r="K46" i="11"/>
  <c r="K39" i="11"/>
  <c r="K264" i="1"/>
  <c r="N264" i="1"/>
  <c r="M264" i="1"/>
  <c r="O264" i="1"/>
  <c r="L264" i="1"/>
  <c r="N362" i="1"/>
  <c r="N540" i="1"/>
  <c r="N145" i="1"/>
  <c r="P107" i="3" s="1"/>
  <c r="K265" i="1"/>
  <c r="M265" i="1"/>
  <c r="L265" i="1"/>
  <c r="O265" i="1"/>
  <c r="N265" i="1"/>
  <c r="O540" i="1"/>
  <c r="O362" i="1"/>
  <c r="O145" i="1"/>
  <c r="Q107" i="3" s="1"/>
  <c r="N301" i="1"/>
  <c r="O298" i="1" s="1"/>
  <c r="O300" i="1" s="1"/>
  <c r="O324" i="1" s="1"/>
  <c r="L270" i="1" l="1"/>
  <c r="L271" i="1" s="1"/>
  <c r="L637" i="1" s="1"/>
  <c r="K270" i="1"/>
  <c r="K271" i="1" s="1"/>
  <c r="K637" i="1" s="1"/>
  <c r="N270" i="1"/>
  <c r="N271" i="1" s="1"/>
  <c r="N293" i="1" s="1"/>
  <c r="N323" i="1" s="1"/>
  <c r="O270" i="1"/>
  <c r="O271" i="1" s="1"/>
  <c r="O293" i="1" s="1"/>
  <c r="O323" i="1" s="1"/>
  <c r="M270" i="1"/>
  <c r="M271" i="1" s="1"/>
  <c r="M293" i="1" s="1"/>
  <c r="M323" i="1" s="1"/>
  <c r="M16" i="11"/>
  <c r="L31" i="11"/>
  <c r="L46" i="11"/>
  <c r="L39" i="11"/>
  <c r="O301" i="1"/>
  <c r="O114" i="1" l="1"/>
  <c r="O137" i="1" s="1"/>
  <c r="O9" i="11"/>
  <c r="O30" i="11" s="1"/>
  <c r="O637" i="1"/>
  <c r="N9" i="11"/>
  <c r="N30" i="11" s="1"/>
  <c r="N637" i="1"/>
  <c r="N114" i="1"/>
  <c r="N137" i="1" s="1"/>
  <c r="K9" i="11"/>
  <c r="K293" i="1"/>
  <c r="K323" i="1" s="1"/>
  <c r="K114" i="1"/>
  <c r="K137" i="1" s="1"/>
  <c r="L114" i="1"/>
  <c r="L137" i="1" s="1"/>
  <c r="L9" i="11"/>
  <c r="L30" i="11" s="1"/>
  <c r="L293" i="1"/>
  <c r="L323" i="1" s="1"/>
  <c r="M637" i="1"/>
  <c r="M114" i="1"/>
  <c r="M137" i="1" s="1"/>
  <c r="M9" i="11"/>
  <c r="M37" i="11" s="1"/>
  <c r="M39" i="11"/>
  <c r="N16" i="11"/>
  <c r="M31" i="11"/>
  <c r="M46" i="11"/>
  <c r="K30" i="11"/>
  <c r="K37" i="11"/>
  <c r="K294" i="1"/>
  <c r="N37" i="11"/>
  <c r="O37" i="11" l="1"/>
  <c r="L37" i="11"/>
  <c r="M30" i="11"/>
  <c r="L291" i="1"/>
  <c r="L294" i="1" s="1"/>
  <c r="K175" i="1"/>
  <c r="N31" i="11"/>
  <c r="N46" i="11"/>
  <c r="N39" i="11"/>
  <c r="O16" i="11"/>
  <c r="H74" i="3"/>
  <c r="I74" i="3" s="1"/>
  <c r="O46" i="11" l="1"/>
  <c r="O39" i="11"/>
  <c r="O31" i="11"/>
  <c r="M291" i="1"/>
  <c r="M294" i="1" s="1"/>
  <c r="L175" i="1"/>
  <c r="F33" i="14"/>
  <c r="N291" i="1" l="1"/>
  <c r="N294" i="1" s="1"/>
  <c r="M175" i="1"/>
  <c r="F43" i="14"/>
  <c r="E33" i="14"/>
  <c r="O291" i="1" l="1"/>
  <c r="O294" i="1" s="1"/>
  <c r="O175" i="1" s="1"/>
  <c r="N175" i="1"/>
  <c r="E43" i="14"/>
  <c r="K62" i="1" l="1"/>
  <c r="K93" i="1" s="1"/>
  <c r="K107" i="1" s="1"/>
  <c r="K95" i="1" l="1"/>
  <c r="K208" i="1" l="1"/>
  <c r="K108" i="1"/>
  <c r="K112" i="1" l="1"/>
  <c r="K109" i="1"/>
  <c r="K219" i="1"/>
  <c r="K220" i="1"/>
  <c r="K172" i="1" l="1"/>
  <c r="K224" i="1"/>
  <c r="K225" i="1"/>
  <c r="K182" i="1"/>
  <c r="K587" i="1"/>
  <c r="K589" i="1" s="1"/>
  <c r="K597" i="1" s="1"/>
  <c r="K15" i="11"/>
  <c r="K538" i="1"/>
  <c r="K115" i="1"/>
  <c r="M100" i="3"/>
  <c r="M101" i="3" s="1"/>
  <c r="K226" i="1" l="1"/>
  <c r="K622" i="1"/>
  <c r="K13" i="11"/>
  <c r="M74" i="9"/>
  <c r="K74" i="9" s="1"/>
  <c r="I74" i="9" s="1"/>
  <c r="F74" i="9" s="1"/>
  <c r="K44" i="11"/>
  <c r="K36" i="9"/>
  <c r="I36" i="9" s="1"/>
  <c r="G36" i="9" s="1"/>
  <c r="E36" i="9" s="1"/>
  <c r="K229" i="1" l="1"/>
  <c r="G74" i="9"/>
  <c r="K27" i="11"/>
  <c r="K626" i="1"/>
  <c r="K627" i="1" s="1"/>
  <c r="K628" i="1" s="1"/>
  <c r="K638" i="1" l="1"/>
  <c r="K140" i="1"/>
  <c r="K17" i="11" s="1"/>
  <c r="K40" i="11" s="1"/>
  <c r="K629" i="1"/>
  <c r="L625" i="1" s="1"/>
  <c r="K47" i="11" l="1"/>
  <c r="K32" i="11"/>
  <c r="M59" i="1" l="1"/>
  <c r="N58" i="1"/>
  <c r="O60" i="1"/>
  <c r="L60" i="1"/>
  <c r="L58" i="1"/>
  <c r="O59" i="1"/>
  <c r="O58" i="1"/>
  <c r="M58" i="1"/>
  <c r="N59" i="1"/>
  <c r="N54" i="1"/>
  <c r="N89" i="1" s="1"/>
  <c r="N91" i="1" s="1"/>
  <c r="L54" i="1"/>
  <c r="L89" i="1" s="1"/>
  <c r="L91" i="1" s="1"/>
  <c r="L59" i="1"/>
  <c r="M54" i="1"/>
  <c r="M89" i="1"/>
  <c r="M91" i="1" s="1"/>
  <c r="M60" i="1"/>
  <c r="O54" i="1"/>
  <c r="O89" i="1" s="1"/>
  <c r="O91" i="1" s="1"/>
  <c r="N60" i="1"/>
  <c r="L57" i="1"/>
  <c r="M57" i="1"/>
  <c r="O57" i="1"/>
  <c r="N57" i="1"/>
  <c r="N62" i="1" l="1"/>
  <c r="N93" i="1" s="1"/>
  <c r="N107" i="1" s="1"/>
  <c r="L62" i="1"/>
  <c r="L93" i="1" s="1"/>
  <c r="M62" i="1"/>
  <c r="M93" i="1" s="1"/>
  <c r="O62" i="1"/>
  <c r="O93" i="1" s="1"/>
  <c r="N95" i="1" l="1"/>
  <c r="L95" i="1"/>
  <c r="L107" i="1"/>
  <c r="N208" i="1"/>
  <c r="N108" i="1"/>
  <c r="M107" i="1"/>
  <c r="M95" i="1"/>
  <c r="O95" i="1"/>
  <c r="O107" i="1"/>
  <c r="N219" i="1" l="1"/>
  <c r="N224" i="1" s="1"/>
  <c r="N220" i="1"/>
  <c r="N225" i="1" s="1"/>
  <c r="N109" i="1"/>
  <c r="N112" i="1"/>
  <c r="L108" i="1"/>
  <c r="L208" i="1"/>
  <c r="O108" i="1"/>
  <c r="O208" i="1"/>
  <c r="M108" i="1"/>
  <c r="M208" i="1"/>
  <c r="M220" i="1" l="1"/>
  <c r="M225" i="1" s="1"/>
  <c r="M219" i="1"/>
  <c r="M224" i="1" s="1"/>
  <c r="O220" i="1"/>
  <c r="O225" i="1" s="1"/>
  <c r="O219" i="1"/>
  <c r="O224" i="1" s="1"/>
  <c r="L219" i="1"/>
  <c r="L224" i="1" s="1"/>
  <c r="L220" i="1"/>
  <c r="L225" i="1" s="1"/>
  <c r="N226" i="1"/>
  <c r="L112" i="1"/>
  <c r="L109" i="1"/>
  <c r="N182" i="1"/>
  <c r="N172" i="1"/>
  <c r="P100" i="3"/>
  <c r="P101" i="3" s="1"/>
  <c r="Z26" i="3"/>
  <c r="N587" i="1"/>
  <c r="N589" i="1" s="1"/>
  <c r="N597" i="1" s="1"/>
  <c r="N115" i="1"/>
  <c r="N538" i="1"/>
  <c r="N15" i="11"/>
  <c r="N44" i="11" s="1"/>
  <c r="M109" i="1"/>
  <c r="M112" i="1"/>
  <c r="O109" i="1"/>
  <c r="O112" i="1"/>
  <c r="O226" i="1" l="1"/>
  <c r="O229" i="1" s="1"/>
  <c r="M226" i="1"/>
  <c r="N229" i="1" s="1"/>
  <c r="L226" i="1"/>
  <c r="N13" i="11"/>
  <c r="N27" i="11" s="1"/>
  <c r="N622" i="1"/>
  <c r="N626" i="1" s="1"/>
  <c r="L587" i="1"/>
  <c r="L589" i="1" s="1"/>
  <c r="L597" i="1" s="1"/>
  <c r="L538" i="1"/>
  <c r="L115" i="1"/>
  <c r="L15" i="11"/>
  <c r="N100" i="3"/>
  <c r="N101" i="3" s="1"/>
  <c r="X26" i="3"/>
  <c r="L172" i="1"/>
  <c r="L182" i="1"/>
  <c r="AA26" i="3"/>
  <c r="F643" i="1"/>
  <c r="F644" i="1" s="1"/>
  <c r="W57" i="3"/>
  <c r="O15" i="11"/>
  <c r="O538" i="1"/>
  <c r="Q100" i="3"/>
  <c r="Q101" i="3" s="1"/>
  <c r="O115" i="1"/>
  <c r="O587" i="1"/>
  <c r="O589" i="1" s="1"/>
  <c r="O597" i="1" s="1"/>
  <c r="O172" i="1"/>
  <c r="O182" i="1"/>
  <c r="M538" i="1"/>
  <c r="Y26" i="3"/>
  <c r="M587" i="1"/>
  <c r="M589" i="1" s="1"/>
  <c r="M597" i="1" s="1"/>
  <c r="M115" i="1"/>
  <c r="O100" i="3"/>
  <c r="O101" i="3" s="1"/>
  <c r="M15" i="11"/>
  <c r="M44" i="11" s="1"/>
  <c r="M182" i="1"/>
  <c r="M172" i="1"/>
  <c r="M229" i="1" l="1"/>
  <c r="L229" i="1"/>
  <c r="L44" i="11"/>
  <c r="N75" i="9"/>
  <c r="K75" i="9" s="1"/>
  <c r="I75" i="9" s="1"/>
  <c r="F75" i="9" s="1"/>
  <c r="L622" i="1"/>
  <c r="L626" i="1" s="1"/>
  <c r="L627" i="1" s="1"/>
  <c r="L13" i="11"/>
  <c r="L27" i="11" s="1"/>
  <c r="Y58" i="3"/>
  <c r="X57" i="3"/>
  <c r="U57" i="3" s="1"/>
  <c r="O140" i="1"/>
  <c r="O13" i="11"/>
  <c r="O622" i="1"/>
  <c r="M622" i="1"/>
  <c r="M13" i="11"/>
  <c r="O93" i="11"/>
  <c r="O44" i="11"/>
  <c r="N638" i="1" l="1"/>
  <c r="N140" i="1"/>
  <c r="N17" i="11" s="1"/>
  <c r="N47" i="11" s="1"/>
  <c r="L638" i="1"/>
  <c r="L140" i="1"/>
  <c r="L17" i="11" s="1"/>
  <c r="L32" i="11" s="1"/>
  <c r="L628" i="1"/>
  <c r="L629" i="1" s="1"/>
  <c r="M625" i="1" s="1"/>
  <c r="G75" i="9"/>
  <c r="E38" i="10"/>
  <c r="G38" i="10"/>
  <c r="O17" i="11"/>
  <c r="O638" i="1"/>
  <c r="O94" i="11"/>
  <c r="O120" i="11"/>
  <c r="O626" i="1"/>
  <c r="O27" i="11"/>
  <c r="M27" i="11"/>
  <c r="M626" i="1"/>
  <c r="M638" i="1" l="1"/>
  <c r="M140" i="1"/>
  <c r="M17" i="11" s="1"/>
  <c r="M32" i="11" s="1"/>
  <c r="L47" i="11"/>
  <c r="L40" i="11"/>
  <c r="N40" i="11"/>
  <c r="N32" i="11"/>
  <c r="M627" i="1"/>
  <c r="M628" i="1" s="1"/>
  <c r="F38" i="10"/>
  <c r="O102" i="11"/>
  <c r="O116" i="11"/>
  <c r="O47" i="11"/>
  <c r="O40" i="11"/>
  <c r="O32" i="11"/>
  <c r="M47" i="11" l="1"/>
  <c r="M40" i="11"/>
  <c r="M629" i="1"/>
  <c r="N625" i="1" s="1"/>
  <c r="N627" i="1" s="1"/>
  <c r="N628" i="1" s="1"/>
  <c r="N629" i="1" s="1"/>
  <c r="O625" i="1" s="1"/>
  <c r="O627" i="1" s="1"/>
  <c r="O628" i="1" l="1"/>
  <c r="O629" i="1" s="1"/>
  <c r="L416" i="1"/>
  <c r="L495" i="1" s="1"/>
  <c r="K468" i="1"/>
  <c r="K500" i="1" s="1"/>
  <c r="K432" i="1"/>
  <c r="K496" i="1" s="1"/>
  <c r="K386" i="1"/>
  <c r="K457" i="1"/>
  <c r="K377" i="1"/>
  <c r="K494" i="1" l="1"/>
  <c r="K506" i="1"/>
  <c r="K118" i="1" s="1"/>
  <c r="K138" i="1" s="1"/>
  <c r="K446" i="1"/>
  <c r="K151" i="1" l="1"/>
  <c r="K447" i="1"/>
  <c r="K456" i="1" l="1"/>
  <c r="L444" i="1"/>
  <c r="K489" i="1"/>
  <c r="L445" i="1" l="1"/>
  <c r="L457" i="1"/>
  <c r="K497" i="1"/>
  <c r="K498" i="1" s="1"/>
  <c r="K501" i="1" s="1"/>
  <c r="K505" i="1" s="1"/>
  <c r="K458" i="1"/>
  <c r="K507" i="1" l="1"/>
  <c r="K117" i="1"/>
  <c r="K119" i="1" s="1"/>
  <c r="L506" i="1"/>
  <c r="L118" i="1" s="1"/>
  <c r="L138" i="1" s="1"/>
  <c r="L446" i="1"/>
  <c r="L481" i="1"/>
  <c r="L151" i="1"/>
  <c r="L447" i="1"/>
  <c r="M444" i="1" l="1"/>
  <c r="L489" i="1"/>
  <c r="L456" i="1"/>
  <c r="K541" i="1"/>
  <c r="K10" i="11"/>
  <c r="K121" i="1"/>
  <c r="K633" i="1"/>
  <c r="K314" i="1" l="1"/>
  <c r="K322" i="1" s="1"/>
  <c r="K632" i="1"/>
  <c r="K634" i="1" s="1"/>
  <c r="L458" i="1"/>
  <c r="L497" i="1"/>
  <c r="M445" i="1"/>
  <c r="M457" i="1"/>
  <c r="M506" i="1" l="1"/>
  <c r="M118" i="1" s="1"/>
  <c r="M138" i="1" s="1"/>
  <c r="M446" i="1"/>
  <c r="M447" i="1" s="1"/>
  <c r="M481" i="1"/>
  <c r="M151" i="1"/>
  <c r="K325" i="1"/>
  <c r="K343" i="1"/>
  <c r="K334" i="1"/>
  <c r="K635" i="1" l="1"/>
  <c r="K639" i="1" s="1"/>
  <c r="K315" i="1"/>
  <c r="K328" i="1"/>
  <c r="M489" i="1"/>
  <c r="N444" i="1"/>
  <c r="M456" i="1"/>
  <c r="M497" i="1" l="1"/>
  <c r="M458" i="1"/>
  <c r="N457" i="1"/>
  <c r="N445" i="1"/>
  <c r="K335" i="1"/>
  <c r="AD99" i="3"/>
  <c r="AD100" i="3" s="1"/>
  <c r="W29" i="3"/>
  <c r="AD103" i="3" l="1"/>
  <c r="K329" i="1"/>
  <c r="K330" i="1" s="1"/>
  <c r="K341" i="1" s="1"/>
  <c r="K336" i="1"/>
  <c r="L333" i="1" s="1"/>
  <c r="N481" i="1"/>
  <c r="N506" i="1"/>
  <c r="N118" i="1" s="1"/>
  <c r="N138" i="1" s="1"/>
  <c r="N446" i="1"/>
  <c r="N151" i="1" s="1"/>
  <c r="N447" i="1"/>
  <c r="W30" i="3"/>
  <c r="O444" i="1" l="1"/>
  <c r="N489" i="1"/>
  <c r="N456" i="1"/>
  <c r="K123" i="1"/>
  <c r="K342" i="1"/>
  <c r="K124" i="1" s="1"/>
  <c r="K139" i="1" s="1"/>
  <c r="K186" i="1" s="1"/>
  <c r="AD104" i="3"/>
  <c r="W145" i="3" l="1"/>
  <c r="K539" i="1"/>
  <c r="K125" i="1"/>
  <c r="N458" i="1"/>
  <c r="N497" i="1"/>
  <c r="O445" i="1"/>
  <c r="O457" i="1"/>
  <c r="O446" i="1" l="1"/>
  <c r="O506" i="1"/>
  <c r="O118" i="1" s="1"/>
  <c r="O138" i="1" s="1"/>
  <c r="O481" i="1"/>
  <c r="O151" i="1"/>
  <c r="K11" i="11"/>
  <c r="K127" i="1"/>
  <c r="K570" i="1"/>
  <c r="K571" i="1" s="1"/>
  <c r="K568" i="1"/>
  <c r="O447" i="1"/>
  <c r="O489" i="1" l="1"/>
  <c r="O456" i="1"/>
  <c r="W26" i="3"/>
  <c r="K237" i="11"/>
  <c r="K526" i="1"/>
  <c r="K528" i="1" s="1"/>
  <c r="M102" i="3"/>
  <c r="M103" i="3" s="1"/>
  <c r="K8" i="11"/>
  <c r="K136" i="1"/>
  <c r="K141" i="1" s="1"/>
  <c r="W85" i="3"/>
  <c r="K14" i="11"/>
  <c r="K45" i="11" s="1"/>
  <c r="K48" i="11" s="1"/>
  <c r="K28" i="11"/>
  <c r="K29" i="11" s="1"/>
  <c r="K33" i="11" s="1"/>
  <c r="K80" i="11" s="1"/>
  <c r="K92" i="11" s="1"/>
  <c r="K105" i="11" s="1"/>
  <c r="K12" i="11"/>
  <c r="K38" i="11" s="1"/>
  <c r="K361" i="1" l="1"/>
  <c r="K367" i="1" s="1"/>
  <c r="M106" i="3"/>
  <c r="K36" i="11"/>
  <c r="K41" i="11" s="1"/>
  <c r="M38" i="9"/>
  <c r="G38" i="9" s="1"/>
  <c r="L525" i="1"/>
  <c r="K193" i="1"/>
  <c r="K194" i="1" s="1"/>
  <c r="O497" i="1"/>
  <c r="O458" i="1"/>
  <c r="K177" i="11"/>
  <c r="K137" i="11"/>
  <c r="K107" i="11"/>
  <c r="K112" i="11" s="1"/>
  <c r="E38" i="9" l="1"/>
  <c r="I38" i="9"/>
  <c r="K372" i="1"/>
  <c r="K139" i="11"/>
  <c r="K179" i="11"/>
  <c r="K143" i="11" l="1"/>
  <c r="K149" i="11"/>
  <c r="K382" i="1"/>
  <c r="K383" i="1" s="1"/>
  <c r="K148" i="1"/>
  <c r="K478" i="1"/>
  <c r="K373" i="1"/>
  <c r="K392" i="1"/>
  <c r="K422" i="1" s="1"/>
  <c r="E37" i="10"/>
  <c r="G37" i="10"/>
  <c r="F37" i="10" l="1"/>
  <c r="K183" i="1"/>
  <c r="K184" i="1" s="1"/>
  <c r="K390" i="1"/>
  <c r="L381" i="1"/>
  <c r="E42" i="10"/>
  <c r="D42" i="10" s="1"/>
  <c r="K423" i="1"/>
  <c r="K427" i="1" s="1"/>
  <c r="K486" i="1"/>
  <c r="L371" i="1"/>
  <c r="K150" i="1" l="1"/>
  <c r="K154" i="1" s="1"/>
  <c r="K428" i="1"/>
  <c r="K480" i="1"/>
  <c r="K482" i="1" s="1"/>
  <c r="L386" i="1"/>
  <c r="L377" i="1"/>
  <c r="L494" i="1" l="1"/>
  <c r="L425" i="1"/>
  <c r="K488" i="1"/>
  <c r="M108" i="3"/>
  <c r="M109" i="3" s="1"/>
  <c r="K158" i="1"/>
  <c r="K159" i="1" l="1"/>
  <c r="K464" i="1"/>
  <c r="K465" i="1" s="1"/>
  <c r="L463" i="1" s="1"/>
  <c r="K187" i="1"/>
  <c r="K188" i="1" s="1"/>
  <c r="K197" i="1" s="1"/>
  <c r="K490" i="1"/>
  <c r="L432" i="1"/>
  <c r="L496" i="1" s="1"/>
  <c r="L498" i="1" s="1"/>
  <c r="L426" i="1"/>
  <c r="L363" i="1" l="1"/>
  <c r="L542" i="1" s="1"/>
  <c r="K592" i="1"/>
  <c r="K543" i="1"/>
  <c r="L468" i="1"/>
  <c r="L500" i="1" s="1"/>
  <c r="L501" i="1" s="1"/>
  <c r="L505" i="1" s="1"/>
  <c r="K170" i="1"/>
  <c r="L157" i="1"/>
  <c r="K593" i="1"/>
  <c r="K594" i="1" l="1"/>
  <c r="K598" i="1" s="1"/>
  <c r="K599" i="1" s="1"/>
  <c r="K610" i="1" s="1"/>
  <c r="F610" i="1" s="1"/>
  <c r="V65" i="3" s="1"/>
  <c r="L117" i="1"/>
  <c r="L119" i="1" s="1"/>
  <c r="L507" i="1"/>
  <c r="L406" i="1"/>
  <c r="K173" i="1"/>
  <c r="K245" i="11"/>
  <c r="K556" i="1"/>
  <c r="K554" i="1"/>
  <c r="E610" i="1" l="1"/>
  <c r="U65" i="3" s="1"/>
  <c r="K557" i="1"/>
  <c r="K246" i="11"/>
  <c r="K178" i="1"/>
  <c r="L407" i="1"/>
  <c r="L411" i="1" s="1"/>
  <c r="L360" i="1" s="1"/>
  <c r="L121" i="1"/>
  <c r="L541" i="1"/>
  <c r="L633" i="1"/>
  <c r="L10" i="11"/>
  <c r="L314" i="1" l="1"/>
  <c r="L322" i="1" s="1"/>
  <c r="L632" i="1"/>
  <c r="L634" i="1" s="1"/>
  <c r="L479" i="1"/>
  <c r="L149" i="1"/>
  <c r="L412" i="1"/>
  <c r="K238" i="11"/>
  <c r="K239" i="11"/>
  <c r="K242" i="11"/>
  <c r="K199" i="1"/>
  <c r="K240" i="11" l="1"/>
  <c r="M409" i="1"/>
  <c r="L487" i="1"/>
  <c r="L334" i="1"/>
  <c r="L343" i="1"/>
  <c r="L325" i="1"/>
  <c r="L315" i="1" l="1"/>
  <c r="L328" i="1"/>
  <c r="L635" i="1"/>
  <c r="L639" i="1" s="1"/>
  <c r="M410" i="1"/>
  <c r="M416" i="1"/>
  <c r="M495" i="1" s="1"/>
  <c r="AE99" i="3" l="1"/>
  <c r="AE100" i="3" s="1"/>
  <c r="X29" i="3"/>
  <c r="L335" i="1"/>
  <c r="L329" i="1" l="1"/>
  <c r="L330" i="1" s="1"/>
  <c r="L341" i="1" s="1"/>
  <c r="L336" i="1"/>
  <c r="M333" i="1" s="1"/>
  <c r="X30" i="3"/>
  <c r="AE103" i="3"/>
  <c r="AE104" i="3" l="1"/>
  <c r="L123" i="1"/>
  <c r="L342" i="1"/>
  <c r="L124" i="1" s="1"/>
  <c r="L139" i="1" s="1"/>
  <c r="L186" i="1" s="1"/>
  <c r="L539" i="1" l="1"/>
  <c r="L125" i="1"/>
  <c r="L11" i="11" l="1"/>
  <c r="L127" i="1"/>
  <c r="L570" i="1"/>
  <c r="L571" i="1" s="1"/>
  <c r="L568" i="1"/>
  <c r="L8" i="11" l="1"/>
  <c r="L36" i="11" s="1"/>
  <c r="L237" i="11"/>
  <c r="N102" i="3"/>
  <c r="N103" i="3" s="1"/>
  <c r="L136" i="1"/>
  <c r="L141" i="1" s="1"/>
  <c r="L526" i="1"/>
  <c r="L528" i="1" s="1"/>
  <c r="L28" i="11"/>
  <c r="L29" i="11" s="1"/>
  <c r="L33" i="11" s="1"/>
  <c r="L80" i="11" s="1"/>
  <c r="L92" i="11" s="1"/>
  <c r="L105" i="11" s="1"/>
  <c r="L14" i="11"/>
  <c r="L45" i="11" s="1"/>
  <c r="L48" i="11" s="1"/>
  <c r="L12" i="11"/>
  <c r="L38" i="11" s="1"/>
  <c r="L177" i="11" l="1"/>
  <c r="L107" i="11"/>
  <c r="L112" i="11" s="1"/>
  <c r="L137" i="11"/>
  <c r="L193" i="1"/>
  <c r="L194" i="1" s="1"/>
  <c r="M525" i="1"/>
  <c r="L361" i="1"/>
  <c r="L367" i="1" s="1"/>
  <c r="N106" i="3"/>
  <c r="L41" i="11"/>
  <c r="L372" i="1" l="1"/>
  <c r="L139" i="11"/>
  <c r="L179" i="11"/>
  <c r="L149" i="11" l="1"/>
  <c r="L143" i="11"/>
  <c r="L382" i="1"/>
  <c r="L383" i="1" s="1"/>
  <c r="L148" i="1"/>
  <c r="L478" i="1"/>
  <c r="L373" i="1"/>
  <c r="L392" i="1"/>
  <c r="L422" i="1" s="1"/>
  <c r="M381" i="1" l="1"/>
  <c r="L390" i="1"/>
  <c r="L423" i="1"/>
  <c r="L427" i="1" s="1"/>
  <c r="L486" i="1"/>
  <c r="M371" i="1"/>
  <c r="L183" i="1"/>
  <c r="L184" i="1" s="1"/>
  <c r="L428" i="1" l="1"/>
  <c r="L480" i="1"/>
  <c r="L482" i="1" s="1"/>
  <c r="L150" i="1"/>
  <c r="L154" i="1" s="1"/>
  <c r="M377" i="1"/>
  <c r="M386" i="1"/>
  <c r="M494" i="1" l="1"/>
  <c r="N108" i="3"/>
  <c r="N109" i="3" s="1"/>
  <c r="L158" i="1"/>
  <c r="L488" i="1"/>
  <c r="M425" i="1"/>
  <c r="M426" i="1" l="1"/>
  <c r="M432" i="1"/>
  <c r="M496" i="1" s="1"/>
  <c r="M498" i="1" s="1"/>
  <c r="L187" i="1"/>
  <c r="L188" i="1" s="1"/>
  <c r="L197" i="1" s="1"/>
  <c r="L490" i="1"/>
  <c r="L464" i="1"/>
  <c r="L465" i="1" s="1"/>
  <c r="M463" i="1" s="1"/>
  <c r="L159" i="1"/>
  <c r="L170" i="1" l="1"/>
  <c r="M157" i="1"/>
  <c r="L593" i="1"/>
  <c r="M468" i="1"/>
  <c r="M500" i="1" s="1"/>
  <c r="M501" i="1" s="1"/>
  <c r="M505" i="1" s="1"/>
  <c r="L543" i="1"/>
  <c r="L592" i="1"/>
  <c r="M363" i="1"/>
  <c r="M542" i="1" s="1"/>
  <c r="L594" i="1" l="1"/>
  <c r="L598" i="1" s="1"/>
  <c r="L599" i="1" s="1"/>
  <c r="L609" i="1" s="1"/>
  <c r="F609" i="1" s="1"/>
  <c r="V66" i="3" s="1"/>
  <c r="M117" i="1"/>
  <c r="M119" i="1" s="1"/>
  <c r="M507" i="1"/>
  <c r="L554" i="1"/>
  <c r="L556" i="1"/>
  <c r="M406" i="1"/>
  <c r="L173" i="1"/>
  <c r="L245" i="11"/>
  <c r="E609" i="1" l="1"/>
  <c r="U66" i="3" s="1"/>
  <c r="L178" i="1"/>
  <c r="L246" i="11"/>
  <c r="M407" i="1"/>
  <c r="M411" i="1" s="1"/>
  <c r="L557" i="1"/>
  <c r="M633" i="1"/>
  <c r="M541" i="1"/>
  <c r="M10" i="11"/>
  <c r="M121" i="1"/>
  <c r="M412" i="1" l="1"/>
  <c r="M479" i="1"/>
  <c r="M149" i="1"/>
  <c r="M360" i="1"/>
  <c r="L238" i="11"/>
  <c r="L179" i="1"/>
  <c r="L239" i="11"/>
  <c r="L242" i="11"/>
  <c r="L199" i="1"/>
  <c r="M314" i="1"/>
  <c r="M322" i="1" s="1"/>
  <c r="M632" i="1"/>
  <c r="M634" i="1" s="1"/>
  <c r="L240" i="11" l="1"/>
  <c r="M487" i="1"/>
  <c r="N409" i="1"/>
  <c r="M343" i="1"/>
  <c r="M334" i="1"/>
  <c r="M325" i="1"/>
  <c r="M315" i="1" l="1"/>
  <c r="M328" i="1"/>
  <c r="M635" i="1"/>
  <c r="M639" i="1" s="1"/>
  <c r="N410" i="1"/>
  <c r="N416" i="1"/>
  <c r="N495" i="1" s="1"/>
  <c r="Y29" i="3" l="1"/>
  <c r="AF99" i="3"/>
  <c r="AF100" i="3" s="1"/>
  <c r="M335" i="1"/>
  <c r="M329" i="1" l="1"/>
  <c r="M330" i="1" s="1"/>
  <c r="M341" i="1" s="1"/>
  <c r="M336" i="1"/>
  <c r="N333" i="1" s="1"/>
  <c r="AF103" i="3"/>
  <c r="Y30" i="3"/>
  <c r="AF104" i="3" l="1"/>
  <c r="M123" i="1"/>
  <c r="M342" i="1"/>
  <c r="M124" i="1" s="1"/>
  <c r="M139" i="1" s="1"/>
  <c r="M186" i="1" s="1"/>
  <c r="M539" i="1" l="1"/>
  <c r="M125" i="1"/>
  <c r="M11" i="11" l="1"/>
  <c r="M127" i="1"/>
  <c r="M570" i="1"/>
  <c r="M571" i="1" s="1"/>
  <c r="M568" i="1"/>
  <c r="M526" i="1" l="1"/>
  <c r="M528" i="1" s="1"/>
  <c r="M237" i="11"/>
  <c r="O102" i="3"/>
  <c r="O103" i="3" s="1"/>
  <c r="M136" i="1"/>
  <c r="M141" i="1" s="1"/>
  <c r="M8" i="11"/>
  <c r="M36" i="11" s="1"/>
  <c r="M28" i="11"/>
  <c r="M29" i="11" s="1"/>
  <c r="M33" i="11" s="1"/>
  <c r="M80" i="11" s="1"/>
  <c r="M92" i="11" s="1"/>
  <c r="M105" i="11" s="1"/>
  <c r="M14" i="11"/>
  <c r="M45" i="11" s="1"/>
  <c r="M48" i="11" s="1"/>
  <c r="M12" i="11"/>
  <c r="M38" i="11" s="1"/>
  <c r="M107" i="11" l="1"/>
  <c r="M112" i="11" s="1"/>
  <c r="M137" i="11"/>
  <c r="M177" i="11"/>
  <c r="M41" i="11"/>
  <c r="O106" i="3"/>
  <c r="M361" i="1"/>
  <c r="M367" i="1" s="1"/>
  <c r="N525" i="1"/>
  <c r="M193" i="1"/>
  <c r="M194" i="1" s="1"/>
  <c r="M372" i="1" l="1"/>
  <c r="M392" i="1" s="1"/>
  <c r="M422" i="1" s="1"/>
  <c r="M139" i="11"/>
  <c r="M179" i="11"/>
  <c r="M143" i="11" l="1"/>
  <c r="M149" i="11"/>
  <c r="M423" i="1"/>
  <c r="M427" i="1" s="1"/>
  <c r="M382" i="1"/>
  <c r="M383" i="1" s="1"/>
  <c r="M148" i="1"/>
  <c r="M478" i="1"/>
  <c r="M373" i="1"/>
  <c r="M428" i="1" l="1"/>
  <c r="M150" i="1"/>
  <c r="M154" i="1" s="1"/>
  <c r="M480" i="1"/>
  <c r="M482" i="1" s="1"/>
  <c r="N381" i="1"/>
  <c r="M390" i="1"/>
  <c r="M486" i="1"/>
  <c r="N371" i="1"/>
  <c r="M183" i="1"/>
  <c r="M184" i="1" s="1"/>
  <c r="O108" i="3" l="1"/>
  <c r="O109" i="3" s="1"/>
  <c r="M158" i="1"/>
  <c r="N377" i="1"/>
  <c r="N386" i="1"/>
  <c r="M488" i="1"/>
  <c r="M187" i="1" s="1"/>
  <c r="M188" i="1" s="1"/>
  <c r="M197" i="1" s="1"/>
  <c r="N425" i="1"/>
  <c r="M490" i="1" l="1"/>
  <c r="N494" i="1"/>
  <c r="M464" i="1"/>
  <c r="M465" i="1" s="1"/>
  <c r="N463" i="1" s="1"/>
  <c r="M159" i="1"/>
  <c r="N432" i="1"/>
  <c r="N496" i="1" s="1"/>
  <c r="N426" i="1"/>
  <c r="N363" i="1" l="1"/>
  <c r="N542" i="1" s="1"/>
  <c r="M593" i="1"/>
  <c r="N157" i="1"/>
  <c r="M170" i="1"/>
  <c r="N468" i="1"/>
  <c r="N500" i="1" s="1"/>
  <c r="N498" i="1"/>
  <c r="M592" i="1"/>
  <c r="M543" i="1"/>
  <c r="M594" i="1" l="1"/>
  <c r="M598" i="1" s="1"/>
  <c r="M599" i="1" s="1"/>
  <c r="M608" i="1" s="1"/>
  <c r="E608" i="1" s="1"/>
  <c r="U67" i="3" s="1"/>
  <c r="N501" i="1"/>
  <c r="N505" i="1" s="1"/>
  <c r="N507" i="1" s="1"/>
  <c r="M245" i="11"/>
  <c r="M173" i="1"/>
  <c r="N406" i="1"/>
  <c r="M556" i="1"/>
  <c r="M554" i="1"/>
  <c r="N117" i="1" l="1"/>
  <c r="N119" i="1" s="1"/>
  <c r="N10" i="11" s="1"/>
  <c r="F608" i="1"/>
  <c r="V67" i="3" s="1"/>
  <c r="M557" i="1"/>
  <c r="N407" i="1"/>
  <c r="N411" i="1" s="1"/>
  <c r="M178" i="1"/>
  <c r="M246" i="11"/>
  <c r="N121" i="1" l="1"/>
  <c r="N314" i="1" s="1"/>
  <c r="N322" i="1" s="1"/>
  <c r="N633" i="1"/>
  <c r="N541" i="1"/>
  <c r="N479" i="1"/>
  <c r="N149" i="1"/>
  <c r="N412" i="1"/>
  <c r="N360" i="1"/>
  <c r="M179" i="1"/>
  <c r="M238" i="11"/>
  <c r="M239" i="11"/>
  <c r="M242" i="11"/>
  <c r="M199" i="1"/>
  <c r="N632" i="1" l="1"/>
  <c r="N634" i="1" s="1"/>
  <c r="M240" i="11"/>
  <c r="N334" i="1"/>
  <c r="N325" i="1"/>
  <c r="N343" i="1"/>
  <c r="N487" i="1"/>
  <c r="O409" i="1"/>
  <c r="O410" i="1" l="1"/>
  <c r="O416" i="1"/>
  <c r="O495" i="1" s="1"/>
  <c r="N635" i="1"/>
  <c r="N639" i="1" s="1"/>
  <c r="N328" i="1"/>
  <c r="N315" i="1"/>
  <c r="N335" i="1" l="1"/>
  <c r="AG99" i="3"/>
  <c r="AG100" i="3" s="1"/>
  <c r="Z29" i="3"/>
  <c r="Z30" i="3" l="1"/>
  <c r="AG103" i="3"/>
  <c r="N329" i="1"/>
  <c r="N330" i="1" s="1"/>
  <c r="N341" i="1" s="1"/>
  <c r="N336" i="1"/>
  <c r="O333" i="1" s="1"/>
  <c r="N123" i="1" l="1"/>
  <c r="N342" i="1"/>
  <c r="N124" i="1" s="1"/>
  <c r="N139" i="1" s="1"/>
  <c r="N186" i="1" s="1"/>
  <c r="AG104" i="3"/>
  <c r="N125" i="1" l="1"/>
  <c r="N539" i="1"/>
  <c r="N570" i="1" l="1"/>
  <c r="N571" i="1" s="1"/>
  <c r="N568" i="1"/>
  <c r="N11" i="11"/>
  <c r="N127" i="1"/>
  <c r="N136" i="1" l="1"/>
  <c r="N141" i="1" s="1"/>
  <c r="N237" i="11"/>
  <c r="N526" i="1"/>
  <c r="N528" i="1" s="1"/>
  <c r="P102" i="3"/>
  <c r="P103" i="3" s="1"/>
  <c r="N8" i="11"/>
  <c r="N36" i="11" s="1"/>
  <c r="N28" i="11"/>
  <c r="N29" i="11" s="1"/>
  <c r="N33" i="11" s="1"/>
  <c r="N80" i="11" s="1"/>
  <c r="N92" i="11" s="1"/>
  <c r="N105" i="11" s="1"/>
  <c r="N14" i="11"/>
  <c r="N45" i="11" s="1"/>
  <c r="N48" i="11" s="1"/>
  <c r="N12" i="11"/>
  <c r="N38" i="11" s="1"/>
  <c r="N177" i="11" l="1"/>
  <c r="N107" i="11"/>
  <c r="N112" i="11" s="1"/>
  <c r="N137" i="11"/>
  <c r="N41" i="11"/>
  <c r="N193" i="1"/>
  <c r="N194" i="1" s="1"/>
  <c r="O525" i="1"/>
  <c r="P106" i="3"/>
  <c r="N361" i="1"/>
  <c r="N367" i="1" s="1"/>
  <c r="N372" i="1" l="1"/>
  <c r="N392" i="1" s="1"/>
  <c r="N422" i="1" s="1"/>
  <c r="N139" i="11"/>
  <c r="N179" i="11"/>
  <c r="N149" i="11" l="1"/>
  <c r="N143" i="11"/>
  <c r="N423" i="1"/>
  <c r="N427" i="1" s="1"/>
  <c r="N478" i="1"/>
  <c r="N148" i="1"/>
  <c r="N382" i="1"/>
  <c r="N383" i="1" s="1"/>
  <c r="N373" i="1"/>
  <c r="N480" i="1" l="1"/>
  <c r="N482" i="1" s="1"/>
  <c r="N150" i="1"/>
  <c r="N154" i="1" s="1"/>
  <c r="N428" i="1"/>
  <c r="O371" i="1"/>
  <c r="N486" i="1"/>
  <c r="O381" i="1"/>
  <c r="N390" i="1"/>
  <c r="N183" i="1"/>
  <c r="N184" i="1" s="1"/>
  <c r="P108" i="3" l="1"/>
  <c r="P109" i="3" s="1"/>
  <c r="N158" i="1"/>
  <c r="O386" i="1"/>
  <c r="O377" i="1"/>
  <c r="N488" i="1"/>
  <c r="N187" i="1" s="1"/>
  <c r="N188" i="1" s="1"/>
  <c r="N197" i="1" s="1"/>
  <c r="O425" i="1"/>
  <c r="O494" i="1" l="1"/>
  <c r="O432" i="1"/>
  <c r="O496" i="1" s="1"/>
  <c r="O426" i="1"/>
  <c r="N490" i="1"/>
  <c r="N464" i="1"/>
  <c r="N465" i="1" s="1"/>
  <c r="O463" i="1" s="1"/>
  <c r="N159" i="1"/>
  <c r="O498" i="1" l="1"/>
  <c r="O157" i="1"/>
  <c r="N170" i="1"/>
  <c r="N593" i="1"/>
  <c r="O468" i="1"/>
  <c r="O500" i="1" s="1"/>
  <c r="N543" i="1"/>
  <c r="N592" i="1"/>
  <c r="O363" i="1"/>
  <c r="O542" i="1" s="1"/>
  <c r="O501" i="1" l="1"/>
  <c r="O505" i="1" s="1"/>
  <c r="O507" i="1" s="1"/>
  <c r="N594" i="1"/>
  <c r="N598" i="1" s="1"/>
  <c r="N599" i="1" s="1"/>
  <c r="N607" i="1" s="1"/>
  <c r="E607" i="1" s="1"/>
  <c r="U68" i="3" s="1"/>
  <c r="O117" i="1"/>
  <c r="O119" i="1" s="1"/>
  <c r="N556" i="1"/>
  <c r="N554" i="1"/>
  <c r="N173" i="1"/>
  <c r="N245" i="11"/>
  <c r="O406" i="1"/>
  <c r="F607" i="1" l="1"/>
  <c r="V68" i="3" s="1"/>
  <c r="O407" i="1"/>
  <c r="O411" i="1" s="1"/>
  <c r="N178" i="1"/>
  <c r="N246" i="11"/>
  <c r="N557" i="1"/>
  <c r="O121" i="1"/>
  <c r="O541" i="1"/>
  <c r="O633" i="1"/>
  <c r="O10" i="11"/>
  <c r="O632" i="1" l="1"/>
  <c r="O634" i="1" s="1"/>
  <c r="O314" i="1"/>
  <c r="O322" i="1" s="1"/>
  <c r="N179" i="1"/>
  <c r="N239" i="11"/>
  <c r="N238" i="11"/>
  <c r="N242" i="11"/>
  <c r="N199" i="1"/>
  <c r="O412" i="1"/>
  <c r="O487" i="1" s="1"/>
  <c r="O479" i="1"/>
  <c r="O149" i="1"/>
  <c r="O360" i="1"/>
  <c r="N240" i="11" l="1"/>
  <c r="O325" i="1"/>
  <c r="O343" i="1"/>
  <c r="O334" i="1"/>
  <c r="O635" i="1" l="1"/>
  <c r="O639" i="1" s="1"/>
  <c r="O315" i="1"/>
  <c r="O328" i="1"/>
  <c r="O335" i="1" l="1"/>
  <c r="AH99" i="3"/>
  <c r="AH100" i="3" s="1"/>
  <c r="AA29" i="3"/>
  <c r="F642" i="1"/>
  <c r="F645" i="1" s="1"/>
  <c r="F649" i="1" l="1"/>
  <c r="F647" i="1"/>
  <c r="AA30" i="3"/>
  <c r="W32" i="3"/>
  <c r="W98" i="3"/>
  <c r="W100" i="3"/>
  <c r="AH103" i="3"/>
  <c r="AH104" i="3" s="1"/>
  <c r="W104" i="3" s="1"/>
  <c r="N84" i="3" s="1"/>
  <c r="O329" i="1"/>
  <c r="O330" i="1" s="1"/>
  <c r="O341" i="1" s="1"/>
  <c r="O336" i="1"/>
  <c r="F318" i="1" s="1"/>
  <c r="P10" i="7" s="1"/>
  <c r="O123" i="1" l="1"/>
  <c r="O342" i="1"/>
  <c r="O124" i="1" s="1"/>
  <c r="O139" i="1" s="1"/>
  <c r="O186" i="1" s="1"/>
  <c r="D144" i="3"/>
  <c r="D84" i="3"/>
  <c r="O539" i="1" l="1"/>
  <c r="O125" i="1"/>
  <c r="O11" i="11" l="1"/>
  <c r="O127" i="1"/>
  <c r="O570" i="1"/>
  <c r="O571" i="1" s="1"/>
  <c r="O568" i="1"/>
  <c r="Q102" i="3" l="1"/>
  <c r="Q103" i="3" s="1"/>
  <c r="O136" i="1"/>
  <c r="O141" i="1" s="1"/>
  <c r="O237" i="11"/>
  <c r="O8" i="11"/>
  <c r="O36" i="11" s="1"/>
  <c r="O526" i="1"/>
  <c r="O528" i="1" s="1"/>
  <c r="O193" i="1" s="1"/>
  <c r="O194" i="1" s="1"/>
  <c r="O28" i="11"/>
  <c r="O29" i="11" s="1"/>
  <c r="O33" i="11" s="1"/>
  <c r="O80" i="11" s="1"/>
  <c r="O14" i="11"/>
  <c r="O45" i="11" s="1"/>
  <c r="O48" i="11" s="1"/>
  <c r="O12" i="11"/>
  <c r="O38" i="11" s="1"/>
  <c r="O81" i="11" l="1"/>
  <c r="O82" i="11" s="1"/>
  <c r="O92" i="11"/>
  <c r="O105" i="11" s="1"/>
  <c r="O115" i="11"/>
  <c r="O41" i="11"/>
  <c r="Q106" i="3"/>
  <c r="O361" i="1"/>
  <c r="O367" i="1" s="1"/>
  <c r="W86" i="3"/>
  <c r="O372" i="1" l="1"/>
  <c r="O392" i="1" s="1"/>
  <c r="O422" i="1" s="1"/>
  <c r="O118" i="11"/>
  <c r="O117" i="11"/>
  <c r="O137" i="11"/>
  <c r="O177" i="11"/>
  <c r="O121" i="11"/>
  <c r="O101" i="11"/>
  <c r="O103" i="11" s="1"/>
  <c r="O106" i="11" l="1"/>
  <c r="O107" i="11" s="1"/>
  <c r="O112" i="11" s="1"/>
  <c r="D115" i="11" s="1"/>
  <c r="D117" i="11" s="1"/>
  <c r="E120" i="11" s="1"/>
  <c r="E122" i="11" s="1"/>
  <c r="O138" i="11"/>
  <c r="O139" i="11" s="1"/>
  <c r="O178" i="11"/>
  <c r="O122" i="11"/>
  <c r="O123" i="11"/>
  <c r="O423" i="1"/>
  <c r="O427" i="1" s="1"/>
  <c r="O382" i="1"/>
  <c r="O383" i="1" s="1"/>
  <c r="O390" i="1" s="1"/>
  <c r="P11" i="7" s="1"/>
  <c r="O478" i="1"/>
  <c r="O148" i="1"/>
  <c r="O373" i="1"/>
  <c r="O486" i="1" s="1"/>
  <c r="O179" i="11" l="1"/>
  <c r="H182" i="11" s="1"/>
  <c r="O183" i="1"/>
  <c r="O184" i="1" s="1"/>
  <c r="O428" i="1"/>
  <c r="O488" i="1" s="1"/>
  <c r="O187" i="1" s="1"/>
  <c r="O480" i="1"/>
  <c r="O482" i="1" s="1"/>
  <c r="O150" i="1"/>
  <c r="O154" i="1" s="1"/>
  <c r="O149" i="11"/>
  <c r="H150" i="11" s="1"/>
  <c r="H151" i="11" s="1"/>
  <c r="O143" i="11"/>
  <c r="H144" i="11" s="1"/>
  <c r="H145" i="11" s="1"/>
  <c r="H158" i="11"/>
  <c r="H159" i="11" s="1"/>
  <c r="H162" i="11"/>
  <c r="H163" i="11" s="1"/>
  <c r="H154" i="11"/>
  <c r="H155" i="11" s="1"/>
  <c r="I210" i="11"/>
  <c r="E124" i="11"/>
  <c r="I199" i="11"/>
  <c r="H185" i="11" l="1"/>
  <c r="H188" i="11"/>
  <c r="Q108" i="3"/>
  <c r="Q109" i="3" s="1"/>
  <c r="O158" i="1"/>
  <c r="O490" i="1"/>
  <c r="O188" i="1"/>
  <c r="O197" i="1" s="1"/>
  <c r="O592" i="1" l="1"/>
  <c r="O543" i="1"/>
  <c r="O464" i="1"/>
  <c r="O465" i="1" s="1"/>
  <c r="O159" i="1"/>
  <c r="O170" i="1" l="1"/>
  <c r="O593" i="1"/>
  <c r="O594" i="1" s="1"/>
  <c r="O556" i="1"/>
  <c r="O554" i="1"/>
  <c r="W59" i="3" l="1"/>
  <c r="X59" i="3" s="1"/>
  <c r="U59" i="3" s="1"/>
  <c r="U60" i="3" s="1"/>
  <c r="O598" i="1"/>
  <c r="O599" i="1" s="1"/>
  <c r="O606" i="1" s="1"/>
  <c r="O557" i="1"/>
  <c r="P13" i="7" s="1"/>
  <c r="P12" i="7"/>
  <c r="O173" i="1"/>
  <c r="O245" i="11"/>
  <c r="O178" i="1" l="1"/>
  <c r="O246" i="11"/>
  <c r="E606" i="1"/>
  <c r="F606" i="1"/>
  <c r="U62" i="3"/>
  <c r="P14" i="7" s="1"/>
  <c r="O21" i="3" l="1"/>
  <c r="V69" i="3"/>
  <c r="I21" i="3"/>
  <c r="U69" i="3"/>
  <c r="O239" i="11"/>
  <c r="O179" i="1"/>
  <c r="O238" i="11"/>
  <c r="O242" i="11"/>
  <c r="O199" i="1"/>
  <c r="O240" i="11" l="1"/>
  <c r="D74" i="3"/>
  <c r="D13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Jonas Okola</author>
  </authors>
  <commentList>
    <comment ref="B19" authorId="0" shapeId="0" xr:uid="{5A18226B-4D16-40E1-9AAA-396D3FA70D3D}">
      <text>
        <r>
          <rPr>
            <b/>
            <sz val="9"/>
            <color indexed="81"/>
            <rFont val="Tahoma"/>
            <family val="2"/>
          </rPr>
          <t>Jonas Okola:</t>
        </r>
        <r>
          <rPr>
            <sz val="9"/>
            <color indexed="81"/>
            <rFont val="Tahoma"/>
            <family val="2"/>
          </rPr>
          <t xml:space="preserve">
This is the Technical knowledge and inputs required in the initial setup before commencement of production </t>
        </r>
      </text>
    </comment>
    <comment ref="C19" authorId="0" shapeId="0" xr:uid="{B3521956-52B6-49CE-9113-B2027BE91230}">
      <text>
        <r>
          <rPr>
            <b/>
            <sz val="9"/>
            <color indexed="81"/>
            <rFont val="Tahoma"/>
            <family val="2"/>
          </rPr>
          <t>Jonas Okola:</t>
        </r>
        <r>
          <rPr>
            <sz val="9"/>
            <color indexed="81"/>
            <rFont val="Tahoma"/>
            <family val="2"/>
          </rPr>
          <t xml:space="preserve">
This is the Technical knowledge and inputs required in the initial setup before commencement of production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B7" authorId="0" shapeId="0" xr:uid="{40A631F7-6939-4F1C-9AD8-52CFD9E59D57}">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C7" authorId="0" shapeId="0" xr:uid="{97DA7E2B-229E-4315-BB11-472C97821629}">
      <text>
        <r>
          <rPr>
            <b/>
            <sz val="9"/>
            <color indexed="81"/>
            <rFont val="Tahoma"/>
            <family val="2"/>
          </rPr>
          <t>Task Description</t>
        </r>
        <r>
          <rPr>
            <sz val="9"/>
            <color indexed="81"/>
            <rFont val="Tahoma"/>
            <family val="2"/>
          </rPr>
          <t xml:space="preserve">
Enter the name of each task and sub-task. Use indents for sub-tasks.</t>
        </r>
      </text>
    </comment>
    <comment ref="D7" authorId="0" shapeId="0" xr:uid="{C099B3F5-30BA-4ABC-A29C-E3F6EF287B1D}">
      <text>
        <r>
          <rPr>
            <b/>
            <sz val="9"/>
            <color indexed="81"/>
            <rFont val="Tahoma"/>
            <family val="2"/>
          </rPr>
          <t>Task Lead</t>
        </r>
        <r>
          <rPr>
            <sz val="9"/>
            <color indexed="81"/>
            <rFont val="Tahoma"/>
            <family val="2"/>
          </rPr>
          <t xml:space="preserve">
Enter the name of the Task Lead in this column.</t>
        </r>
      </text>
    </comment>
    <comment ref="E7" authorId="0" shapeId="0" xr:uid="{32FB3997-221E-41A1-96A7-613DDCD7E015}">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F7" authorId="0" shapeId="0" xr:uid="{DD573DA4-67D8-420C-8953-64CFB4B071E8}">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G7" authorId="1" shapeId="0" xr:uid="{6DBFB0C6-C7CC-44AB-B29D-6DEFA6B69E7B}">
      <text>
        <r>
          <rPr>
            <b/>
            <sz val="9"/>
            <color indexed="81"/>
            <rFont val="Tahoma"/>
            <family val="2"/>
          </rPr>
          <t>End Date:</t>
        </r>
        <r>
          <rPr>
            <sz val="9"/>
            <color indexed="81"/>
            <rFont val="Tahoma"/>
            <family val="2"/>
          </rPr>
          <t xml:space="preserve">
The End Date is calculated based on the Start Date and the Calendar Days columns.</t>
        </r>
      </text>
    </comment>
    <comment ref="H7" authorId="0" shapeId="0" xr:uid="{EEB000B1-246D-4519-BC8B-2E0B2CDAFEAE}">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I7" authorId="0" shapeId="0" xr:uid="{C8649E8D-20B8-4627-B052-27ADD53EB5B6}">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J7" authorId="0" shapeId="0" xr:uid="{903E922B-B1E5-4C8A-B750-B980767377DD}">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F58" authorId="0" shapeId="0" xr:uid="{8E9D8530-C50A-4981-B212-679BB724B8A9}">
      <text>
        <r>
          <rPr>
            <b/>
            <sz val="8"/>
            <color indexed="81"/>
            <rFont val="Myanmar Text"/>
            <family val="2"/>
          </rPr>
          <t xml:space="preserve">Damodaran, Aswath, </t>
        </r>
        <r>
          <rPr>
            <sz val="8"/>
            <color indexed="81"/>
            <rFont val="Myanmar Text"/>
            <family val="2"/>
          </rPr>
          <t>Equity Risk Premiums (ERP):- Last updated: July 14, 2023</t>
        </r>
      </text>
    </comment>
    <comment ref="D88" authorId="0" shapeId="0" xr:uid="{A6F3E1DD-8D3D-46D8-B800-61C24FDE850A}">
      <text>
        <r>
          <rPr>
            <b/>
            <sz val="9"/>
            <color indexed="81"/>
            <rFont val="Tahoma"/>
            <family val="2"/>
          </rPr>
          <t>EABL</t>
        </r>
        <r>
          <rPr>
            <sz val="9"/>
            <color indexed="81"/>
            <rFont val="Tahoma"/>
            <family val="2"/>
          </rPr>
          <t xml:space="preserve"> EV/EBITDA NTM
</t>
        </r>
      </text>
    </comment>
  </commentList>
</comments>
</file>

<file path=xl/sharedStrings.xml><?xml version="1.0" encoding="utf-8"?>
<sst xmlns="http://schemas.openxmlformats.org/spreadsheetml/2006/main" count="1500" uniqueCount="842">
  <si>
    <t>Revenue</t>
  </si>
  <si>
    <t>Days in Period</t>
  </si>
  <si>
    <t>Accounts Receivable</t>
  </si>
  <si>
    <t>(Days)</t>
  </si>
  <si>
    <t>Inventory</t>
  </si>
  <si>
    <t>Accounts Payable</t>
  </si>
  <si>
    <t>Net Working Capital</t>
  </si>
  <si>
    <t>Beginning</t>
  </si>
  <si>
    <t>Ending</t>
  </si>
  <si>
    <t>Plant Capacity</t>
  </si>
  <si>
    <t>Sales Volume Growth</t>
  </si>
  <si>
    <t>Sales Volume</t>
  </si>
  <si>
    <t>Operational Efficiency</t>
  </si>
  <si>
    <t>(Units)</t>
  </si>
  <si>
    <t>Pricing Increases</t>
  </si>
  <si>
    <t>Cost Schedule</t>
  </si>
  <si>
    <t>Variable Costs</t>
  </si>
  <si>
    <t>Fixed Costs</t>
  </si>
  <si>
    <t>Inflation</t>
  </si>
  <si>
    <t>Subtotal</t>
  </si>
  <si>
    <t>Total Costs</t>
  </si>
  <si>
    <t>EBT</t>
  </si>
  <si>
    <t>Add: Accounting Depreciation</t>
  </si>
  <si>
    <t>Taxable Income</t>
  </si>
  <si>
    <t>Income Statement</t>
  </si>
  <si>
    <t>Gross Profit</t>
  </si>
  <si>
    <t>EBITDA</t>
  </si>
  <si>
    <t>Depreciation</t>
  </si>
  <si>
    <t>EBIT</t>
  </si>
  <si>
    <t>Current Tax</t>
  </si>
  <si>
    <t>Deferred Tax</t>
  </si>
  <si>
    <t>Total Tax</t>
  </si>
  <si>
    <t>Net Income</t>
  </si>
  <si>
    <t>Other</t>
  </si>
  <si>
    <t>Add: New Losses</t>
  </si>
  <si>
    <t>Current Taxes</t>
  </si>
  <si>
    <t>Deferred Taxes</t>
  </si>
  <si>
    <t>Total Taxes</t>
  </si>
  <si>
    <t>Tax Rate</t>
  </si>
  <si>
    <t>Profitable Before Taxes?</t>
  </si>
  <si>
    <t>Asset Schedule</t>
  </si>
  <si>
    <t>Capital Expenditure</t>
  </si>
  <si>
    <t>Accounting Depreciation</t>
  </si>
  <si>
    <t>Blended Tax Depreciation Rate</t>
  </si>
  <si>
    <t>EBT After Adjustment</t>
  </si>
  <si>
    <t>Less: Use of Tax Losses</t>
  </si>
  <si>
    <t>Earnings Before Tax (EBT)</t>
  </si>
  <si>
    <t>Existing Assets</t>
  </si>
  <si>
    <t>New Assets</t>
  </si>
  <si>
    <t>Year</t>
  </si>
  <si>
    <t>Capex</t>
  </si>
  <si>
    <t>Life</t>
  </si>
  <si>
    <t>Amounts for Depreciation</t>
  </si>
  <si>
    <t>Total Depreciation</t>
  </si>
  <si>
    <t>Per Yr</t>
  </si>
  <si>
    <t>Years</t>
  </si>
  <si>
    <t>Income Tax Schedule</t>
  </si>
  <si>
    <t>First Year Accounting Depreciation</t>
  </si>
  <si>
    <t>First Year Tax Depreciation</t>
  </si>
  <si>
    <t>Percent of Full Year</t>
  </si>
  <si>
    <t>Useful Life: Existing Assets</t>
  </si>
  <si>
    <t>Useful Life: New Assets</t>
  </si>
  <si>
    <t>Sales Price</t>
  </si>
  <si>
    <t>REVENUE</t>
  </si>
  <si>
    <t>PRICING</t>
  </si>
  <si>
    <t>VOLUME</t>
  </si>
  <si>
    <t>SG&amp;A</t>
  </si>
  <si>
    <t>TOTAL AMOUNTS</t>
  </si>
  <si>
    <t>COGS</t>
  </si>
  <si>
    <t>OPERATIONS</t>
  </si>
  <si>
    <t>FIXED COSTS</t>
  </si>
  <si>
    <t>VARIABLE COSTS</t>
  </si>
  <si>
    <t>SUMMARY</t>
  </si>
  <si>
    <t>Current Assets</t>
  </si>
  <si>
    <t>Current Liabilities</t>
  </si>
  <si>
    <t>Cash from Working Capital Items</t>
  </si>
  <si>
    <t>NET WORKING CAPITAL</t>
  </si>
  <si>
    <t>AMOUNTS PER DAY</t>
  </si>
  <si>
    <t>Working Capital Schedule</t>
  </si>
  <si>
    <t>Depreciation Schedule</t>
  </si>
  <si>
    <t xml:space="preserve"> </t>
  </si>
  <si>
    <t>Strictly Confidential</t>
  </si>
  <si>
    <t>Table of Contents</t>
  </si>
  <si>
    <t>Purchase Price</t>
  </si>
  <si>
    <t>Sources and Uses of Cash</t>
  </si>
  <si>
    <t>Enterprise Value</t>
  </si>
  <si>
    <t>Sources of Cash</t>
  </si>
  <si>
    <t>Uses of Cash</t>
  </si>
  <si>
    <t>Cash (Target)</t>
  </si>
  <si>
    <t>Cash Consideration</t>
  </si>
  <si>
    <t>Total Debt</t>
  </si>
  <si>
    <t>Plus: Cash Balance</t>
  </si>
  <si>
    <t>Equity Offer Value</t>
  </si>
  <si>
    <t>Equity Financing Fees</t>
  </si>
  <si>
    <t>Premium (Discount)</t>
  </si>
  <si>
    <t>Sponsor Equity</t>
  </si>
  <si>
    <t>Other Closing Costs</t>
  </si>
  <si>
    <t>Total Sources of Cash</t>
  </si>
  <si>
    <t>Total Uses of Cash</t>
  </si>
  <si>
    <t>IRR</t>
  </si>
  <si>
    <t>Sensitivity Inputs</t>
  </si>
  <si>
    <t>Entry EV/EBITDA</t>
  </si>
  <si>
    <t>Exit EV/EBITDA</t>
  </si>
  <si>
    <t>Base Case</t>
  </si>
  <si>
    <t>Financing Assumptions</t>
  </si>
  <si>
    <t>Type</t>
  </si>
  <si>
    <t>Coupon</t>
  </si>
  <si>
    <t>N/A</t>
  </si>
  <si>
    <t xml:space="preserve">Total </t>
  </si>
  <si>
    <t>Total Sources</t>
  </si>
  <si>
    <t>Total Uses</t>
  </si>
  <si>
    <t>Transaction</t>
  </si>
  <si>
    <t>Fees</t>
  </si>
  <si>
    <t>Cash Flow Statement</t>
  </si>
  <si>
    <t>Cash from Operations</t>
  </si>
  <si>
    <t>Plus: Depreciation &amp; Amortization</t>
  </si>
  <si>
    <t>Less: Change in Net Working Capital</t>
  </si>
  <si>
    <t>Cash from Investing</t>
  </si>
  <si>
    <t>Investments in Property Plant &amp; Equipment</t>
  </si>
  <si>
    <t>Equity Issuance / (Repurchase)</t>
  </si>
  <si>
    <t>Payment of Dividends</t>
  </si>
  <si>
    <t>Change in Cash</t>
  </si>
  <si>
    <t>Opening Cash Balance</t>
  </si>
  <si>
    <t>Additions (Repayments)</t>
  </si>
  <si>
    <t>Loan Amortization</t>
  </si>
  <si>
    <t>Less: Required Repayments</t>
  </si>
  <si>
    <t>Less: Discretionary Repayments</t>
  </si>
  <si>
    <t>Plus: Issuance of Equity</t>
  </si>
  <si>
    <t>Less: Repurchase of Equity</t>
  </si>
  <si>
    <t>Less: Dividends</t>
  </si>
  <si>
    <t>Close</t>
  </si>
  <si>
    <t>Interest Expense</t>
  </si>
  <si>
    <t>Equity Value</t>
  </si>
  <si>
    <t>Exit Multiple</t>
  </si>
  <si>
    <t>Less: Short-term Debt</t>
  </si>
  <si>
    <t>Less: Long-term Debt</t>
  </si>
  <si>
    <t>Total Ending Balance</t>
  </si>
  <si>
    <t>CASH FROM OPERATIONS</t>
  </si>
  <si>
    <t>CASH FROM INVESTING</t>
  </si>
  <si>
    <t>CASH FROM FINANCING</t>
  </si>
  <si>
    <t>CASH BALANCE</t>
  </si>
  <si>
    <t>EQUITY CAPITAL</t>
  </si>
  <si>
    <t>RETAINED EARNINGS</t>
  </si>
  <si>
    <t>Total Fees</t>
  </si>
  <si>
    <t>Other Inputs</t>
  </si>
  <si>
    <t>Model</t>
  </si>
  <si>
    <t>Inflation Rate</t>
  </si>
  <si>
    <t>Worst Case</t>
  </si>
  <si>
    <t>Best Case</t>
  </si>
  <si>
    <t>Driver Switch</t>
  </si>
  <si>
    <t>Net Cash Flow Summary</t>
  </si>
  <si>
    <t>FD Shares Outstanding (000s)</t>
  </si>
  <si>
    <t>Mandatory Principal Repayment</t>
  </si>
  <si>
    <t>Multiple</t>
  </si>
  <si>
    <t>Amount</t>
  </si>
  <si>
    <t>Sources &amp; Uses</t>
  </si>
  <si>
    <t>Percent</t>
  </si>
  <si>
    <t>Model Circularity</t>
  </si>
  <si>
    <t>On</t>
  </si>
  <si>
    <t>Off</t>
  </si>
  <si>
    <t>Share Price</t>
  </si>
  <si>
    <t>EBITDA Multiples</t>
  </si>
  <si>
    <t>General Inputs</t>
  </si>
  <si>
    <t>CASH DEPOSITS</t>
  </si>
  <si>
    <t>Interest Rate on Deposits</t>
  </si>
  <si>
    <t>Interest Income</t>
  </si>
  <si>
    <t>Cash Available For Discretionary Payments?</t>
  </si>
  <si>
    <t>ENDING BALANCES</t>
  </si>
  <si>
    <t>PRINCIPAL REPAYMENTS</t>
  </si>
  <si>
    <t>Total Principal Repayments</t>
  </si>
  <si>
    <t>(YY-MM-DD)</t>
  </si>
  <si>
    <t>(Year)</t>
  </si>
  <si>
    <t>First Cash Flow</t>
  </si>
  <si>
    <t>Transaction Date</t>
  </si>
  <si>
    <t>Equity Investor</t>
  </si>
  <si>
    <t>Cash-on-Cash</t>
  </si>
  <si>
    <t>Less: Net Debt</t>
  </si>
  <si>
    <t>Less: Cash</t>
  </si>
  <si>
    <t>Cash Flows for Dividends</t>
  </si>
  <si>
    <t>Dividends to Equity Investors</t>
  </si>
  <si>
    <t>Total Debt / EBITDA</t>
  </si>
  <si>
    <t>NET DEBT</t>
  </si>
  <si>
    <t>Total Net Debt</t>
  </si>
  <si>
    <t>ADJUSTMENT FOR DEPRECIATION</t>
  </si>
  <si>
    <t>TAX LOSSES</t>
  </si>
  <si>
    <t>TAXES</t>
  </si>
  <si>
    <t>ENTERPRISE VALUE</t>
  </si>
  <si>
    <t>EQUITY VALUE</t>
  </si>
  <si>
    <t xml:space="preserve">All PP&amp;E and capital expenditure is assumed depreciable (i.e. no land balance). </t>
  </si>
  <si>
    <t xml:space="preserve">Model assumes no dispositions that would impact the PP&amp;E or the Tax Basis. </t>
  </si>
  <si>
    <t>Unused Tax Losses Remaining?</t>
  </si>
  <si>
    <t>(Years)</t>
  </si>
  <si>
    <t>Fixed Assets</t>
  </si>
  <si>
    <t>Income Tax Assets</t>
  </si>
  <si>
    <t>Model Exceeding Operational Capacity?</t>
  </si>
  <si>
    <t>Operational Capacity Exceeded?</t>
  </si>
  <si>
    <t>Model Checks</t>
  </si>
  <si>
    <t>Leverage Multiples &gt; Entry Multiple?</t>
  </si>
  <si>
    <t>Circularity</t>
  </si>
  <si>
    <t>Do Not</t>
  </si>
  <si>
    <t>Delete</t>
  </si>
  <si>
    <t>Min. Debt Service Coverage</t>
  </si>
  <si>
    <t>Max. Total Debt / EBITDA</t>
  </si>
  <si>
    <t>Debt Covenants</t>
  </si>
  <si>
    <t>TOTAL DEBT / EBITDA</t>
  </si>
  <si>
    <t>Target Covenant</t>
  </si>
  <si>
    <t>First Year Covenant</t>
  </si>
  <si>
    <t>Covenant</t>
  </si>
  <si>
    <t>Within Target Period?</t>
  </si>
  <si>
    <t>DEBT SERVICE COVERAGE RATIO</t>
  </si>
  <si>
    <t>Target Year</t>
  </si>
  <si>
    <t>Less: Debt</t>
  </si>
  <si>
    <t>Plus: PIK Interest</t>
  </si>
  <si>
    <t>PIK</t>
  </si>
  <si>
    <t>Plus: PIK Accrual</t>
  </si>
  <si>
    <t>Floating</t>
  </si>
  <si>
    <t>Fixed</t>
  </si>
  <si>
    <t>Return Attribution</t>
  </si>
  <si>
    <t>Ending Equity</t>
  </si>
  <si>
    <t>Entry</t>
  </si>
  <si>
    <t>Exit</t>
  </si>
  <si>
    <t>Change</t>
  </si>
  <si>
    <t>Multiplier</t>
  </si>
  <si>
    <t>Check</t>
  </si>
  <si>
    <t>Fee</t>
  </si>
  <si>
    <t>Interest Rate</t>
  </si>
  <si>
    <t>(bps)</t>
  </si>
  <si>
    <t>Floating-Rate Benchmark</t>
  </si>
  <si>
    <t>Plus: Deferred Tax</t>
  </si>
  <si>
    <t>Cash Amount</t>
  </si>
  <si>
    <t>PIK Amount</t>
  </si>
  <si>
    <t>Less: Minimum Cash Balance</t>
  </si>
  <si>
    <t>Interest Rate Spread</t>
  </si>
  <si>
    <t>CASH INTEREST EXPENSE</t>
  </si>
  <si>
    <t>TOTAL INTEREST EXPENSE</t>
  </si>
  <si>
    <t>Management Rollover</t>
  </si>
  <si>
    <t>Excess</t>
  </si>
  <si>
    <t>Cash Flow</t>
  </si>
  <si>
    <t>Equity Investor Returns by Investment Horizon</t>
  </si>
  <si>
    <t>Ending Equity  ≠ Model?</t>
  </si>
  <si>
    <t>Maximum</t>
  </si>
  <si>
    <t>Limit</t>
  </si>
  <si>
    <t>Standby</t>
  </si>
  <si>
    <t>Issuance</t>
  </si>
  <si>
    <t>Cash Sweep</t>
  </si>
  <si>
    <t>Fee %</t>
  </si>
  <si>
    <t>Mandatory Repayment &gt; 100%?</t>
  </si>
  <si>
    <t>Mandatory Repayment Entry &gt; 100%?</t>
  </si>
  <si>
    <t>Cash Percent</t>
  </si>
  <si>
    <t>PIK Percent</t>
  </si>
  <si>
    <t>Total Percent</t>
  </si>
  <si>
    <t>Total Interest Expense</t>
  </si>
  <si>
    <t>Mandatory Principal Repayments</t>
  </si>
  <si>
    <t>Cash Net Interest Expense</t>
  </si>
  <si>
    <t>Sponsor + Mgmt. Equity</t>
  </si>
  <si>
    <t xml:space="preserve">Restructuring and severance fees as well as target debt prepayment fees. </t>
  </si>
  <si>
    <t xml:space="preserve">All IRR and NPV analyses will be calculated to this date. </t>
  </si>
  <si>
    <t xml:space="preserve">This year drives the headings on the financial statements. </t>
  </si>
  <si>
    <t xml:space="preserve">Financing fees related to the sponsor equity are nil, as this capital is assumed to have been raised prior and committed by the sponsor. </t>
  </si>
  <si>
    <t xml:space="preserve">The Excess Cash Flow sweep represents the percentage of excess cash that can be allocated to discretionary debt paydowns;    </t>
  </si>
  <si>
    <t xml:space="preserve"> The discretionary paydown of each debt tranche must be net of the 'higher' tranche's discretionary paydown;    </t>
  </si>
  <si>
    <t xml:space="preserve">The targeted year represents the years until the targeted threshold is expected to apply. </t>
  </si>
  <si>
    <t xml:space="preserve">The step factor represents the annual tightening of the covenant until the targeted threshold is reached. </t>
  </si>
  <si>
    <t xml:space="preserve">This schedule calculates depreciation on a straight-line basis. </t>
  </si>
  <si>
    <t xml:space="preserve">Model assumes that tax depreciation cannot be used to create or increase a loss. </t>
  </si>
  <si>
    <t xml:space="preserve">This schedule assumes that tax losses can be carried forward indefinitely into the future. </t>
  </si>
  <si>
    <t xml:space="preserve">This schedule assumes losses do not carry back to previous periods to reduce taxable income. </t>
  </si>
  <si>
    <t xml:space="preserve">Debt Service Coverage Ratio = (EBITDA - Current Tax - Capex) / (Total Interest + Mandatory Principal Paydown) </t>
  </si>
  <si>
    <t>Cash flows assumed to be received at the end of the fiscal year.</t>
  </si>
  <si>
    <t>Minimum Cash Balance</t>
  </si>
  <si>
    <t>PIK Interest Expense</t>
  </si>
  <si>
    <t>Enter as Negative</t>
  </si>
  <si>
    <t>Enter as Positive</t>
  </si>
  <si>
    <t>Minimum</t>
  </si>
  <si>
    <t>Cash Balance</t>
  </si>
  <si>
    <t>Mandatory Debt Issuance / ( Repayment)</t>
  </si>
  <si>
    <t>Cash from Issuance of Equity</t>
  </si>
  <si>
    <t>Cash Used to Repurchase Equity</t>
  </si>
  <si>
    <t>Main Model Drivers</t>
  </si>
  <si>
    <t>Financing &amp; Investing Drivers</t>
  </si>
  <si>
    <t>TERM LOAN A</t>
  </si>
  <si>
    <t>TERM LOAN B</t>
  </si>
  <si>
    <t>Term Loan A</t>
  </si>
  <si>
    <t>Term Loan B</t>
  </si>
  <si>
    <t>Subordinated Debt</t>
  </si>
  <si>
    <t xml:space="preserve">Represents the percentage of the Subordinated Debt Coupon that is paid-in-kind. </t>
  </si>
  <si>
    <t xml:space="preserve">For example, the Term Loan B discretionary paydown must take into account the Term Loan A discretionary paydown. </t>
  </si>
  <si>
    <t>Term Loan A Issuance / (Repayment)</t>
  </si>
  <si>
    <t>Term Loan B Issuance / (Repayment)</t>
  </si>
  <si>
    <t>Subordinated Debt Issuance / (Repayment)</t>
  </si>
  <si>
    <t>Cash Available After Discretionary Term Loan A Pay Down</t>
  </si>
  <si>
    <t>SUBORDINATED DEBT</t>
  </si>
  <si>
    <t>Debt/EBITDA (Term Loan A)</t>
  </si>
  <si>
    <t>Debt/EBITDA (Term Loan B)</t>
  </si>
  <si>
    <t>Debt Schedule: Part 1</t>
  </si>
  <si>
    <t>Debt Schedule: Part 2</t>
  </si>
  <si>
    <t>Debt Schedule: Part 3</t>
  </si>
  <si>
    <t>Debt Schedule: Summary</t>
  </si>
  <si>
    <t>Equity Schedule</t>
  </si>
  <si>
    <t>Credit Metrics Schedule</t>
  </si>
  <si>
    <t>Equity Returns Schedule</t>
  </si>
  <si>
    <t>Outputs</t>
  </si>
  <si>
    <t>Inputs</t>
  </si>
  <si>
    <t>FINANCIAL METRICS</t>
  </si>
  <si>
    <t>Debt Service Coverage Ratio Covenant Tripped?</t>
  </si>
  <si>
    <t>Total Debt / EBITDA Covenant Tripped?</t>
  </si>
  <si>
    <t>Covenant Reduction</t>
  </si>
  <si>
    <t>Total Debt / EBITDA Reduction</t>
  </si>
  <si>
    <t>Covenant Increase</t>
  </si>
  <si>
    <t>Debt Service Coverage Increase</t>
  </si>
  <si>
    <t>EBITDA Cushion</t>
  </si>
  <si>
    <t>Sponsor Investment</t>
  </si>
  <si>
    <t>Jeff: I added Sponsor Invesment here. Please check.</t>
  </si>
  <si>
    <t>So they can see how much of their capital is earning the IRR shown.</t>
  </si>
  <si>
    <t>Beginning 
Equity</t>
  </si>
  <si>
    <t>EBITDA 
Growth</t>
  </si>
  <si>
    <t>Multiple 
Expansion</t>
  </si>
  <si>
    <t>Net Debt 
Paydown</t>
  </si>
  <si>
    <t>(Nominal)</t>
  </si>
  <si>
    <t>(Percent)</t>
  </si>
  <si>
    <t>Does Ending Credit Line balance exceed Maximum?</t>
  </si>
  <si>
    <t>Revolving Credit Line</t>
  </si>
  <si>
    <t xml:space="preserve">Refinance ST-Debt </t>
  </si>
  <si>
    <t xml:space="preserve">Refinance LT-Debt </t>
  </si>
  <si>
    <t xml:space="preserve">Revolving credit line fees based on maximum availability. </t>
  </si>
  <si>
    <t>Revolving Credit Line Issuance / (Repayment)</t>
  </si>
  <si>
    <t>REVOLVING CREDIT LINE</t>
  </si>
  <si>
    <t>REVOLVING CREDIT LINE (DRAWN)</t>
  </si>
  <si>
    <t>REVOLVING CREDIT LINE (UNDRAWN)</t>
  </si>
  <si>
    <t>Revolving Credit Line Standby Fee Rate</t>
  </si>
  <si>
    <t>Revolving Credit Line Standby Fees</t>
  </si>
  <si>
    <t>Does Ending Revolving Credit Line balance exceed Maximum?</t>
  </si>
  <si>
    <t>Cash Available After Revolving Credit Line Pay Down</t>
  </si>
  <si>
    <t>Revolving Credit Line (Including Standby Fees)</t>
  </si>
  <si>
    <t>Forecast Financial Performance</t>
  </si>
  <si>
    <t>Returns Analysis</t>
  </si>
  <si>
    <t>Sensitivity Analysis</t>
  </si>
  <si>
    <t>Other Closing &amp; Advisory Costs</t>
  </si>
  <si>
    <t>Cash Available / (Required) For Revolving Credit Line</t>
  </si>
  <si>
    <t>Management rollover is a percentage of equity offer value.</t>
  </si>
  <si>
    <t>(Additions) Repayments</t>
  </si>
  <si>
    <t>Less: Interest Income</t>
  </si>
  <si>
    <t>Plus: Net Income</t>
  </si>
  <si>
    <t>Debt financing fees are amortized over the life of the debt; for the purposes of this model, we are not including that amortization.</t>
  </si>
  <si>
    <t>All figures in KES thousands unless stated</t>
  </si>
  <si>
    <t>(KES/Unit)</t>
  </si>
  <si>
    <t>(KES/Month)</t>
  </si>
  <si>
    <t xml:space="preserve">Electricity </t>
  </si>
  <si>
    <t>Water</t>
  </si>
  <si>
    <t>Admin &amp; Support Staff Salaries</t>
  </si>
  <si>
    <t>Months in Period</t>
  </si>
  <si>
    <t>(Months)</t>
  </si>
  <si>
    <t>(Units/Month)</t>
  </si>
  <si>
    <t>All figures in KES thousands</t>
  </si>
  <si>
    <t>Return Attribution (KES millions)</t>
  </si>
  <si>
    <t>KES/Share</t>
  </si>
  <si>
    <t>s</t>
  </si>
  <si>
    <t>Orders Placed (Units per month)</t>
  </si>
  <si>
    <t xml:space="preserve">Cash Flow Inputs </t>
  </si>
  <si>
    <t>Expenses Inputs</t>
  </si>
  <si>
    <t xml:space="preserve">Cost Schedule </t>
  </si>
  <si>
    <t xml:space="preserve">Average Price </t>
  </si>
  <si>
    <t xml:space="preserve">Price </t>
  </si>
  <si>
    <t xml:space="preserve">Sales Volume </t>
  </si>
  <si>
    <t>Net Profit</t>
  </si>
  <si>
    <t>Cash From Operations</t>
  </si>
  <si>
    <t xml:space="preserve">Financial Summary Dashboard </t>
  </si>
  <si>
    <t>INCOME STATEMENT</t>
  </si>
  <si>
    <t>EBITDA Margin</t>
  </si>
  <si>
    <t>Net Income Margin</t>
  </si>
  <si>
    <t>CASH FLOW STATEMENT</t>
  </si>
  <si>
    <t>Operating</t>
  </si>
  <si>
    <t>Investing</t>
  </si>
  <si>
    <t>Financing</t>
  </si>
  <si>
    <t xml:space="preserve">INCOME STATEMENT </t>
  </si>
  <si>
    <t xml:space="preserve">CASHFLOW STATEMENT </t>
  </si>
  <si>
    <t>Sales Volume Per Month (Units)</t>
  </si>
  <si>
    <t xml:space="preserve">Net Operating Loss </t>
  </si>
  <si>
    <t>Opening Balance</t>
  </si>
  <si>
    <t>Current Loss</t>
  </si>
  <si>
    <t>Sub Total</t>
  </si>
  <si>
    <t>Loss Used</t>
  </si>
  <si>
    <t>Closing Balance</t>
  </si>
  <si>
    <t>Free Cash Flow</t>
  </si>
  <si>
    <t>Earning Before Tax</t>
  </si>
  <si>
    <t>Interest</t>
  </si>
  <si>
    <t>Less Taxes</t>
  </si>
  <si>
    <t>Less Capex</t>
  </si>
  <si>
    <t>Plus Depreciation</t>
  </si>
  <si>
    <t>Less Changes in Working Capital</t>
  </si>
  <si>
    <t>Unlevered Free Cash Flow</t>
  </si>
  <si>
    <t>DCF Valuation</t>
  </si>
  <si>
    <t>NPV of Forecast</t>
  </si>
  <si>
    <t>Terminal Value (EBITDA multiple)</t>
  </si>
  <si>
    <t>NPV of Terminal Value</t>
  </si>
  <si>
    <t>Total Enterprise Value</t>
  </si>
  <si>
    <t>% of Business Retained after raise</t>
  </si>
  <si>
    <t xml:space="preserve">Discount Rate </t>
  </si>
  <si>
    <t>EV/Revenue (2024E)</t>
  </si>
  <si>
    <t xml:space="preserve">Equity Returns Schedule: Part2 </t>
  </si>
  <si>
    <t xml:space="preserve">Expected Monthly Revenue </t>
  </si>
  <si>
    <t>Go-Down rent</t>
  </si>
  <si>
    <t>Transaction NPV</t>
  </si>
  <si>
    <t>Undiscounted Cash Flow</t>
  </si>
  <si>
    <t>Transaction IRR</t>
  </si>
  <si>
    <t>Payback</t>
  </si>
  <si>
    <t>Cumulative</t>
  </si>
  <si>
    <t xml:space="preserve">Years </t>
  </si>
  <si>
    <t>ROA</t>
  </si>
  <si>
    <t>Net income/Total Assets</t>
  </si>
  <si>
    <t xml:space="preserve">Cumulative Cash Flow </t>
  </si>
  <si>
    <t xml:space="preserve">Unlevered Free Cash Flow </t>
  </si>
  <si>
    <t xml:space="preserve">Payback &amp; Cash Flows </t>
  </si>
  <si>
    <t>Balance Sheet</t>
  </si>
  <si>
    <t>ASSETS</t>
  </si>
  <si>
    <t>Cash</t>
  </si>
  <si>
    <t>Inventories</t>
  </si>
  <si>
    <t>Total Current Assets</t>
  </si>
  <si>
    <t>Property Plant &amp; Equipment</t>
  </si>
  <si>
    <t>Total Assets</t>
  </si>
  <si>
    <t>LIABILITIES</t>
  </si>
  <si>
    <t>Total Current Liabilities</t>
  </si>
  <si>
    <t>Long-Term Debt</t>
  </si>
  <si>
    <t>Total Liabilities</t>
  </si>
  <si>
    <t>EQUITY</t>
  </si>
  <si>
    <t>Common Equity</t>
  </si>
  <si>
    <t>Retained Earnings</t>
  </si>
  <si>
    <t>Total Shareholders' Equity</t>
  </si>
  <si>
    <t>Total Liabilities &amp; Equity</t>
  </si>
  <si>
    <t>The DuPont Formula</t>
  </si>
  <si>
    <t>Net Profit Margin</t>
  </si>
  <si>
    <t xml:space="preserve">Net income/Sales </t>
  </si>
  <si>
    <t xml:space="preserve">x Asset Turnonver </t>
  </si>
  <si>
    <t>Sales/Total Assets</t>
  </si>
  <si>
    <t>x Financial Leverage</t>
  </si>
  <si>
    <t>Total Assets/Equity</t>
  </si>
  <si>
    <t>ROE</t>
  </si>
  <si>
    <t>Net income/Total Equity</t>
  </si>
  <si>
    <t>Return on Capital Employed (ROCE)</t>
  </si>
  <si>
    <t xml:space="preserve">Liquidity ratio </t>
  </si>
  <si>
    <t>Quick Ratio</t>
  </si>
  <si>
    <t xml:space="preserve">Current ratio </t>
  </si>
  <si>
    <t>Dupont Analysis</t>
  </si>
  <si>
    <t>Payback Period</t>
  </si>
  <si>
    <t>Cash-on-Cash return (Invested Equity)</t>
  </si>
  <si>
    <t>NPV (Break Even)</t>
  </si>
  <si>
    <t>Intrinsic Valuation - Financial Statement Extracts</t>
  </si>
  <si>
    <t>Excerpts Provided from Financial Statement</t>
  </si>
  <si>
    <t>Interest Expense, net</t>
  </si>
  <si>
    <t>After-tax Interest Expense (Int Exp * (1-Tax))</t>
  </si>
  <si>
    <t>Unlevered Taxes</t>
  </si>
  <si>
    <t>Capital Expenditures</t>
  </si>
  <si>
    <t>Change in working capital</t>
  </si>
  <si>
    <t>Long term debt</t>
  </si>
  <si>
    <t>Intrinsic Valuation - Determining Unlevered Free Cashflow (UFCF)</t>
  </si>
  <si>
    <t>UFCF Using EBIT</t>
  </si>
  <si>
    <t>Less: Unlevered Taxes</t>
  </si>
  <si>
    <t>Net Operating Profit After Taxes (NOPAT)</t>
  </si>
  <si>
    <t>Capex Investment</t>
  </si>
  <si>
    <t>Unlevered Free Cash Flow (UFCF) using EBIT</t>
  </si>
  <si>
    <t>UFCF Using Net Income</t>
  </si>
  <si>
    <t>Unlevered Free Cash Flow (UFCF) using Net Income</t>
  </si>
  <si>
    <t>UFCF Using EBITDA</t>
  </si>
  <si>
    <t>Unlevered Free Cash Flow (UFCF) using EBITDA</t>
  </si>
  <si>
    <t>Intrinsic Valuation - Calculating WACC</t>
  </si>
  <si>
    <t>Using the Capital Asset Pricing Model (CAPM) to calculate the Cost of Equity</t>
  </si>
  <si>
    <t>Risk free rate</t>
  </si>
  <si>
    <t>Beta</t>
  </si>
  <si>
    <t>Equity Risk Premium</t>
  </si>
  <si>
    <t>Cost of Equity</t>
  </si>
  <si>
    <t>Calculation of Weighted Average Cost of Capital (WACC)</t>
  </si>
  <si>
    <t>Target Debt Weight (% of Total Capital Structure)</t>
  </si>
  <si>
    <t>Target Equity Weight (% of Total Capital Structure)</t>
  </si>
  <si>
    <t>Cost of Debt</t>
  </si>
  <si>
    <t>After-tax Cost of Debt</t>
  </si>
  <si>
    <t>WACC</t>
  </si>
  <si>
    <t>Intrinsic Valuation - Determining Terminal Value using a Perpetual Growth Rate</t>
  </si>
  <si>
    <t>Terminal Growth Rate</t>
  </si>
  <si>
    <t>Unlevered Free Cash Flow (UFCF)</t>
  </si>
  <si>
    <r>
      <t xml:space="preserve">Perpetuity UFCF </t>
    </r>
    <r>
      <rPr>
        <vertAlign val="subscript"/>
        <sz val="10"/>
        <color theme="1"/>
        <rFont val="Open Sans"/>
        <family val="2"/>
      </rPr>
      <t>t+1</t>
    </r>
  </si>
  <si>
    <t>Terminal Value using a Perpetual Growth Rate</t>
  </si>
  <si>
    <t>Intrinsic Valuation - Determining Terminal Value using an EBITDA Multiple</t>
  </si>
  <si>
    <t>Terminal Multiple</t>
  </si>
  <si>
    <t>Terminal Value using EBITDA Multiple</t>
  </si>
  <si>
    <t>Intrinsic Valuation - Discounting Unlevered Free CashFlows (UFCF) and Terminal Values</t>
  </si>
  <si>
    <t>Terminal Value using Perpetual Growth Rate</t>
  </si>
  <si>
    <t>Average</t>
  </si>
  <si>
    <t>Terminal Value</t>
  </si>
  <si>
    <t>Total Cash Flows</t>
  </si>
  <si>
    <t>Discounting Period</t>
  </si>
  <si>
    <t>Present Value of Cash Flows</t>
  </si>
  <si>
    <r>
      <t xml:space="preserve">EQUITY VALUE </t>
    </r>
    <r>
      <rPr>
        <b/>
        <vertAlign val="superscript"/>
        <sz val="10"/>
        <rFont val="Open Sans"/>
        <family val="2"/>
      </rPr>
      <t>1</t>
    </r>
  </si>
  <si>
    <t>IMPLIED PERPETUITY GROWTH AND TERMINAL MULTIPLE</t>
  </si>
  <si>
    <r>
      <t xml:space="preserve">Implied Perpetuity Growth Rate </t>
    </r>
    <r>
      <rPr>
        <i/>
        <vertAlign val="superscript"/>
        <sz val="10"/>
        <color theme="1"/>
        <rFont val="Open Sans"/>
        <family val="2"/>
      </rPr>
      <t>1</t>
    </r>
  </si>
  <si>
    <r>
      <t xml:space="preserve">Implied Perpetuity Growth Rate </t>
    </r>
    <r>
      <rPr>
        <i/>
        <vertAlign val="superscript"/>
        <sz val="10"/>
        <color theme="1"/>
        <rFont val="Open Sans"/>
        <family val="2"/>
      </rPr>
      <t>2</t>
    </r>
  </si>
  <si>
    <t>EQUITY VALUE PER SHARE</t>
  </si>
  <si>
    <t>Shares Outstanding</t>
  </si>
  <si>
    <t>(FD 000)</t>
  </si>
  <si>
    <t>($/sh)</t>
  </si>
  <si>
    <r>
      <t xml:space="preserve">Implied Terminal Multiple </t>
    </r>
    <r>
      <rPr>
        <i/>
        <vertAlign val="superscript"/>
        <sz val="10"/>
        <color theme="1"/>
        <rFont val="Open Sans"/>
        <family val="2"/>
      </rPr>
      <t>1</t>
    </r>
  </si>
  <si>
    <t>Current Price</t>
  </si>
  <si>
    <r>
      <t xml:space="preserve">Implied Terminal Multiple </t>
    </r>
    <r>
      <rPr>
        <i/>
        <vertAlign val="superscript"/>
        <sz val="10"/>
        <color theme="1"/>
        <rFont val="Open Sans"/>
        <family val="2"/>
      </rPr>
      <t>2</t>
    </r>
  </si>
  <si>
    <t>Upside/(Downside)</t>
  </si>
  <si>
    <t>Intrinsic Valuation - Using NPV and XNPV</t>
  </si>
  <si>
    <t>Valuation</t>
  </si>
  <si>
    <t>Discrete Forecast</t>
  </si>
  <si>
    <t>Terminal</t>
  </si>
  <si>
    <t>Fiscal Year End</t>
  </si>
  <si>
    <t>Cash Flow Timing</t>
  </si>
  <si>
    <t>Average Terminal Value</t>
  </si>
  <si>
    <t>Manual End-of-Period Discounting Convention</t>
  </si>
  <si>
    <t>Manual Mid-Period Discounting Convention</t>
  </si>
  <si>
    <r>
      <t xml:space="preserve">Using the NPV function (End-of-Period Discounting) </t>
    </r>
    <r>
      <rPr>
        <b/>
        <vertAlign val="superscript"/>
        <sz val="10"/>
        <color theme="1"/>
        <rFont val="Open Sans"/>
        <family val="2"/>
      </rPr>
      <t>1</t>
    </r>
  </si>
  <si>
    <r>
      <t xml:space="preserve">Using the XNPV function (End-of-Period Discounting) </t>
    </r>
    <r>
      <rPr>
        <b/>
        <vertAlign val="superscript"/>
        <sz val="10"/>
        <color theme="1"/>
        <rFont val="Open Sans"/>
        <family val="2"/>
      </rPr>
      <t>2</t>
    </r>
  </si>
  <si>
    <r>
      <t xml:space="preserve">Using the XNPV function (Mid-Period Discounting) </t>
    </r>
    <r>
      <rPr>
        <b/>
        <vertAlign val="superscript"/>
        <sz val="10"/>
        <color theme="1"/>
        <rFont val="Open Sans"/>
        <family val="2"/>
      </rPr>
      <t>2</t>
    </r>
  </si>
  <si>
    <t>Intrinsic Valuation - Using IRR and XIRR</t>
  </si>
  <si>
    <r>
      <t xml:space="preserve">Using the IRR function </t>
    </r>
    <r>
      <rPr>
        <b/>
        <vertAlign val="superscript"/>
        <sz val="10"/>
        <color theme="1"/>
        <rFont val="Open Sans"/>
        <family val="2"/>
      </rPr>
      <t>1</t>
    </r>
  </si>
  <si>
    <t>Internal Rate of Return (IRR)</t>
  </si>
  <si>
    <t>Using the XIRR function (End-of-Period Discounting)</t>
  </si>
  <si>
    <t>Using the XIRR function (Mid-Period Discounting)</t>
  </si>
  <si>
    <t>Both IRR and XIRR require an initial cash outflow to calculate;</t>
  </si>
  <si>
    <t>The XIRR function is more accurate as it takes into account precise dates.</t>
  </si>
  <si>
    <t>Data Table</t>
  </si>
  <si>
    <t>Equity Value per Share</t>
  </si>
  <si>
    <t>Perpetuity Growth Rate</t>
  </si>
  <si>
    <t>(KES/share)</t>
  </si>
  <si>
    <t>Relative Valuation - Using Comparable Company Analysis</t>
  </si>
  <si>
    <t>Share</t>
  </si>
  <si>
    <t>Shares</t>
  </si>
  <si>
    <t>Market</t>
  </si>
  <si>
    <t>Net</t>
  </si>
  <si>
    <t>Enterprise</t>
  </si>
  <si>
    <t>EV / EBITDA</t>
  </si>
  <si>
    <r>
      <t xml:space="preserve">P / E </t>
    </r>
    <r>
      <rPr>
        <b/>
        <vertAlign val="superscript"/>
        <sz val="10"/>
        <color rgb="FF000000"/>
        <rFont val="Open Sans"/>
        <family val="2"/>
      </rPr>
      <t>2</t>
    </r>
  </si>
  <si>
    <t>Peer Companies</t>
  </si>
  <si>
    <t>Industry</t>
  </si>
  <si>
    <t>Location</t>
  </si>
  <si>
    <t>Price</t>
  </si>
  <si>
    <t>Outstand.</t>
  </si>
  <si>
    <t>Cap</t>
  </si>
  <si>
    <t>Debt</t>
  </si>
  <si>
    <r>
      <t xml:space="preserve">Value </t>
    </r>
    <r>
      <rPr>
        <b/>
        <vertAlign val="superscript"/>
        <sz val="10"/>
        <rFont val="Open Sans"/>
        <family val="2"/>
      </rPr>
      <t>1</t>
    </r>
  </si>
  <si>
    <t>$</t>
  </si>
  <si>
    <t>mm</t>
  </si>
  <si>
    <t>x</t>
  </si>
  <si>
    <t>Ghana</t>
  </si>
  <si>
    <t>Median</t>
  </si>
  <si>
    <t>Target Company Value at Median Multiples</t>
  </si>
  <si>
    <t xml:space="preserve">Enterprise Value = Market Cap + Net Debt. </t>
  </si>
  <si>
    <t xml:space="preserve">Calculated as Market Cap divided by Net Income. </t>
  </si>
  <si>
    <t>Relative Valuation - Using Precedent Transaction Analysis</t>
  </si>
  <si>
    <t>Offer</t>
  </si>
  <si>
    <t>Control</t>
  </si>
  <si>
    <t>Market Cap</t>
  </si>
  <si>
    <t>Date</t>
  </si>
  <si>
    <t>Acquirer</t>
  </si>
  <si>
    <t>Target</t>
  </si>
  <si>
    <t>Premium</t>
  </si>
  <si>
    <t>at Offer</t>
  </si>
  <si>
    <t>Value</t>
  </si>
  <si>
    <t>(YYYY-MM-DD)</t>
  </si>
  <si>
    <t>Cake</t>
  </si>
  <si>
    <t>Ice Cream</t>
  </si>
  <si>
    <t>Salt</t>
  </si>
  <si>
    <t>Pepper</t>
  </si>
  <si>
    <t>Fish</t>
  </si>
  <si>
    <t>Chips</t>
  </si>
  <si>
    <t>Peanut Butter</t>
  </si>
  <si>
    <t>Jelly</t>
  </si>
  <si>
    <t>Brisket</t>
  </si>
  <si>
    <t>NoSauce</t>
  </si>
  <si>
    <t>Biscuits</t>
  </si>
  <si>
    <t>Gravy</t>
  </si>
  <si>
    <t>CTM</t>
  </si>
  <si>
    <t>GTM</t>
  </si>
  <si>
    <t>Jik</t>
  </si>
  <si>
    <t>Octane</t>
  </si>
  <si>
    <t>Lime</t>
  </si>
  <si>
    <t>HHV</t>
  </si>
  <si>
    <t>Dela</t>
  </si>
  <si>
    <t>KES</t>
  </si>
  <si>
    <t>Nigeria</t>
  </si>
  <si>
    <t>Banking</t>
  </si>
  <si>
    <t>Manufacturing</t>
  </si>
  <si>
    <t>Retail</t>
  </si>
  <si>
    <t>Mining</t>
  </si>
  <si>
    <t>FMCG</t>
  </si>
  <si>
    <t>Health Care</t>
  </si>
  <si>
    <t>Football Field Chart</t>
  </si>
  <si>
    <t>Low</t>
  </si>
  <si>
    <t>Middle</t>
  </si>
  <si>
    <t>High</t>
  </si>
  <si>
    <t>Comparable Companies</t>
  </si>
  <si>
    <t>Precedent Transactions</t>
  </si>
  <si>
    <t>DCF - Perpetuity Growth</t>
  </si>
  <si>
    <t>DCF - Terminal Multiple</t>
  </si>
  <si>
    <t>52 Week High/Low</t>
  </si>
  <si>
    <t>Bralirwa Sa</t>
  </si>
  <si>
    <t>Cervejas De Mozambique</t>
  </si>
  <si>
    <t>Champion Breweries Plc</t>
  </si>
  <si>
    <t>Golden Guinea Breweries Plc</t>
  </si>
  <si>
    <t>Guinness Ghana Breweries</t>
  </si>
  <si>
    <t>Guinness Nigeria Plc</t>
  </si>
  <si>
    <t>International Breweries</t>
  </si>
  <si>
    <t>Namibia Breweries Ltd</t>
  </si>
  <si>
    <t>National Breweries Plc</t>
  </si>
  <si>
    <t>Nigerian Breweries Plc</t>
  </si>
  <si>
    <t>Phoenix Beverages Ltd</t>
  </si>
  <si>
    <t>Sechaba Breweries Holdings L</t>
  </si>
  <si>
    <t>Soc De Limonaderies Et Brass</t>
  </si>
  <si>
    <t>Tanzania Breweries Ltd</t>
  </si>
  <si>
    <t>Zambian Breweries</t>
  </si>
  <si>
    <t>Rwanda</t>
  </si>
  <si>
    <t>Mozambique</t>
  </si>
  <si>
    <t>Namibia</t>
  </si>
  <si>
    <t>Zambia</t>
  </si>
  <si>
    <t>Mauritius</t>
  </si>
  <si>
    <t>Botswana</t>
  </si>
  <si>
    <t>Ivory Coast</t>
  </si>
  <si>
    <t>Tanzania</t>
  </si>
  <si>
    <t>Model Running: Base Case Drivers</t>
  </si>
  <si>
    <t xml:space="preserve">Project Start Date </t>
  </si>
  <si>
    <t xml:space="preserve">Display Week </t>
  </si>
  <si>
    <t xml:space="preserve">Project Lead </t>
  </si>
  <si>
    <t xml:space="preserve">Jonas Okola </t>
  </si>
  <si>
    <t>WBS</t>
  </si>
  <si>
    <t>TASK</t>
  </si>
  <si>
    <t>LEAD</t>
  </si>
  <si>
    <t>PREDECESSOR</t>
  </si>
  <si>
    <t>START</t>
  </si>
  <si>
    <t>END</t>
  </si>
  <si>
    <t>DAYS</t>
  </si>
  <si>
    <t>% DONE</t>
  </si>
  <si>
    <t>WORK DAYS</t>
  </si>
  <si>
    <t>[MACHINES PREPARATIONS &amp; IMPORTATION]</t>
  </si>
  <si>
    <t xml:space="preserve">Ordering the Rotocon Flexo Label Printing Machine from South Africa </t>
  </si>
  <si>
    <t xml:space="preserve">Jonas </t>
  </si>
  <si>
    <t xml:space="preserve">Initiating the Pilot Cap Mold Design Process &amp; Conducting process runability Trials.Initiating the Full Mold Designing together with the Injection Molding Machines Assembly </t>
  </si>
  <si>
    <t xml:space="preserve">Importation of the Mold and the Injection Molding Machines and Utilities </t>
  </si>
  <si>
    <t xml:space="preserve">Initiating the Assembly of the Slitter Machine &amp; the Printer Machine Assembly </t>
  </si>
  <si>
    <t xml:space="preserve">Importation of the Slitter Machine and the Printing Machine </t>
  </si>
  <si>
    <t xml:space="preserve">FACTORY SETUP </t>
  </si>
  <si>
    <t xml:space="preserve">Identifying an Ideal Factory Space- 2 Godown spaces </t>
  </si>
  <si>
    <t xml:space="preserve">Factory Rent/Lease Agreements, Licencing, Permits, Inspections, Audits and Assesments </t>
  </si>
  <si>
    <t>Factory Set up, Power cabling, Compressed Air Piping, Water Piping, LPG Gas Piping, Office and Utilities Setup</t>
  </si>
  <si>
    <t>Importation of Laboratory Machines and Setting Up of the Quality Assurance Laboratory</t>
  </si>
  <si>
    <t xml:space="preserve">PRODUCTION TIMELINES </t>
  </si>
  <si>
    <t xml:space="preserve">Pilot Mold Samples Trials </t>
  </si>
  <si>
    <t xml:space="preserve">Production Trials commencement for Flexo Label Printing </t>
  </si>
  <si>
    <t xml:space="preserve">Production Trials Commencement for Closure Caps </t>
  </si>
  <si>
    <t xml:space="preserve">RAW MATERIALS PROCUREMENT </t>
  </si>
  <si>
    <t xml:space="preserve">Suppliers Evaluations Continous process </t>
  </si>
  <si>
    <t>HDPE Plastic Raw Material Importation Process</t>
  </si>
  <si>
    <t xml:space="preserve">Flexo Printing Paper/Ink Procurement </t>
  </si>
  <si>
    <t>Closure Inks /Lacquer Purchases</t>
  </si>
  <si>
    <t xml:space="preserve">Packaging Materials Purchases-Packing Cartons,Polythene Liners,Tapes, Cable Ties </t>
  </si>
  <si>
    <t xml:space="preserve">STAFFING TIMELINES </t>
  </si>
  <si>
    <t xml:space="preserve">Project Cordinator </t>
  </si>
  <si>
    <t xml:space="preserve">Procurement Supply Chain &amp; Logistics Officer </t>
  </si>
  <si>
    <t xml:space="preserve">QA Documentation Expert </t>
  </si>
  <si>
    <t xml:space="preserve">Graphics Design Technician </t>
  </si>
  <si>
    <t>Sales &amp; Marketing Rep</t>
  </si>
  <si>
    <t xml:space="preserve">Factory Manager </t>
  </si>
  <si>
    <t xml:space="preserve">General Machine Attendants </t>
  </si>
  <si>
    <t xml:space="preserve">QA/QC Analysts </t>
  </si>
  <si>
    <t xml:space="preserve">Maintenance Manager / Engineering Team </t>
  </si>
  <si>
    <t>HR &amp; Admin</t>
  </si>
  <si>
    <t xml:space="preserve">Finance Team </t>
  </si>
  <si>
    <t>Project Purchase Cost using two 24 Cav. Molds and  Machine</t>
  </si>
  <si>
    <t>Technical Operational SetUp Cost</t>
  </si>
  <si>
    <t>USD</t>
  </si>
  <si>
    <t>Project Set Up</t>
  </si>
  <si>
    <t>Go Down Set Up Accessories -(Electric Cabling, Water &amp; Compressed air Piping)</t>
  </si>
  <si>
    <t>Total</t>
  </si>
  <si>
    <t>B</t>
  </si>
  <si>
    <t>Additional Initial Set Up Costs</t>
  </si>
  <si>
    <t xml:space="preserve">Statutory Compliances </t>
  </si>
  <si>
    <t>Licences, Permits, Legal notices and Human Resorce Compliances</t>
  </si>
  <si>
    <t>Brand Designing Set Up</t>
  </si>
  <si>
    <t xml:space="preserve">System Set Up </t>
  </si>
  <si>
    <t xml:space="preserve">Office Equipment </t>
  </si>
  <si>
    <t xml:space="preserve">movement of WIP, Raw Materials &amp; Finished Goods </t>
  </si>
  <si>
    <t xml:space="preserve">Freight Transit &amp; Clearing </t>
  </si>
  <si>
    <t>FLEXO PRESS PRINTING MACHINE SETUP</t>
  </si>
  <si>
    <t xml:space="preserve">Flexo Plate Mounter </t>
  </si>
  <si>
    <t xml:space="preserve">Anilox Cleaner </t>
  </si>
  <si>
    <t>C</t>
  </si>
  <si>
    <t xml:space="preserve">RSI Rewinder </t>
  </si>
  <si>
    <t xml:space="preserve">Operational Costs </t>
  </si>
  <si>
    <t>Salaries</t>
  </si>
  <si>
    <t>Both Operational, Maintenance Support Staff &amp; Admin</t>
  </si>
  <si>
    <t xml:space="preserve">Rent </t>
  </si>
  <si>
    <t>Paid Quarterly Plus Deposit</t>
  </si>
  <si>
    <t>Packaging Material</t>
  </si>
  <si>
    <t xml:space="preserve">Power Consumption Cost </t>
  </si>
  <si>
    <t xml:space="preserve">Water </t>
  </si>
  <si>
    <t xml:space="preserve">Water Usage Cost </t>
  </si>
  <si>
    <t>Duties, Levies and Shipment Cost</t>
  </si>
  <si>
    <t>D</t>
  </si>
  <si>
    <t xml:space="preserve">Total Purchase Cost </t>
  </si>
  <si>
    <t xml:space="preserve">Estimated Total Set Up Cost </t>
  </si>
  <si>
    <t>A+B+C+D</t>
  </si>
  <si>
    <t>UDV- Diageo</t>
  </si>
  <si>
    <t>Kenya Wines Agency Limited (K.W.A.L)</t>
  </si>
  <si>
    <t>Patiala Distillers Limited</t>
  </si>
  <si>
    <t>Zheng Hong Kenya Limited</t>
  </si>
  <si>
    <t>London Distillers Kenya</t>
  </si>
  <si>
    <t>Two Cousins Distillers Limited</t>
  </si>
  <si>
    <t>Platinum Distillers Limited</t>
  </si>
  <si>
    <t>Manchester Distillers Kenya Ltd.</t>
  </si>
  <si>
    <t>FRM East Africa Ltd.</t>
  </si>
  <si>
    <t>Mount Kenya Breweries Ltd.</t>
  </si>
  <si>
    <t>Faze Three Distillers</t>
  </si>
  <si>
    <t>Rift Valley Breweries Limited</t>
  </si>
  <si>
    <t>Lumat Limited</t>
  </si>
  <si>
    <t>Crywan Distillers Limited &amp;amp; Many More.</t>
  </si>
  <si>
    <t>Mega Beverages Tanzania.</t>
  </si>
  <si>
    <t>DGT Group Tanzania</t>
  </si>
  <si>
    <t>KKK Dodoma Distilleries Tanzania</t>
  </si>
  <si>
    <t>MATI Super Brands Ltd Tanzania</t>
  </si>
  <si>
    <t>Chibuku Super Ltd Tanzania</t>
  </si>
  <si>
    <t>East African Sprits Tanzania</t>
  </si>
  <si>
    <t>Uganda Breweries Uganda</t>
  </si>
  <si>
    <t>Kakira Distillery Limited Uganda</t>
  </si>
  <si>
    <t>Leading Distillers Ltd Uganda</t>
  </si>
  <si>
    <t>Brigade Distillers Ltd Uganda</t>
  </si>
  <si>
    <t>Singo Distillers Ltd Uganda</t>
  </si>
  <si>
    <t>Yego Distillers Ltd Rwanda</t>
  </si>
  <si>
    <t>Major consumers of Closure caps in Kenya</t>
  </si>
  <si>
    <t xml:space="preserve">MARKET PLAYERS </t>
  </si>
  <si>
    <t>Major consumers of Closure caps Regionally</t>
  </si>
  <si>
    <t>Flexo Printig Press RY450 6 Colour</t>
  </si>
  <si>
    <t>VAT</t>
  </si>
  <si>
    <t>IDF</t>
  </si>
  <si>
    <t>RL</t>
  </si>
  <si>
    <t>USD to Kshs Rate is 1USD to Kshs.135</t>
  </si>
  <si>
    <t>FLEXO LABELS PROJECT TIMELINE SCHEDULE</t>
  </si>
  <si>
    <t>SET UP COST BREAK DOWN FLEXO PRINTING MACHINE</t>
  </si>
  <si>
    <t>One Machine Supplier Expertise (Installers) Travel &amp; Accomodation 1 Week</t>
  </si>
  <si>
    <t>Installation</t>
  </si>
  <si>
    <t>Pest control certificate</t>
  </si>
  <si>
    <t>Manufacturing Business Permit</t>
  </si>
  <si>
    <t>DOSHS Workplace Permit</t>
  </si>
  <si>
    <t>Fire Inspection Certificate</t>
  </si>
  <si>
    <t>KEBS Audit &amp; Permit to Manufacture</t>
  </si>
  <si>
    <t>Workplace Risk Assestment</t>
  </si>
  <si>
    <t>NEMA Inspection, EIA &amp; Compliance certificate</t>
  </si>
  <si>
    <t>Company Registration</t>
  </si>
  <si>
    <t>Fire Safety Equipment</t>
  </si>
  <si>
    <t>Health &amp; Safety Equipment (Occupational First Aid Kit)</t>
  </si>
  <si>
    <t>Freight (Mombasa To Nairobi)</t>
  </si>
  <si>
    <t>Clearing at ICD</t>
  </si>
  <si>
    <t xml:space="preserve">Documentation Fee </t>
  </si>
  <si>
    <t xml:space="preserve">IDF Fee </t>
  </si>
  <si>
    <t>Freighting (ICD to Factory Premise)</t>
  </si>
  <si>
    <t>Port Charges</t>
  </si>
  <si>
    <t>IMAC Design Computers</t>
  </si>
  <si>
    <t>Inventory Control Auto System</t>
  </si>
  <si>
    <t>Pallet trolley</t>
  </si>
  <si>
    <t>Weighing Scales</t>
  </si>
  <si>
    <t xml:space="preserve"> Color Matching Cabinets</t>
  </si>
  <si>
    <t xml:space="preserve"> Vernier Callipers</t>
  </si>
  <si>
    <t xml:space="preserve"> Micrometer Screw Gauges</t>
  </si>
  <si>
    <t xml:space="preserve"> Ink Draw down Rods Kit</t>
  </si>
  <si>
    <t xml:space="preserve"> GSM Tester Plates</t>
  </si>
  <si>
    <t xml:space="preserve"> Tape Test Blades &amp; Tapes</t>
  </si>
  <si>
    <t xml:space="preserve"> Heating Laboratory Oven</t>
  </si>
  <si>
    <t xml:space="preserve"> Magnifying Lense with Stand</t>
  </si>
  <si>
    <t xml:space="preserve"> Callibration Services</t>
  </si>
  <si>
    <t xml:space="preserve"> Ambient Temp Gauge</t>
  </si>
  <si>
    <t>Quality Testing Equipment</t>
  </si>
  <si>
    <t>Quality Analysis Machines to gurantee Quality Assurance {Lab Equipments)</t>
  </si>
  <si>
    <t xml:space="preserve">Desktops, Laptops, Office Desks, Filing Cabinet, Stationery, Networking &amp; Internet Hardware </t>
  </si>
  <si>
    <t xml:space="preserve"> Zahn Cup viscocity Tester</t>
  </si>
  <si>
    <t xml:space="preserve"> Steel Ruler</t>
  </si>
  <si>
    <t xml:space="preserve"> Flexible rulers</t>
  </si>
  <si>
    <t xml:space="preserve"> Oven Probe Thermomenter Metrology</t>
  </si>
  <si>
    <t>Contigency</t>
  </si>
  <si>
    <t xml:space="preserve">  </t>
  </si>
  <si>
    <t>Printing Paper</t>
  </si>
  <si>
    <t>Inks, Vanishes, Cleaners</t>
  </si>
  <si>
    <t>Electricity</t>
  </si>
  <si>
    <t>Graphic Designer</t>
  </si>
  <si>
    <t>Quality Assurance</t>
  </si>
  <si>
    <t>Machine Operator</t>
  </si>
  <si>
    <t>Machine Operator Assistance</t>
  </si>
  <si>
    <t xml:space="preserve">Maintence </t>
  </si>
  <si>
    <t>Cleaners</t>
  </si>
  <si>
    <t>QC Assistant</t>
  </si>
  <si>
    <t>Sales Representative</t>
  </si>
  <si>
    <t>RSI Operator</t>
  </si>
  <si>
    <t>Raw Materials</t>
  </si>
  <si>
    <t>#</t>
  </si>
  <si>
    <t>Employee</t>
  </si>
  <si>
    <t xml:space="preserve">Clear On Clear Paper </t>
  </si>
  <si>
    <t xml:space="preserve">PP White Paper </t>
  </si>
  <si>
    <t xml:space="preserve">Silver Paper </t>
  </si>
  <si>
    <t xml:space="preserve">Silver PP </t>
  </si>
  <si>
    <t>Semi-Gloss Paper</t>
  </si>
  <si>
    <t>Fixed Cost</t>
  </si>
  <si>
    <t>Paper, Inks, Vanishes &amp;Packaging Material</t>
  </si>
  <si>
    <t>A</t>
  </si>
  <si>
    <r>
      <t xml:space="preserve">EXISTING ASSET DEPRECIATION </t>
    </r>
    <r>
      <rPr>
        <b/>
        <vertAlign val="superscript"/>
        <sz val="9"/>
        <rFont val="Aptos Narrow"/>
        <family val="2"/>
      </rPr>
      <t>1</t>
    </r>
  </si>
  <si>
    <r>
      <t xml:space="preserve">NEW ASSET DEPRECIATION </t>
    </r>
    <r>
      <rPr>
        <b/>
        <vertAlign val="superscript"/>
        <sz val="9"/>
        <rFont val="Aptos Narrow"/>
        <family val="2"/>
      </rPr>
      <t>1</t>
    </r>
  </si>
  <si>
    <r>
      <t xml:space="preserve">TOTAL ASSET DEPRECIATION </t>
    </r>
    <r>
      <rPr>
        <b/>
        <vertAlign val="superscript"/>
        <sz val="9"/>
        <rFont val="Aptos Narrow"/>
        <family val="2"/>
      </rPr>
      <t>2</t>
    </r>
  </si>
  <si>
    <r>
      <t xml:space="preserve">PROPERTY PLANT &amp; EQUIPMENT </t>
    </r>
    <r>
      <rPr>
        <b/>
        <vertAlign val="superscript"/>
        <sz val="9"/>
        <color rgb="FF000000"/>
        <rFont val="Aptos Narrow"/>
        <family val="2"/>
      </rPr>
      <t>1</t>
    </r>
  </si>
  <si>
    <r>
      <t xml:space="preserve">TAX BASIS </t>
    </r>
    <r>
      <rPr>
        <b/>
        <vertAlign val="superscript"/>
        <sz val="9"/>
        <rFont val="Aptos Narrow"/>
        <family val="2"/>
      </rPr>
      <t>1</t>
    </r>
  </si>
  <si>
    <r>
      <t xml:space="preserve">Tax Depreciation </t>
    </r>
    <r>
      <rPr>
        <vertAlign val="superscript"/>
        <sz val="9"/>
        <rFont val="Aptos Narrow"/>
        <family val="2"/>
      </rPr>
      <t>2</t>
    </r>
  </si>
  <si>
    <r>
      <t xml:space="preserve">Less: Tax Depreciation </t>
    </r>
    <r>
      <rPr>
        <vertAlign val="superscript"/>
        <sz val="9"/>
        <rFont val="Aptos Narrow"/>
        <family val="2"/>
      </rPr>
      <t>1</t>
    </r>
  </si>
  <si>
    <r>
      <t xml:space="preserve">ADJUSTMENT FOR TAX LOSSES </t>
    </r>
    <r>
      <rPr>
        <b/>
        <vertAlign val="superscript"/>
        <sz val="9"/>
        <rFont val="Aptos Narrow"/>
        <family val="2"/>
      </rPr>
      <t>2</t>
    </r>
  </si>
  <si>
    <r>
      <t xml:space="preserve">Less: Use of Tax Losses </t>
    </r>
    <r>
      <rPr>
        <vertAlign val="superscript"/>
        <sz val="9"/>
        <rFont val="Aptos Narrow"/>
        <family val="2"/>
      </rPr>
      <t>3</t>
    </r>
  </si>
  <si>
    <r>
      <t xml:space="preserve">Debt Service Coverage </t>
    </r>
    <r>
      <rPr>
        <vertAlign val="superscript"/>
        <sz val="9"/>
        <color rgb="FF000000"/>
        <rFont val="Aptos Narrow"/>
        <family val="2"/>
      </rPr>
      <t>1</t>
    </r>
  </si>
  <si>
    <r>
      <t xml:space="preserve">Management Rollover </t>
    </r>
    <r>
      <rPr>
        <vertAlign val="superscript"/>
        <sz val="9"/>
        <rFont val="Aptos Narrow"/>
        <family val="2"/>
      </rPr>
      <t>1</t>
    </r>
  </si>
  <si>
    <r>
      <t xml:space="preserve">First Forecast Fiscal Year </t>
    </r>
    <r>
      <rPr>
        <vertAlign val="superscript"/>
        <sz val="9"/>
        <color rgb="FF000000"/>
        <rFont val="Aptos Narrow"/>
        <family val="2"/>
      </rPr>
      <t>2</t>
    </r>
  </si>
  <si>
    <r>
      <t xml:space="preserve">Debt Financing Fees </t>
    </r>
    <r>
      <rPr>
        <vertAlign val="superscript"/>
        <sz val="9"/>
        <rFont val="Aptos Narrow"/>
        <family val="2"/>
      </rPr>
      <t>5</t>
    </r>
  </si>
  <si>
    <r>
      <t xml:space="preserve">Transaction Close Date </t>
    </r>
    <r>
      <rPr>
        <vertAlign val="superscript"/>
        <sz val="9"/>
        <color rgb="FF000000"/>
        <rFont val="Aptos Narrow"/>
        <family val="2"/>
      </rPr>
      <t>3</t>
    </r>
  </si>
  <si>
    <r>
      <t xml:space="preserve">First Year of Forecast </t>
    </r>
    <r>
      <rPr>
        <vertAlign val="superscript"/>
        <sz val="9"/>
        <color rgb="FF000000"/>
        <rFont val="Aptos Narrow"/>
        <family val="2"/>
      </rPr>
      <t>4</t>
    </r>
  </si>
  <si>
    <r>
      <t xml:space="preserve">Restructuring Fees </t>
    </r>
    <r>
      <rPr>
        <vertAlign val="superscript"/>
        <sz val="9"/>
        <rFont val="Aptos Narrow"/>
        <family val="2"/>
      </rPr>
      <t>6</t>
    </r>
  </si>
  <si>
    <r>
      <t xml:space="preserve">Revolving Credit Line </t>
    </r>
    <r>
      <rPr>
        <vertAlign val="superscript"/>
        <sz val="9"/>
        <color rgb="FF000000"/>
        <rFont val="Aptos Narrow"/>
        <family val="2"/>
      </rPr>
      <t>1</t>
    </r>
  </si>
  <si>
    <r>
      <t xml:space="preserve">Sponsor + Mgmt. Equity </t>
    </r>
    <r>
      <rPr>
        <vertAlign val="superscript"/>
        <sz val="9"/>
        <color rgb="FF000000"/>
        <rFont val="Aptos Narrow"/>
        <family val="2"/>
      </rPr>
      <t>2</t>
    </r>
  </si>
  <si>
    <r>
      <t xml:space="preserve">Rate </t>
    </r>
    <r>
      <rPr>
        <b/>
        <vertAlign val="superscript"/>
        <sz val="9"/>
        <color rgb="FF000000"/>
        <rFont val="Aptos Narrow"/>
        <family val="2"/>
      </rPr>
      <t>3</t>
    </r>
  </si>
  <si>
    <r>
      <t xml:space="preserve">Sweep </t>
    </r>
    <r>
      <rPr>
        <b/>
        <vertAlign val="superscript"/>
        <sz val="9"/>
        <color rgb="FF000000"/>
        <rFont val="Aptos Narrow"/>
        <family val="2"/>
      </rPr>
      <t>4</t>
    </r>
  </si>
  <si>
    <r>
      <t xml:space="preserve">Targeted Year </t>
    </r>
    <r>
      <rPr>
        <vertAlign val="superscript"/>
        <sz val="9"/>
        <rFont val="Aptos Narrow"/>
        <family val="2"/>
      </rPr>
      <t>5</t>
    </r>
  </si>
  <si>
    <r>
      <t xml:space="preserve">Total Debt / EBITDA Reduction </t>
    </r>
    <r>
      <rPr>
        <vertAlign val="superscript"/>
        <sz val="9"/>
        <color rgb="FF000000"/>
        <rFont val="Aptos Narrow"/>
        <family val="2"/>
      </rPr>
      <t>6</t>
    </r>
  </si>
  <si>
    <r>
      <t xml:space="preserve">Debt Service Coverage Increase </t>
    </r>
    <r>
      <rPr>
        <vertAlign val="superscript"/>
        <sz val="9"/>
        <rFont val="Aptos Narrow"/>
        <family val="2"/>
      </rPr>
      <t>6</t>
    </r>
  </si>
  <si>
    <r>
      <t xml:space="preserve">Sponsor Equity IRR </t>
    </r>
    <r>
      <rPr>
        <b/>
        <vertAlign val="superscript"/>
        <sz val="10"/>
        <rFont val="Aptos Narrow"/>
        <family val="2"/>
      </rPr>
      <t>1</t>
    </r>
  </si>
  <si>
    <r>
      <t xml:space="preserve">Sponsor Cash-on-Cash </t>
    </r>
    <r>
      <rPr>
        <b/>
        <vertAlign val="superscript"/>
        <sz val="10"/>
        <rFont val="Aptos Narrow"/>
        <family val="2"/>
      </rPr>
      <t>1</t>
    </r>
  </si>
  <si>
    <t>Flexxo Printing Finance Model</t>
  </si>
  <si>
    <t>Flexxo Labels Revenue Schedule: Part A</t>
  </si>
  <si>
    <t>Flexxo Labels Sales Volume</t>
  </si>
  <si>
    <t>Flexxo Labels Unit Price</t>
  </si>
  <si>
    <t>Flexxo Labels Revenue</t>
  </si>
  <si>
    <t>Flexxo Labels Plant Capacity</t>
  </si>
  <si>
    <t>Flexxo Labels Average item Price (Gross)</t>
  </si>
  <si>
    <t>Strategic partnerships with key industry players</t>
  </si>
  <si>
    <t>Financials: Revenue grows from 138M to 229M KES (2025-2029), EBITDA margin ~75%</t>
  </si>
  <si>
    <t>Operations: Capacity utilization increases from 56% to 78%</t>
  </si>
  <si>
    <t>Market: Sales volume rises from 5M to 7M units/month</t>
  </si>
  <si>
    <t>Returns: 5-year IRR of 277%, 53.7x cash-on-cash return</t>
  </si>
  <si>
    <r>
      <rPr>
        <b/>
        <sz val="10"/>
        <color theme="1"/>
        <rFont val="Aptos Narrow"/>
        <family val="2"/>
      </rPr>
      <t>Investment Required:</t>
    </r>
    <r>
      <rPr>
        <sz val="10"/>
        <color theme="1"/>
        <rFont val="Aptos Narrow"/>
        <family val="2"/>
      </rPr>
      <t xml:space="preserve"> 17M KES for state-of-the-art equipment and working capital</t>
    </r>
  </si>
  <si>
    <t>Key Take aways</t>
  </si>
  <si>
    <t>With 30% discount rate used accounting for country risk the venture is +NPV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</si>
</sst>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4">
    <numFmt numFmtId="5" formatCode="&quot;$&quot;#,##0_);\(&quot;$&quot;#,##0\)"/>
    <numFmt numFmtId="41" formatCode="_(* #,##0_);_(* \(#,##0\);_(* &quot;-&quot;_);_(@_)"/>
    <numFmt numFmtId="44" formatCode="_(&quot;$&quot;* #,##0.00_);_(&quot;$&quot;* \(#,##0.00\);_(&quot;$&quot;* &quot;-&quot;??_);_(@_)"/>
    <numFmt numFmtId="43" formatCode="_(* #,##0.00_);_(* \(#,##0.00\);_(* &quot;-&quot;??_);_(@_)"/>
    <numFmt numFmtId="164" formatCode="_-&quot;$&quot;* #,##0_-;\-&quot;$&quot;* #,##0_-;_-&quot;$&quot;* &quot;-&quot;_-;_-@_-"/>
    <numFmt numFmtId="165" formatCode="_-* #,##0.00_-;\-* #,##0.00_-;_-* &quot;-&quot;??_-;_-@_-"/>
    <numFmt numFmtId="166" formatCode="_(#,##0_)_%;\(#,##0\)_%;_(&quot;–&quot;_)_%;_(@_)_%"/>
    <numFmt numFmtId="167" formatCode="_-* #,##0_-;\(#,##0\)_-;_-* &quot;-&quot;_-;_-@_-"/>
    <numFmt numFmtId="168" formatCode="0&quot;A&quot;"/>
    <numFmt numFmtId="169" formatCode="0&quot;F&quot;"/>
    <numFmt numFmtId="170" formatCode="_(#,##0_);\(#,##0\);_(&quot;–&quot;_);_(@_)"/>
    <numFmt numFmtId="171" formatCode="#,##0_);[Red]\(#,##0\);\-"/>
    <numFmt numFmtId="172" formatCode="#,##0_);\(#,##0\);\-"/>
    <numFmt numFmtId="173" formatCode="_(#,##0.0%_);\(#,##0.0%\);_(&quot;–&quot;_)_%;_(@_)_%"/>
    <numFmt numFmtId="174" formatCode="0.0%"/>
    <numFmt numFmtId="175" formatCode="_(#,##0.00_);\(#,##0.00\);_(&quot;–&quot;_);_(@_)"/>
    <numFmt numFmtId="176" formatCode="#,##0.0_);\(#,##0.0\);\-"/>
    <numFmt numFmtId="177" formatCode="#,##0.00_);\(#,##0.00\);\-"/>
    <numFmt numFmtId="178" formatCode="&quot;Yr&quot;\ 0"/>
    <numFmt numFmtId="179" formatCode="_(#,##0%_);\(#,##0%\);_(&quot;–&quot;_)_%;_(@_)_%"/>
    <numFmt numFmtId="180" formatCode="0&quot;F&quot;\ "/>
    <numFmt numFmtId="181" formatCode="_(#,##0.0_);\(#,##0.0\);_(&quot;–&quot;_);_(@_)"/>
    <numFmt numFmtId="182" formatCode="[=1]&quot;Yes&quot;_);[=0]&quot;No&quot;_)"/>
    <numFmt numFmtId="183" formatCode="@\⁽\¹\⁾"/>
    <numFmt numFmtId="184" formatCode="@\⁽\²\⁾"/>
    <numFmt numFmtId="185" formatCode="0.0\x"/>
    <numFmt numFmtId="186" formatCode="&quot;$&quot;#,##0.00"/>
    <numFmt numFmtId="187" formatCode="0\F"/>
    <numFmt numFmtId="188" formatCode="0.00\x"/>
    <numFmt numFmtId="189" formatCode="&quot;Year &quot;0"/>
    <numFmt numFmtId="190" formatCode="yyyy/mm/dd;@"/>
    <numFmt numFmtId="191" formatCode="_-* #,##0.00_-;\(#,##0.00\)_-;_-* &quot;-&quot;_-;_-@_-"/>
    <numFmt numFmtId="192" formatCode="_-* #,##0_-;\-* #,##0_-;_-* &quot;-&quot;??_-;_-@_-"/>
    <numFmt numFmtId="193" formatCode="_(0.00\x_);\(0.00\x\);_(&quot;–&quot;_);_(@_)"/>
    <numFmt numFmtId="194" formatCode="_(0.0\x_);\(0.0\x\);_(&quot;–&quot;_);_(@_)"/>
    <numFmt numFmtId="195" formatCode="[=1]&quot;On&quot;;[=2]&quot;Off&quot;"/>
    <numFmt numFmtId="196" formatCode="&quot;Yes&quot;;&quot;ERROR&quot;;&quot;No&quot;;&quot;ERROR&quot;"/>
    <numFmt numFmtId="197" formatCode="yy/mm/dd"/>
    <numFmt numFmtId="198" formatCode="&quot;Year&quot;\ 0"/>
    <numFmt numFmtId="199" formatCode="0&quot;-Year Horizon&quot;"/>
    <numFmt numFmtId="200" formatCode="[=0]&quot;No&quot;_);[=1]&quot;Yes&quot;_)"/>
    <numFmt numFmtId="201" formatCode="_-* #,##0.0000_-;\(#,##0.0000\)_-;_-* &quot;-&quot;_-;_-@_-"/>
    <numFmt numFmtId="202" formatCode="@\⁽\³\⁾"/>
    <numFmt numFmtId="203" formatCode="@\⁽\⁴\⁾"/>
    <numFmt numFmtId="204" formatCode="&quot;Year&quot;\ 0_)"/>
    <numFmt numFmtId="205" formatCode="@\⁽\⁵\⁾"/>
    <numFmt numFmtId="206" formatCode="_(#,##0.00%_);\(#,##0.00%\);_(&quot;–&quot;_)_%;_(@_)_%"/>
    <numFmt numFmtId="207" formatCode="@\⁽\⁶\⁾"/>
    <numFmt numFmtId="208" formatCode="&quot;B&quot;\+0&quot;bps&quot;_);&quot;B&quot;\-0&quot;bps&quot;_);&quot;B&quot;\+0&quot;bps&quot;_)"/>
    <numFmt numFmtId="209" formatCode="0.00000"/>
    <numFmt numFmtId="210" formatCode="&quot;Yes&quot;_);&quot;ERROR&quot;_);&quot;No&quot;_);&quot;ERROR&quot;_)"/>
    <numFmt numFmtId="211" formatCode="_([$$]#,##0.0_);\([$$]#,##0.0\);_(&quot;–&quot;_);_(@_)"/>
    <numFmt numFmtId="212" formatCode="[$KES]\ #,##0.0_);\([$KES]\ #,##0.0\)"/>
    <numFmt numFmtId="213" formatCode="_-* #,##0.0_-;\-* #,##0.0_-;_-* &quot;-&quot;??_-;_-@_-"/>
    <numFmt numFmtId="214" formatCode="[$KES]\ #,##0.0&quot;mm&quot;_);\([$KES]\ #,##0.0\)"/>
    <numFmt numFmtId="215" formatCode="0.000&quot; kgs&quot;"/>
    <numFmt numFmtId="216" formatCode="[$KES]\ #,##0.00_);\([$KES]\ #,##0.00\)"/>
    <numFmt numFmtId="217" formatCode="_(* #,##0_);_(* \(#,##0\);_(* &quot;-&quot;??_);_(@_)"/>
    <numFmt numFmtId="218" formatCode="0.00&quot;x&quot;"/>
    <numFmt numFmtId="219" formatCode="0\ &quot;Year&quot;"/>
    <numFmt numFmtId="220" formatCode="0.0&quot;x&quot;"/>
    <numFmt numFmtId="221" formatCode="0&quot;E&quot;"/>
    <numFmt numFmtId="222" formatCode="0000\A"/>
    <numFmt numFmtId="223" formatCode="0000\F"/>
    <numFmt numFmtId="224" formatCode="yyyy\-mm\-dd;@"/>
    <numFmt numFmtId="225" formatCode="[$KES]\ #,##0_);\([$KES]\ #,##0\)"/>
    <numFmt numFmtId="226" formatCode="[$KES]\ #,##0.00"/>
    <numFmt numFmtId="227" formatCode="m/d/yyyy\ \(dddd\)"/>
    <numFmt numFmtId="228" formatCode="d\ mmm\ yyyy"/>
    <numFmt numFmtId="229" formatCode="d"/>
    <numFmt numFmtId="230" formatCode="ddd\ m/dd/yy"/>
    <numFmt numFmtId="231" formatCode="&quot;USD to Kshs Rate is 1USD to Kshs. &quot;\ 0"/>
    <numFmt numFmtId="232" formatCode="_(#,##0,_);\(#,##0,\);_(&quot;–&quot;_);_(@_)"/>
    <numFmt numFmtId="233" formatCode="0.0000%"/>
  </numFmts>
  <fonts count="167">
    <font>
      <sz val="11"/>
      <color theme="1"/>
      <name val="Calibri"/>
      <family val="2"/>
      <scheme val="minor"/>
    </font>
    <font>
      <sz val="10"/>
      <color theme="1"/>
      <name val="Open Sans"/>
      <family val="2"/>
    </font>
    <font>
      <sz val="10"/>
      <color theme="1"/>
      <name val="Open Sans"/>
      <family val="2"/>
    </font>
    <font>
      <sz val="10"/>
      <color theme="1"/>
      <name val="Open Sans"/>
      <family val="2"/>
    </font>
    <font>
      <sz val="11"/>
      <color theme="1"/>
      <name val="Calibri"/>
      <family val="2"/>
      <scheme val="minor"/>
    </font>
    <font>
      <u/>
      <sz val="10"/>
      <color theme="10"/>
      <name val="Arial"/>
      <family val="2"/>
    </font>
    <font>
      <sz val="10"/>
      <name val="Bookman"/>
      <family val="1"/>
    </font>
    <font>
      <b/>
      <sz val="13"/>
      <color indexed="8"/>
      <name val="Verdana"/>
      <family val="2"/>
    </font>
    <font>
      <sz val="10"/>
      <name val="Arial"/>
      <family val="2"/>
    </font>
    <font>
      <sz val="11"/>
      <color theme="1"/>
      <name val="Arial Narrow"/>
      <family val="2"/>
    </font>
    <font>
      <sz val="9"/>
      <name val="Myanmar Text"/>
      <family val="2"/>
    </font>
    <font>
      <sz val="9"/>
      <color theme="1"/>
      <name val="Myanmar Text"/>
      <family val="2"/>
    </font>
    <font>
      <sz val="12"/>
      <color theme="1"/>
      <name val="Myanmar Text"/>
      <family val="2"/>
    </font>
    <font>
      <b/>
      <sz val="9"/>
      <color theme="0"/>
      <name val="Myanmar Text"/>
      <family val="2"/>
    </font>
    <font>
      <i/>
      <sz val="9"/>
      <color theme="1"/>
      <name val="Myanmar Text"/>
      <family val="2"/>
    </font>
    <font>
      <b/>
      <sz val="9"/>
      <name val="Myanmar Text"/>
      <family val="2"/>
    </font>
    <font>
      <sz val="9"/>
      <color rgb="FF0000FF"/>
      <name val="Myanmar Text"/>
      <family val="2"/>
    </font>
    <font>
      <b/>
      <sz val="12"/>
      <color theme="0"/>
      <name val="Myanmar Text"/>
      <family val="2"/>
    </font>
    <font>
      <sz val="12"/>
      <color theme="0"/>
      <name val="Myanmar Text"/>
      <family val="2"/>
    </font>
    <font>
      <b/>
      <sz val="9"/>
      <color theme="1"/>
      <name val="Myanmar Text"/>
      <family val="2"/>
    </font>
    <font>
      <b/>
      <sz val="12"/>
      <color rgb="FF3271D2"/>
      <name val="Myanmar Text"/>
      <family val="2"/>
    </font>
    <font>
      <b/>
      <sz val="12"/>
      <color rgb="FFC00000"/>
      <name val="Myanmar Text"/>
      <family val="2"/>
    </font>
    <font>
      <sz val="11"/>
      <color theme="1"/>
      <name val="Open Sans"/>
      <family val="2"/>
    </font>
    <font>
      <b/>
      <sz val="12"/>
      <color rgb="FFC00000"/>
      <name val="Open Sans"/>
      <family val="2"/>
    </font>
    <font>
      <b/>
      <sz val="10"/>
      <color theme="0"/>
      <name val="Open Sans"/>
      <family val="2"/>
    </font>
    <font>
      <i/>
      <sz val="9"/>
      <name val="Open Sans"/>
      <family val="2"/>
    </font>
    <font>
      <b/>
      <sz val="10"/>
      <name val="Open Sans"/>
      <family val="2"/>
    </font>
    <font>
      <sz val="10"/>
      <name val="Open Sans"/>
      <family val="2"/>
    </font>
    <font>
      <sz val="10"/>
      <color rgb="FF3271D2"/>
      <name val="Open Sans"/>
      <family val="2"/>
    </font>
    <font>
      <i/>
      <sz val="10"/>
      <name val="Open Sans"/>
      <family val="2"/>
    </font>
    <font>
      <i/>
      <sz val="10"/>
      <color rgb="FF000000"/>
      <name val="Open Sans"/>
      <family val="2"/>
    </font>
    <font>
      <i/>
      <sz val="9"/>
      <color rgb="FF0070C0"/>
      <name val="Myanmar Text"/>
      <family val="2"/>
    </font>
    <font>
      <b/>
      <i/>
      <sz val="9"/>
      <color rgb="FF0070C0"/>
      <name val="Myanmar Text"/>
      <family val="2"/>
    </font>
    <font>
      <i/>
      <sz val="9"/>
      <color rgb="FFFF0000"/>
      <name val="Open Sans"/>
      <family val="2"/>
    </font>
    <font>
      <b/>
      <sz val="14"/>
      <color rgb="FF3271D2"/>
      <name val="Open Sans"/>
      <family val="2"/>
    </font>
    <font>
      <b/>
      <sz val="10"/>
      <color rgb="FF000000"/>
      <name val="Open Sans"/>
      <family val="2"/>
    </font>
    <font>
      <b/>
      <sz val="10"/>
      <color theme="1"/>
      <name val="Open Sans"/>
      <family val="2"/>
    </font>
    <font>
      <sz val="10"/>
      <color rgb="FF000000"/>
      <name val="Open Sans"/>
      <family val="2"/>
    </font>
    <font>
      <sz val="14"/>
      <color theme="1"/>
      <name val="Open Sans"/>
      <family val="2"/>
    </font>
    <font>
      <sz val="9"/>
      <name val="Open Sans"/>
      <family val="2"/>
    </font>
    <font>
      <b/>
      <sz val="11"/>
      <color rgb="FF000000"/>
      <name val="Open Sans"/>
      <family val="2"/>
    </font>
    <font>
      <b/>
      <sz val="11"/>
      <color theme="1"/>
      <name val="Open Sans"/>
      <family val="2"/>
    </font>
    <font>
      <vertAlign val="subscript"/>
      <sz val="10"/>
      <color theme="1"/>
      <name val="Open Sans"/>
      <family val="2"/>
    </font>
    <font>
      <sz val="9"/>
      <color rgb="FF000000"/>
      <name val="Open Sans"/>
      <family val="2"/>
    </font>
    <font>
      <b/>
      <vertAlign val="superscript"/>
      <sz val="10"/>
      <name val="Open Sans"/>
      <family val="2"/>
    </font>
    <font>
      <i/>
      <sz val="10"/>
      <color theme="1"/>
      <name val="Open Sans"/>
      <family val="2"/>
    </font>
    <font>
      <i/>
      <vertAlign val="superscript"/>
      <sz val="10"/>
      <color theme="1"/>
      <name val="Open Sans"/>
      <family val="2"/>
    </font>
    <font>
      <i/>
      <sz val="11"/>
      <color theme="1"/>
      <name val="Open Sans"/>
      <family val="2"/>
    </font>
    <font>
      <i/>
      <sz val="8"/>
      <name val="Open Sans"/>
      <family val="2"/>
    </font>
    <font>
      <b/>
      <sz val="9"/>
      <color rgb="FF000000"/>
      <name val="Open Sans"/>
      <family val="2"/>
    </font>
    <font>
      <sz val="8"/>
      <name val="Open Sans"/>
      <family val="2"/>
    </font>
    <font>
      <b/>
      <vertAlign val="superscript"/>
      <sz val="10"/>
      <color theme="1"/>
      <name val="Open Sans"/>
      <family val="2"/>
    </font>
    <font>
      <sz val="11"/>
      <color rgb="FF000000"/>
      <name val="Open Sans"/>
      <family val="2"/>
    </font>
    <font>
      <sz val="10"/>
      <color rgb="FFFFFFFF"/>
      <name val="Open Sans"/>
      <family val="2"/>
    </font>
    <font>
      <sz val="10"/>
      <color rgb="FF00B050"/>
      <name val="Open Sans"/>
      <family val="2"/>
    </font>
    <font>
      <sz val="9"/>
      <color indexed="81"/>
      <name val="Tahoma"/>
      <family val="2"/>
    </font>
    <font>
      <b/>
      <sz val="9"/>
      <color indexed="81"/>
      <name val="Tahoma"/>
      <family val="2"/>
    </font>
    <font>
      <b/>
      <sz val="8"/>
      <color indexed="81"/>
      <name val="Myanmar Text"/>
      <family val="2"/>
    </font>
    <font>
      <sz val="8"/>
      <color indexed="81"/>
      <name val="Myanmar Text"/>
      <family val="2"/>
    </font>
    <font>
      <sz val="11"/>
      <name val="Open Sans"/>
      <family val="2"/>
    </font>
    <font>
      <sz val="10"/>
      <color rgb="FFFF0000"/>
      <name val="Open Sans"/>
      <family val="2"/>
    </font>
    <font>
      <b/>
      <vertAlign val="superscript"/>
      <sz val="10"/>
      <color rgb="FF000000"/>
      <name val="Open Sans"/>
      <family val="2"/>
    </font>
    <font>
      <b/>
      <sz val="10"/>
      <color rgb="FFFA621C"/>
      <name val="Open Sans"/>
      <family val="2"/>
    </font>
    <font>
      <sz val="10"/>
      <color rgb="FFC00000"/>
      <name val="Open Sans"/>
      <family val="2"/>
    </font>
    <font>
      <sz val="10"/>
      <color rgb="FF289A72"/>
      <name val="Open Sans"/>
      <family val="2"/>
    </font>
    <font>
      <i/>
      <sz val="9"/>
      <color rgb="FF000000"/>
      <name val="Open Sans"/>
      <family val="2"/>
    </font>
    <font>
      <i/>
      <sz val="9"/>
      <color theme="1"/>
      <name val="Open Sans"/>
      <family val="2"/>
    </font>
    <font>
      <sz val="11"/>
      <color rgb="FFFA621C"/>
      <name val="Open Sans"/>
      <family val="2"/>
    </font>
    <font>
      <sz val="10"/>
      <color rgb="FFFA621C"/>
      <name val="Open Sans"/>
      <family val="2"/>
    </font>
    <font>
      <sz val="10"/>
      <color theme="6"/>
      <name val="Open Sans"/>
      <family val="2"/>
    </font>
    <font>
      <sz val="9"/>
      <color theme="1"/>
      <name val="Montserrat"/>
    </font>
    <font>
      <b/>
      <sz val="9"/>
      <color theme="1"/>
      <name val="Montserrat"/>
    </font>
    <font>
      <b/>
      <sz val="9"/>
      <color rgb="FFC00000"/>
      <name val="Montserrat"/>
    </font>
    <font>
      <u/>
      <sz val="10"/>
      <color indexed="12"/>
      <name val="Arial"/>
      <family val="2"/>
    </font>
    <font>
      <b/>
      <i/>
      <sz val="9"/>
      <color indexed="81"/>
      <name val="Tahoma"/>
      <family val="2"/>
    </font>
    <font>
      <i/>
      <sz val="9"/>
      <color indexed="81"/>
      <name val="Tahoma"/>
      <family val="2"/>
    </font>
    <font>
      <sz val="8"/>
      <color theme="1"/>
      <name val="Aptos Narrow"/>
      <family val="2"/>
    </font>
    <font>
      <b/>
      <sz val="16"/>
      <color theme="4" tint="-0.249977111117893"/>
      <name val="Aptos Narrow"/>
      <family val="2"/>
    </font>
    <font>
      <b/>
      <sz val="8"/>
      <name val="Aptos Narrow"/>
      <family val="2"/>
    </font>
    <font>
      <sz val="8"/>
      <name val="Aptos Narrow"/>
      <family val="2"/>
    </font>
    <font>
      <u/>
      <sz val="8"/>
      <color indexed="12"/>
      <name val="Aptos Narrow"/>
      <family val="2"/>
    </font>
    <font>
      <sz val="8"/>
      <color indexed="55"/>
      <name val="Aptos Narrow"/>
      <family val="2"/>
    </font>
    <font>
      <sz val="8"/>
      <color rgb="FF000000"/>
      <name val="Aptos Narrow"/>
      <family val="2"/>
    </font>
    <font>
      <sz val="8"/>
      <color rgb="FF0070C0"/>
      <name val="Aptos Narrow"/>
      <family val="2"/>
    </font>
    <font>
      <u/>
      <sz val="11"/>
      <color theme="10"/>
      <name val="Calibri"/>
      <family val="2"/>
      <scheme val="minor"/>
    </font>
    <font>
      <b/>
      <sz val="10"/>
      <color theme="1"/>
      <name val="Aptos Narrow"/>
      <family val="2"/>
    </font>
    <font>
      <sz val="10"/>
      <color theme="1"/>
      <name val="Aptos Narrow"/>
      <family val="2"/>
    </font>
    <font>
      <b/>
      <sz val="10"/>
      <color theme="0"/>
      <name val="Aptos Narrow"/>
      <family val="2"/>
    </font>
    <font>
      <b/>
      <sz val="10"/>
      <color rgb="FFC00000"/>
      <name val="Aptos Narrow"/>
      <family val="2"/>
    </font>
    <font>
      <sz val="10"/>
      <color rgb="FF0070C0"/>
      <name val="Aptos Narrow"/>
      <family val="2"/>
    </font>
    <font>
      <sz val="10"/>
      <color theme="4"/>
      <name val="Aptos Narrow"/>
      <family val="2"/>
    </font>
    <font>
      <sz val="10"/>
      <name val="Aptos Narrow"/>
      <family val="2"/>
    </font>
    <font>
      <b/>
      <sz val="10"/>
      <name val="Aptos Narrow"/>
      <family val="2"/>
    </font>
    <font>
      <sz val="10"/>
      <color theme="6" tint="-0.499984740745262"/>
      <name val="Aptos Narrow"/>
      <family val="2"/>
    </font>
    <font>
      <sz val="10"/>
      <color rgb="FF00B050"/>
      <name val="Aptos Narrow"/>
      <family val="2"/>
    </font>
    <font>
      <sz val="10"/>
      <color theme="0" tint="-0.499984740745262"/>
      <name val="Aptos Narrow"/>
      <family val="2"/>
    </font>
    <font>
      <sz val="9"/>
      <name val="Aptos Narrow"/>
      <family val="2"/>
    </font>
    <font>
      <b/>
      <sz val="9"/>
      <color theme="0"/>
      <name val="Aptos Narrow"/>
      <family val="2"/>
    </font>
    <font>
      <sz val="9"/>
      <color rgb="FFFF0000"/>
      <name val="Aptos Narrow"/>
      <family val="2"/>
    </font>
    <font>
      <sz val="9"/>
      <color theme="1"/>
      <name val="Aptos Narrow"/>
      <family val="2"/>
    </font>
    <font>
      <i/>
      <sz val="9"/>
      <color theme="1"/>
      <name val="Aptos Narrow"/>
      <family val="2"/>
    </font>
    <font>
      <b/>
      <sz val="9"/>
      <color rgb="FFC00000"/>
      <name val="Aptos Narrow"/>
      <family val="2"/>
    </font>
    <font>
      <b/>
      <sz val="9"/>
      <color rgb="FF3271D2"/>
      <name val="Aptos Narrow"/>
      <family val="2"/>
    </font>
    <font>
      <sz val="9"/>
      <color theme="0"/>
      <name val="Aptos Narrow"/>
      <family val="2"/>
    </font>
    <font>
      <b/>
      <sz val="9"/>
      <color rgb="FF0000FF"/>
      <name val="Aptos Narrow"/>
      <family val="2"/>
    </font>
    <font>
      <i/>
      <sz val="9"/>
      <name val="Aptos Narrow"/>
      <family val="2"/>
    </font>
    <font>
      <b/>
      <sz val="9"/>
      <name val="Aptos Narrow"/>
      <family val="2"/>
    </font>
    <font>
      <sz val="9"/>
      <color rgb="FF000000"/>
      <name val="Aptos Narrow"/>
      <family val="2"/>
    </font>
    <font>
      <sz val="9"/>
      <color rgb="FF3271D2"/>
      <name val="Aptos Narrow"/>
      <family val="2"/>
    </font>
    <font>
      <b/>
      <sz val="9"/>
      <color rgb="FF000000"/>
      <name val="Aptos Narrow"/>
      <family val="2"/>
    </font>
    <font>
      <b/>
      <sz val="9"/>
      <color rgb="FF002060"/>
      <name val="Aptos Narrow"/>
      <family val="2"/>
    </font>
    <font>
      <i/>
      <sz val="9"/>
      <color rgb="FFFF0000"/>
      <name val="Aptos Narrow"/>
      <family val="2"/>
    </font>
    <font>
      <sz val="9"/>
      <color theme="2"/>
      <name val="Aptos Narrow"/>
      <family val="2"/>
    </font>
    <font>
      <sz val="9"/>
      <color rgb="FF0000FF"/>
      <name val="Aptos Narrow"/>
      <family val="2"/>
    </font>
    <font>
      <b/>
      <sz val="9"/>
      <color theme="7" tint="-0.249977111117893"/>
      <name val="Aptos Narrow"/>
      <family val="2"/>
    </font>
    <font>
      <i/>
      <sz val="9"/>
      <color rgb="FF000000"/>
      <name val="Aptos Narrow"/>
      <family val="2"/>
    </font>
    <font>
      <sz val="9"/>
      <color theme="9" tint="-0.249977111117893"/>
      <name val="Aptos Narrow"/>
      <family val="2"/>
    </font>
    <font>
      <b/>
      <vertAlign val="superscript"/>
      <sz val="9"/>
      <name val="Aptos Narrow"/>
      <family val="2"/>
    </font>
    <font>
      <i/>
      <sz val="9"/>
      <color rgb="FF3271D2"/>
      <name val="Aptos Narrow"/>
      <family val="2"/>
    </font>
    <font>
      <b/>
      <vertAlign val="superscript"/>
      <sz val="9"/>
      <color rgb="FF000000"/>
      <name val="Aptos Narrow"/>
      <family val="2"/>
    </font>
    <font>
      <vertAlign val="superscript"/>
      <sz val="9"/>
      <name val="Aptos Narrow"/>
      <family val="2"/>
    </font>
    <font>
      <b/>
      <sz val="9"/>
      <color rgb="FFFF0000"/>
      <name val="Aptos Narrow"/>
      <family val="2"/>
    </font>
    <font>
      <b/>
      <sz val="9"/>
      <color rgb="FFFFFFFF"/>
      <name val="Aptos Narrow"/>
      <family val="2"/>
    </font>
    <font>
      <sz val="9"/>
      <color rgb="FFC32838"/>
      <name val="Aptos Narrow"/>
      <family val="2"/>
    </font>
    <font>
      <b/>
      <sz val="9"/>
      <color theme="1"/>
      <name val="Aptos Narrow"/>
      <family val="2"/>
    </font>
    <font>
      <b/>
      <i/>
      <sz val="9"/>
      <name val="Aptos Narrow"/>
      <family val="2"/>
    </font>
    <font>
      <vertAlign val="superscript"/>
      <sz val="9"/>
      <color rgb="FF000000"/>
      <name val="Aptos Narrow"/>
      <family val="2"/>
    </font>
    <font>
      <b/>
      <i/>
      <sz val="9"/>
      <color theme="1"/>
      <name val="Aptos Narrow"/>
      <family val="2"/>
    </font>
    <font>
      <b/>
      <i/>
      <sz val="9"/>
      <color rgb="FF0000FF"/>
      <name val="Aptos Narrow"/>
      <family val="2"/>
    </font>
    <font>
      <sz val="9"/>
      <color rgb="FFC00000"/>
      <name val="Aptos Narrow"/>
      <family val="2"/>
    </font>
    <font>
      <sz val="9"/>
      <color rgb="FF00B050"/>
      <name val="Aptos Narrow"/>
      <family val="2"/>
    </font>
    <font>
      <sz val="12"/>
      <color theme="1"/>
      <name val="Aptos Narrow"/>
      <family val="2"/>
    </font>
    <font>
      <b/>
      <sz val="12"/>
      <color rgb="FFC00000"/>
      <name val="Aptos Narrow"/>
      <family val="2"/>
    </font>
    <font>
      <sz val="9"/>
      <color rgb="FF0070C0"/>
      <name val="Aptos Narrow"/>
      <family val="2"/>
    </font>
    <font>
      <b/>
      <sz val="10"/>
      <color indexed="8"/>
      <name val="Aptos Narrow"/>
      <family val="2"/>
    </font>
    <font>
      <i/>
      <sz val="10"/>
      <color theme="1"/>
      <name val="Aptos Narrow"/>
      <family val="2"/>
    </font>
    <font>
      <sz val="10"/>
      <color rgb="FFC00000"/>
      <name val="Aptos Narrow"/>
      <family val="2"/>
    </font>
    <font>
      <sz val="10"/>
      <color rgb="FF000000"/>
      <name val="Aptos Narrow"/>
      <family val="2"/>
    </font>
    <font>
      <sz val="10"/>
      <color theme="2"/>
      <name val="Aptos Narrow"/>
      <family val="2"/>
    </font>
    <font>
      <b/>
      <sz val="10"/>
      <color rgb="FF000000"/>
      <name val="Aptos Narrow"/>
      <family val="2"/>
    </font>
    <font>
      <i/>
      <sz val="10"/>
      <name val="Aptos Narrow"/>
      <family val="2"/>
    </font>
    <font>
      <b/>
      <sz val="10"/>
      <color theme="2"/>
      <name val="Aptos Narrow"/>
      <family val="2"/>
    </font>
    <font>
      <b/>
      <vertAlign val="superscript"/>
      <sz val="10"/>
      <name val="Aptos Narrow"/>
      <family val="2"/>
    </font>
    <font>
      <b/>
      <sz val="10"/>
      <color rgb="FFFFFFFF"/>
      <name val="Aptos Narrow"/>
      <family val="2"/>
    </font>
    <font>
      <sz val="10"/>
      <color theme="0"/>
      <name val="Aptos Narrow"/>
      <family val="2"/>
    </font>
    <font>
      <sz val="10"/>
      <color rgb="FF289A72"/>
      <name val="Aptos Narrow"/>
      <family val="2"/>
    </font>
    <font>
      <i/>
      <sz val="10"/>
      <color rgb="FFFF0000"/>
      <name val="Aptos Narrow"/>
      <family val="2"/>
    </font>
    <font>
      <sz val="10"/>
      <color rgb="FF0000FF"/>
      <name val="Aptos Narrow"/>
      <family val="2"/>
    </font>
    <font>
      <sz val="10"/>
      <color rgb="FF57595D"/>
      <name val="Aptos Narrow"/>
      <family val="2"/>
    </font>
    <font>
      <sz val="10"/>
      <color theme="4" tint="-0.249977111117893"/>
      <name val="Aptos Narrow"/>
      <family val="2"/>
    </font>
    <font>
      <b/>
      <i/>
      <sz val="10"/>
      <color rgb="FFC00000"/>
      <name val="Aptos Narrow"/>
      <family val="2"/>
    </font>
    <font>
      <i/>
      <sz val="10"/>
      <color theme="4" tint="-0.249977111117893"/>
      <name val="Aptos Narrow"/>
      <family val="2"/>
    </font>
    <font>
      <i/>
      <sz val="10"/>
      <color rgb="FF0070C0"/>
      <name val="Aptos Narrow"/>
      <family val="2"/>
    </font>
    <font>
      <sz val="10"/>
      <color rgb="FFFF0000"/>
      <name val="Aptos Narrow"/>
      <family val="2"/>
    </font>
    <font>
      <b/>
      <sz val="12"/>
      <color rgb="FF4472C4"/>
      <name val="Aptos Narrow"/>
      <family val="2"/>
    </font>
    <font>
      <b/>
      <sz val="12"/>
      <color theme="1"/>
      <name val="Aptos Narrow"/>
      <family val="2"/>
    </font>
    <font>
      <b/>
      <sz val="12"/>
      <color rgb="FF132E57"/>
      <name val="Aptos Narrow"/>
      <family val="2"/>
    </font>
    <font>
      <sz val="12"/>
      <color rgb="FFC00000"/>
      <name val="Aptos Narrow"/>
      <family val="2"/>
    </font>
    <font>
      <u/>
      <sz val="10"/>
      <color rgb="FF4472C4"/>
      <name val="Aptos Narrow"/>
      <family val="2"/>
    </font>
    <font>
      <sz val="10"/>
      <color rgb="FFFA621C"/>
      <name val="Aptos Narrow"/>
      <family val="2"/>
    </font>
    <font>
      <sz val="10"/>
      <color rgb="FFC32838"/>
      <name val="Aptos Narrow"/>
      <family val="2"/>
    </font>
    <font>
      <sz val="10"/>
      <color rgb="FF002060"/>
      <name val="Aptos Narrow"/>
      <family val="2"/>
    </font>
    <font>
      <b/>
      <sz val="10"/>
      <color rgb="FF132E57"/>
      <name val="Aptos Narrow"/>
      <family val="2"/>
    </font>
    <font>
      <sz val="10"/>
      <color rgb="FF3271D2"/>
      <name val="Aptos Narrow"/>
      <family val="2"/>
    </font>
    <font>
      <b/>
      <sz val="10"/>
      <color rgb="FFFA621C"/>
      <name val="Aptos Narrow"/>
      <family val="2"/>
    </font>
    <font>
      <u/>
      <sz val="10"/>
      <color rgb="FFFA621C"/>
      <name val="Aptos Narrow"/>
      <family val="2"/>
    </font>
    <font>
      <b/>
      <sz val="10"/>
      <color theme="6" tint="-0.499984740745262"/>
      <name val="Aptos Narrow"/>
      <family val="2"/>
    </font>
  </fonts>
  <fills count="21">
    <fill>
      <patternFill patternType="none"/>
    </fill>
    <fill>
      <patternFill patternType="gray125"/>
    </fill>
    <fill>
      <patternFill patternType="solid">
        <fgColor rgb="FFD9E5F7"/>
        <bgColor rgb="FF000000"/>
      </patternFill>
    </fill>
    <fill>
      <patternFill patternType="solid">
        <fgColor rgb="FFDAE3F3"/>
        <bgColor indexed="64"/>
      </patternFill>
    </fill>
    <fill>
      <patternFill patternType="solid">
        <fgColor rgb="FFF2F2F2"/>
        <bgColor rgb="FF000000"/>
      </patternFill>
    </fill>
    <fill>
      <patternFill patternType="solid">
        <fgColor theme="9" tint="0.79998168889431442"/>
        <bgColor rgb="FF000000"/>
      </patternFill>
    </fill>
    <fill>
      <patternFill patternType="solid">
        <fgColor theme="5" tint="0.79998168889431442"/>
        <bgColor indexed="64"/>
      </patternFill>
    </fill>
    <fill>
      <patternFill patternType="solid">
        <fgColor theme="9" tint="0.59999389629810485"/>
        <bgColor rgb="FF000000"/>
      </patternFill>
    </fill>
    <fill>
      <patternFill patternType="solid">
        <fgColor theme="9" tint="0.59999389629810485"/>
        <bgColor indexed="64"/>
      </patternFill>
    </fill>
    <fill>
      <patternFill patternType="solid">
        <fgColor theme="9" tint="-0.499984740745262"/>
        <bgColor indexed="64"/>
      </patternFill>
    </fill>
    <fill>
      <patternFill patternType="solid">
        <fgColor theme="6" tint="-0.499984740745262"/>
        <bgColor indexed="64"/>
      </patternFill>
    </fill>
    <fill>
      <patternFill patternType="solid">
        <fgColor theme="5" tint="0.79998168889431442"/>
        <bgColor rgb="FF000000"/>
      </patternFill>
    </fill>
    <fill>
      <patternFill patternType="solid">
        <fgColor indexed="9"/>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rgb="FF92D05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4" tint="-0.499984740745262"/>
        <bgColor indexed="64"/>
      </patternFill>
    </fill>
  </fills>
  <borders count="137">
    <border>
      <left/>
      <right/>
      <top/>
      <bottom/>
      <diagonal/>
    </border>
    <border>
      <left/>
      <right/>
      <top/>
      <bottom style="thin">
        <color auto="1"/>
      </bottom>
      <diagonal/>
    </border>
    <border>
      <left/>
      <right/>
      <top/>
      <bottom style="hair">
        <color rgb="FF000000"/>
      </bottom>
      <diagonal/>
    </border>
    <border>
      <left/>
      <right/>
      <top style="thin">
        <color indexed="64"/>
      </top>
      <bottom style="medium">
        <color indexed="64"/>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diagonal/>
    </border>
    <border>
      <left/>
      <right style="hair">
        <color rgb="FF000000"/>
      </right>
      <top/>
      <bottom/>
      <diagonal/>
    </border>
    <border>
      <left style="hair">
        <color rgb="FF000000"/>
      </left>
      <right/>
      <top/>
      <bottom style="hair">
        <color rgb="FF000000"/>
      </bottom>
      <diagonal/>
    </border>
    <border>
      <left/>
      <right style="hair">
        <color rgb="FF000000"/>
      </right>
      <top/>
      <bottom style="hair">
        <color rgb="FF000000"/>
      </bottom>
      <diagonal/>
    </border>
    <border>
      <left/>
      <right/>
      <top style="thin">
        <color rgb="FF000000"/>
      </top>
      <bottom style="medium">
        <color rgb="FF000000"/>
      </bottom>
      <diagonal/>
    </border>
    <border>
      <left/>
      <right/>
      <top style="medium">
        <color rgb="FF3271D2"/>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
      <left style="hair">
        <color rgb="FF000000"/>
      </left>
      <right style="hair">
        <color rgb="FF000000"/>
      </right>
      <top/>
      <bottom style="hair">
        <color rgb="FF000000"/>
      </bottom>
      <diagonal/>
    </border>
    <border>
      <left/>
      <right/>
      <top/>
      <bottom style="hair">
        <color auto="1"/>
      </bottom>
      <diagonal/>
    </border>
    <border>
      <left/>
      <right/>
      <top style="hair">
        <color auto="1"/>
      </top>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hair">
        <color rgb="FF000000"/>
      </left>
      <right/>
      <top style="hair">
        <color rgb="FF000000"/>
      </top>
      <bottom style="hair">
        <color indexed="64"/>
      </bottom>
      <diagonal/>
    </border>
    <border>
      <left/>
      <right/>
      <top style="hair">
        <color rgb="FF000000"/>
      </top>
      <bottom style="hair">
        <color indexed="64"/>
      </bottom>
      <diagonal/>
    </border>
    <border>
      <left/>
      <right style="hair">
        <color rgb="FF000000"/>
      </right>
      <top style="hair">
        <color rgb="FF000000"/>
      </top>
      <bottom style="hair">
        <color indexed="64"/>
      </bottom>
      <diagonal/>
    </border>
    <border>
      <left style="hair">
        <color indexed="64"/>
      </left>
      <right style="hair">
        <color indexed="64"/>
      </right>
      <top style="hair">
        <color indexed="64"/>
      </top>
      <bottom style="hair">
        <color indexed="64"/>
      </bottom>
      <diagonal/>
    </border>
    <border>
      <left/>
      <right/>
      <top/>
      <bottom style="thin">
        <color rgb="FFC00000"/>
      </bottom>
      <diagonal/>
    </border>
    <border>
      <left/>
      <right/>
      <top/>
      <bottom style="medium">
        <color rgb="FFC00000"/>
      </bottom>
      <diagonal/>
    </border>
    <border>
      <left/>
      <right/>
      <top/>
      <bottom style="thick">
        <color theme="9" tint="-0.499984740745262"/>
      </bottom>
      <diagonal/>
    </border>
    <border>
      <left/>
      <right style="thick">
        <color theme="9" tint="-0.499984740745262"/>
      </right>
      <top style="thick">
        <color theme="9" tint="-0.499984740745262"/>
      </top>
      <bottom/>
      <diagonal/>
    </border>
    <border>
      <left/>
      <right style="thick">
        <color theme="9" tint="-0.499984740745262"/>
      </right>
      <top/>
      <bottom/>
      <diagonal/>
    </border>
    <border>
      <left/>
      <right style="thick">
        <color theme="9" tint="-0.499984740745262"/>
      </right>
      <top/>
      <bottom style="thick">
        <color theme="9" tint="-0.499984740745262"/>
      </bottom>
      <diagonal/>
    </border>
    <border>
      <left style="thin">
        <color theme="6" tint="-0.499984740745262"/>
      </left>
      <right style="thin">
        <color theme="6" tint="-0.499984740745262"/>
      </right>
      <top style="thin">
        <color theme="6" tint="-0.499984740745262"/>
      </top>
      <bottom style="thin">
        <color theme="6" tint="-0.499984740745262"/>
      </bottom>
      <diagonal/>
    </border>
    <border>
      <left style="thin">
        <color theme="6" tint="-0.499984740745262"/>
      </left>
      <right/>
      <top style="thin">
        <color theme="6" tint="-0.499984740745262"/>
      </top>
      <bottom style="thin">
        <color theme="6" tint="-0.499984740745262"/>
      </bottom>
      <diagonal/>
    </border>
    <border>
      <left/>
      <right/>
      <top style="thin">
        <color theme="6" tint="-0.499984740745262"/>
      </top>
      <bottom style="thin">
        <color theme="6" tint="-0.499984740745262"/>
      </bottom>
      <diagonal/>
    </border>
    <border>
      <left/>
      <right style="thin">
        <color theme="6" tint="-0.499984740745262"/>
      </right>
      <top style="thin">
        <color theme="6" tint="-0.499984740745262"/>
      </top>
      <bottom style="thin">
        <color theme="6" tint="-0.499984740745262"/>
      </bottom>
      <diagonal/>
    </border>
    <border>
      <left style="thin">
        <color theme="6" tint="-0.499984740745262"/>
      </left>
      <right style="thin">
        <color theme="6" tint="-0.499984740745262"/>
      </right>
      <top style="thin">
        <color theme="6" tint="-0.499984740745262"/>
      </top>
      <bottom/>
      <diagonal/>
    </border>
    <border>
      <left style="thin">
        <color theme="6" tint="-0.499984740745262"/>
      </left>
      <right style="thin">
        <color theme="6" tint="-0.499984740745262"/>
      </right>
      <top/>
      <bottom style="thin">
        <color theme="6" tint="-0.499984740745262"/>
      </bottom>
      <diagonal/>
    </border>
    <border>
      <left/>
      <right/>
      <top/>
      <bottom style="hair">
        <color theme="6" tint="-0.499984740745262"/>
      </bottom>
      <diagonal/>
    </border>
    <border>
      <left/>
      <right style="hair">
        <color indexed="64"/>
      </right>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style="hair">
        <color indexed="64"/>
      </bottom>
      <diagonal/>
    </border>
    <border>
      <left/>
      <right style="hair">
        <color indexed="64"/>
      </right>
      <top style="hair">
        <color rgb="FF000000"/>
      </top>
      <bottom/>
      <diagonal/>
    </border>
    <border>
      <left/>
      <right style="hair">
        <color indexed="64"/>
      </right>
      <top/>
      <bottom style="hair">
        <color rgb="FF000000"/>
      </bottom>
      <diagonal/>
    </border>
    <border>
      <left/>
      <right/>
      <top style="thin">
        <color auto="1"/>
      </top>
      <bottom/>
      <diagonal/>
    </border>
    <border diagonalUp="1" diagonalDown="1">
      <left style="thin">
        <color rgb="FF000000"/>
      </left>
      <right/>
      <top style="thin">
        <color rgb="FF000000"/>
      </top>
      <bottom/>
      <diagonal style="thin">
        <color auto="1"/>
      </diagonal>
    </border>
    <border diagonalUp="1" diagonalDown="1">
      <left/>
      <right/>
      <top style="thin">
        <color rgb="FF000000"/>
      </top>
      <bottom/>
      <diagonal style="thin">
        <color auto="1"/>
      </diagonal>
    </border>
    <border diagonalUp="1" diagonalDown="1">
      <left/>
      <right style="thin">
        <color rgb="FF000000"/>
      </right>
      <top style="thin">
        <color rgb="FF000000"/>
      </top>
      <bottom/>
      <diagonal style="thin">
        <color auto="1"/>
      </diagonal>
    </border>
    <border diagonalUp="1" diagonalDown="1">
      <left style="thin">
        <color rgb="FF000000"/>
      </left>
      <right/>
      <top/>
      <bottom style="thin">
        <color rgb="FF000000"/>
      </bottom>
      <diagonal style="thin">
        <color auto="1"/>
      </diagonal>
    </border>
    <border diagonalUp="1" diagonalDown="1">
      <left/>
      <right/>
      <top/>
      <bottom style="thin">
        <color rgb="FF000000"/>
      </bottom>
      <diagonal style="thin">
        <color auto="1"/>
      </diagonal>
    </border>
    <border diagonalUp="1" diagonalDown="1">
      <left/>
      <right style="thin">
        <color rgb="FF000000"/>
      </right>
      <top/>
      <bottom style="thin">
        <color rgb="FF000000"/>
      </bottom>
      <diagonal style="thin">
        <color auto="1"/>
      </diagonal>
    </border>
    <border>
      <left/>
      <right/>
      <top/>
      <bottom style="thin">
        <color rgb="FFAC0000"/>
      </bottom>
      <diagonal/>
    </border>
    <border>
      <left/>
      <right/>
      <top style="thin">
        <color rgb="FFAC0000"/>
      </top>
      <bottom style="thin">
        <color rgb="FFAC0000"/>
      </bottom>
      <diagonal/>
    </border>
    <border>
      <left/>
      <right style="thin">
        <color rgb="FFAC0000"/>
      </right>
      <top style="thin">
        <color rgb="FFAC0000"/>
      </top>
      <bottom style="thin">
        <color rgb="FFAC0000"/>
      </bottom>
      <diagonal/>
    </border>
    <border>
      <left/>
      <right style="thin">
        <color rgb="FFAC0000"/>
      </right>
      <top/>
      <bottom/>
      <diagonal/>
    </border>
    <border>
      <left style="thin">
        <color rgb="FFAC0000"/>
      </left>
      <right style="thin">
        <color rgb="FFAC0000"/>
      </right>
      <top/>
      <bottom style="medium">
        <color rgb="FFAC0000"/>
      </bottom>
      <diagonal/>
    </border>
    <border>
      <left/>
      <right/>
      <top/>
      <bottom style="medium">
        <color rgb="FFAC0000"/>
      </bottom>
      <diagonal/>
    </border>
    <border>
      <left/>
      <right style="thin">
        <color rgb="FFAC0000"/>
      </right>
      <top/>
      <bottom style="medium">
        <color rgb="FFAC0000"/>
      </bottom>
      <diagonal/>
    </border>
    <border>
      <left/>
      <right style="thin">
        <color rgb="FFC00000"/>
      </right>
      <top/>
      <bottom/>
      <diagonal/>
    </border>
    <border>
      <left style="thin">
        <color rgb="FFC00000"/>
      </left>
      <right style="thin">
        <color rgb="FFAC0000"/>
      </right>
      <top style="thin">
        <color rgb="FFC00000"/>
      </top>
      <bottom/>
      <diagonal/>
    </border>
    <border>
      <left style="thin">
        <color rgb="FFC00000"/>
      </left>
      <right style="thin">
        <color rgb="FFAC0000"/>
      </right>
      <top style="thin">
        <color rgb="FFAC0000"/>
      </top>
      <bottom style="thin">
        <color rgb="FFC00000"/>
      </bottom>
      <diagonal/>
    </border>
    <border>
      <left/>
      <right/>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style="thin">
        <color theme="0" tint="-0.24994659260841701"/>
      </top>
      <bottom style="thin">
        <color theme="0" tint="-0.24994659260841701"/>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style="medium">
        <color theme="4" tint="0.39994506668294322"/>
      </left>
      <right style="medium">
        <color theme="4" tint="0.39994506668294322"/>
      </right>
      <top style="medium">
        <color theme="0" tint="-0.34998626667073579"/>
      </top>
      <bottom style="thin">
        <color indexed="22"/>
      </bottom>
      <diagonal/>
    </border>
    <border>
      <left style="medium">
        <color theme="4" tint="0.39994506668294322"/>
      </left>
      <right/>
      <top style="medium">
        <color theme="0" tint="-0.34998626667073579"/>
      </top>
      <bottom style="thin">
        <color indexed="22"/>
      </bottom>
      <diagonal/>
    </border>
    <border>
      <left/>
      <right/>
      <top/>
      <bottom style="thin">
        <color indexed="22"/>
      </bottom>
      <diagonal/>
    </border>
    <border>
      <left/>
      <right/>
      <top style="thin">
        <color indexed="22"/>
      </top>
      <bottom style="thin">
        <color indexed="22"/>
      </bottom>
      <diagonal/>
    </border>
    <border>
      <left style="thin">
        <color theme="8" tint="0.39994506668294322"/>
      </left>
      <right style="thin">
        <color theme="8" tint="0.39994506668294322"/>
      </right>
      <top style="thin">
        <color indexed="22"/>
      </top>
      <bottom style="thin">
        <color theme="8" tint="0.39994506668294322"/>
      </bottom>
      <diagonal/>
    </border>
    <border>
      <left style="thin">
        <color theme="8" tint="0.39994506668294322"/>
      </left>
      <right/>
      <top style="thin">
        <color indexed="22"/>
      </top>
      <bottom style="thin">
        <color theme="8" tint="0.39994506668294322"/>
      </bottom>
      <diagonal/>
    </border>
    <border>
      <left/>
      <right/>
      <top style="thin">
        <color rgb="FFEFEFEF"/>
      </top>
      <bottom style="thin">
        <color rgb="FFEFEFEF"/>
      </bottom>
      <diagonal/>
    </border>
    <border>
      <left style="thin">
        <color theme="8" tint="0.39994506668294322"/>
      </left>
      <right style="thin">
        <color theme="8" tint="0.39994506668294322"/>
      </right>
      <top style="thin">
        <color theme="8" tint="0.39994506668294322"/>
      </top>
      <bottom style="thin">
        <color theme="8" tint="0.39994506668294322"/>
      </bottom>
      <diagonal/>
    </border>
    <border>
      <left style="thin">
        <color theme="8" tint="0.39994506668294322"/>
      </left>
      <right/>
      <top style="thin">
        <color theme="8" tint="0.39994506668294322"/>
      </top>
      <bottom style="thin">
        <color theme="8" tint="0.39994506668294322"/>
      </bottom>
      <diagonal/>
    </border>
    <border>
      <left style="thin">
        <color theme="8" tint="0.39994506668294322"/>
      </left>
      <right style="thin">
        <color theme="8" tint="0.39994506668294322"/>
      </right>
      <top style="thin">
        <color theme="8" tint="0.39994506668294322"/>
      </top>
      <bottom style="thin">
        <color indexed="22"/>
      </bottom>
      <diagonal/>
    </border>
    <border>
      <left style="thin">
        <color theme="8" tint="0.39994506668294322"/>
      </left>
      <right style="thin">
        <color theme="8" tint="0.39994506668294322"/>
      </right>
      <top style="thin">
        <color theme="8" tint="0.39994506668294322"/>
      </top>
      <bottom style="thin">
        <color rgb="FFEFEFEF"/>
      </bottom>
      <diagonal/>
    </border>
    <border>
      <left style="thin">
        <color theme="8" tint="0.39994506668294322"/>
      </left>
      <right/>
      <top style="thin">
        <color theme="8" tint="0.39994506668294322"/>
      </top>
      <bottom style="thin">
        <color rgb="FFEFEFEF"/>
      </bottom>
      <diagonal/>
    </border>
    <border>
      <left style="thin">
        <color theme="4" tint="0.59996337778862885"/>
      </left>
      <right style="thin">
        <color theme="4" tint="0.59996337778862885"/>
      </right>
      <top style="thin">
        <color indexed="22"/>
      </top>
      <bottom style="thin">
        <color theme="4" tint="0.59996337778862885"/>
      </bottom>
      <diagonal/>
    </border>
    <border>
      <left style="thin">
        <color theme="4" tint="0.59996337778862885"/>
      </left>
      <right/>
      <top style="thin">
        <color indexed="22"/>
      </top>
      <bottom style="thin">
        <color theme="4" tint="0.59996337778862885"/>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4" tint="0.59996337778862885"/>
      </left>
      <right/>
      <top style="thin">
        <color theme="4" tint="0.59996337778862885"/>
      </top>
      <bottom style="thin">
        <color theme="4" tint="0.59996337778862885"/>
      </bottom>
      <diagonal/>
    </border>
    <border>
      <left style="thin">
        <color theme="4" tint="0.59996337778862885"/>
      </left>
      <right style="thin">
        <color theme="4" tint="0.59996337778862885"/>
      </right>
      <top style="thin">
        <color theme="4" tint="0.59996337778862885"/>
      </top>
      <bottom style="thin">
        <color indexed="22"/>
      </bottom>
      <diagonal/>
    </border>
    <border>
      <left style="thin">
        <color theme="4" tint="0.59996337778862885"/>
      </left>
      <right/>
      <top style="thin">
        <color theme="4" tint="0.59996337778862885"/>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n">
        <color theme="0" tint="-0.24994659260841701"/>
      </left>
      <right style="thick">
        <color indexed="64"/>
      </right>
      <top/>
      <bottom/>
      <diagonal/>
    </border>
    <border>
      <left style="thick">
        <color indexed="64"/>
      </left>
      <right/>
      <top/>
      <bottom style="medium">
        <color theme="0" tint="-0.34998626667073579"/>
      </bottom>
      <diagonal/>
    </border>
    <border>
      <left style="thin">
        <color theme="0" tint="-0.24994659260841701"/>
      </left>
      <right style="thick">
        <color indexed="64"/>
      </right>
      <top/>
      <bottom style="medium">
        <color theme="0" tint="-0.34998626667073579"/>
      </bottom>
      <diagonal/>
    </border>
    <border>
      <left style="thick">
        <color indexed="64"/>
      </left>
      <right style="medium">
        <color theme="4" tint="0.39994506668294322"/>
      </right>
      <top style="medium">
        <color theme="0" tint="-0.34998626667073579"/>
      </top>
      <bottom style="thin">
        <color indexed="22"/>
      </bottom>
      <diagonal/>
    </border>
    <border>
      <left/>
      <right style="thick">
        <color indexed="64"/>
      </right>
      <top/>
      <bottom style="thin">
        <color indexed="22"/>
      </bottom>
      <diagonal/>
    </border>
    <border>
      <left style="thick">
        <color indexed="64"/>
      </left>
      <right style="thin">
        <color theme="8" tint="0.39994506668294322"/>
      </right>
      <top style="thin">
        <color indexed="22"/>
      </top>
      <bottom style="thin">
        <color theme="8" tint="0.39994506668294322"/>
      </bottom>
      <diagonal/>
    </border>
    <border>
      <left/>
      <right style="thick">
        <color indexed="64"/>
      </right>
      <top style="thin">
        <color indexed="22"/>
      </top>
      <bottom style="thin">
        <color indexed="22"/>
      </bottom>
      <diagonal/>
    </border>
    <border>
      <left style="thick">
        <color indexed="64"/>
      </left>
      <right style="thin">
        <color theme="8" tint="0.39994506668294322"/>
      </right>
      <top style="thin">
        <color theme="8" tint="0.39994506668294322"/>
      </top>
      <bottom style="thin">
        <color theme="8" tint="0.39994506668294322"/>
      </bottom>
      <diagonal/>
    </border>
    <border>
      <left style="thick">
        <color indexed="64"/>
      </left>
      <right style="thin">
        <color theme="8" tint="0.39994506668294322"/>
      </right>
      <top style="thin">
        <color theme="8" tint="0.39994506668294322"/>
      </top>
      <bottom style="thin">
        <color indexed="22"/>
      </bottom>
      <diagonal/>
    </border>
    <border>
      <left style="thick">
        <color indexed="64"/>
      </left>
      <right/>
      <top style="thin">
        <color indexed="22"/>
      </top>
      <bottom style="thin">
        <color indexed="22"/>
      </bottom>
      <diagonal/>
    </border>
    <border>
      <left style="thick">
        <color indexed="64"/>
      </left>
      <right style="thin">
        <color theme="4" tint="0.59996337778862885"/>
      </right>
      <top style="thin">
        <color indexed="22"/>
      </top>
      <bottom style="thin">
        <color theme="4" tint="0.59996337778862885"/>
      </bottom>
      <diagonal/>
    </border>
    <border>
      <left style="thick">
        <color indexed="64"/>
      </left>
      <right style="thin">
        <color theme="4" tint="0.59996337778862885"/>
      </right>
      <top style="thin">
        <color theme="4" tint="0.59996337778862885"/>
      </top>
      <bottom style="thin">
        <color theme="4" tint="0.59996337778862885"/>
      </bottom>
      <diagonal/>
    </border>
    <border>
      <left style="thick">
        <color indexed="64"/>
      </left>
      <right style="thin">
        <color theme="4" tint="0.59996337778862885"/>
      </right>
      <top style="thin">
        <color theme="4" tint="0.59996337778862885"/>
      </top>
      <bottom style="thin">
        <color indexed="22"/>
      </bottom>
      <diagonal/>
    </border>
    <border>
      <left style="thick">
        <color indexed="64"/>
      </left>
      <right style="thin">
        <color indexed="22"/>
      </right>
      <top style="thin">
        <color indexed="22"/>
      </top>
      <bottom style="thin">
        <color indexed="22"/>
      </bottom>
      <diagonal/>
    </border>
    <border>
      <left/>
      <right/>
      <top style="thin">
        <color indexed="22"/>
      </top>
      <bottom style="thick">
        <color indexed="64"/>
      </bottom>
      <diagonal/>
    </border>
    <border>
      <left/>
      <right style="thick">
        <color indexed="64"/>
      </right>
      <top style="thin">
        <color indexed="22"/>
      </top>
      <bottom style="thick">
        <color indexed="64"/>
      </bottom>
      <diagonal/>
    </border>
    <border>
      <left style="thick">
        <color indexed="64"/>
      </left>
      <right style="thin">
        <color theme="4" tint="0.59996337778862885"/>
      </right>
      <top style="thin">
        <color theme="4" tint="0.59996337778862885"/>
      </top>
      <bottom style="thick">
        <color indexed="64"/>
      </bottom>
      <diagonal/>
    </border>
    <border>
      <left style="thin">
        <color theme="4" tint="0.59996337778862885"/>
      </left>
      <right style="thin">
        <color theme="4" tint="0.59996337778862885"/>
      </right>
      <top style="thin">
        <color theme="4" tint="0.59996337778862885"/>
      </top>
      <bottom style="thick">
        <color indexed="64"/>
      </bottom>
      <diagonal/>
    </border>
    <border>
      <left style="thin">
        <color theme="4" tint="0.59996337778862885"/>
      </left>
      <right/>
      <top style="thin">
        <color theme="4" tint="0.59996337778862885"/>
      </top>
      <bottom style="thick">
        <color indexed="64"/>
      </bottom>
      <diagonal/>
    </border>
    <border>
      <left/>
      <right/>
      <top style="thin">
        <color rgb="FFEFEFEF"/>
      </top>
      <bottom style="thick">
        <color indexed="64"/>
      </bottom>
      <diagonal/>
    </border>
    <border>
      <left/>
      <right/>
      <top style="thin">
        <color indexed="64"/>
      </top>
      <bottom style="thin">
        <color indexed="64"/>
      </bottom>
      <diagonal/>
    </border>
    <border>
      <left/>
      <right/>
      <top style="thin">
        <color indexed="64"/>
      </top>
      <bottom style="double">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style="hair">
        <color indexed="64"/>
      </top>
      <bottom style="thick">
        <color indexed="64"/>
      </bottom>
      <diagonal/>
    </border>
    <border>
      <left style="thick">
        <color indexed="64"/>
      </left>
      <right style="thick">
        <color indexed="64"/>
      </right>
      <top/>
      <bottom style="hair">
        <color indexed="64"/>
      </bottom>
      <diagonal/>
    </border>
  </borders>
  <cellStyleXfs count="26">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xf numFmtId="165" fontId="6" fillId="0" borderId="0" applyFont="0" applyFill="0" applyBorder="0" applyAlignment="0" applyProtection="0"/>
    <xf numFmtId="0" fontId="7" fillId="0" borderId="0" applyAlignment="0"/>
    <xf numFmtId="0" fontId="8" fillId="0" borderId="0"/>
    <xf numFmtId="165" fontId="6" fillId="0" borderId="0" applyFont="0" applyFill="0" applyBorder="0" applyAlignment="0" applyProtection="0"/>
    <xf numFmtId="43" fontId="9" fillId="0" borderId="0" applyFont="0" applyFill="0" applyBorder="0" applyAlignment="0" applyProtection="0"/>
    <xf numFmtId="9" fontId="8" fillId="0" borderId="0" applyFont="0" applyFill="0" applyBorder="0" applyAlignment="0" applyProtection="0"/>
    <xf numFmtId="43" fontId="8" fillId="0" borderId="0" applyFont="0" applyFill="0" applyBorder="0" applyAlignment="0" applyProtection="0"/>
    <xf numFmtId="0" fontId="9" fillId="0" borderId="0"/>
    <xf numFmtId="165" fontId="4" fillId="0" borderId="0" applyFont="0" applyFill="0" applyBorder="0" applyAlignment="0" applyProtection="0"/>
    <xf numFmtId="165" fontId="6" fillId="0" borderId="0" applyFont="0" applyFill="0" applyBorder="0" applyAlignment="0" applyProtection="0"/>
    <xf numFmtId="165" fontId="9" fillId="0" borderId="0" applyFont="0" applyFill="0" applyBorder="0" applyAlignment="0" applyProtection="0"/>
    <xf numFmtId="165" fontId="4" fillId="0" borderId="0" applyFont="0" applyFill="0" applyBorder="0" applyAlignment="0" applyProtection="0"/>
    <xf numFmtId="0" fontId="3" fillId="0" borderId="0"/>
    <xf numFmtId="9" fontId="3" fillId="0" borderId="0" applyFont="0" applyFill="0" applyBorder="0" applyAlignment="0" applyProtection="0"/>
    <xf numFmtId="0" fontId="2" fillId="0" borderId="0"/>
    <xf numFmtId="9" fontId="2" fillId="0" borderId="0" applyFont="0" applyFill="0" applyBorder="0" applyAlignment="0" applyProtection="0"/>
    <xf numFmtId="0" fontId="1" fillId="0" borderId="0"/>
    <xf numFmtId="0" fontId="8" fillId="0" borderId="0"/>
    <xf numFmtId="44" fontId="4" fillId="0" borderId="0" applyFont="0" applyFill="0" applyBorder="0" applyAlignment="0" applyProtection="0"/>
    <xf numFmtId="0" fontId="73" fillId="0" borderId="0" applyNumberFormat="0" applyFill="0" applyBorder="0" applyAlignment="0" applyProtection="0">
      <alignment vertical="top"/>
      <protection locked="0"/>
    </xf>
    <xf numFmtId="0" fontId="84" fillId="0" borderId="0" applyNumberFormat="0" applyFill="0" applyBorder="0" applyAlignment="0" applyProtection="0"/>
  </cellStyleXfs>
  <cellXfs count="1435">
    <xf numFmtId="0" fontId="0" fillId="0" borderId="0" xfId="0"/>
    <xf numFmtId="0" fontId="11" fillId="0" borderId="0" xfId="0" applyFont="1"/>
    <xf numFmtId="0" fontId="19" fillId="0" borderId="0" xfId="0" applyFont="1"/>
    <xf numFmtId="9" fontId="11" fillId="0" borderId="0" xfId="1" applyFont="1"/>
    <xf numFmtId="0" fontId="21" fillId="7" borderId="0" xfId="0" applyFont="1" applyFill="1" applyAlignment="1">
      <alignment vertical="center"/>
    </xf>
    <xf numFmtId="37" fontId="20" fillId="7" borderId="0" xfId="0" applyNumberFormat="1" applyFont="1" applyFill="1" applyAlignment="1">
      <alignment vertical="center"/>
    </xf>
    <xf numFmtId="37" fontId="17" fillId="7" borderId="0" xfId="0" applyNumberFormat="1" applyFont="1" applyFill="1" applyAlignment="1">
      <alignment vertical="center"/>
    </xf>
    <xf numFmtId="37" fontId="18" fillId="7" borderId="0" xfId="0" applyNumberFormat="1" applyFont="1" applyFill="1" applyAlignment="1">
      <alignment vertical="center"/>
    </xf>
    <xf numFmtId="168" fontId="13" fillId="0" borderId="37" xfId="7" applyNumberFormat="1" applyFont="1" applyBorder="1" applyAlignment="1">
      <alignment horizontal="right"/>
    </xf>
    <xf numFmtId="0" fontId="10" fillId="9" borderId="0" xfId="0" applyFont="1" applyFill="1"/>
    <xf numFmtId="0" fontId="13" fillId="9" borderId="0" xfId="2" applyFont="1" applyFill="1" applyAlignment="1">
      <alignment horizontal="center" vertical="center"/>
    </xf>
    <xf numFmtId="0" fontId="14" fillId="0" borderId="0" xfId="0" applyFont="1"/>
    <xf numFmtId="37" fontId="24" fillId="0" borderId="0" xfId="0" applyNumberFormat="1" applyFont="1" applyAlignment="1">
      <alignment vertical="center"/>
    </xf>
    <xf numFmtId="166" fontId="25" fillId="0" borderId="0" xfId="0" applyNumberFormat="1" applyFont="1" applyAlignment="1">
      <alignment vertical="center"/>
    </xf>
    <xf numFmtId="0" fontId="19" fillId="0" borderId="0" xfId="0" quotePrefix="1" applyFont="1"/>
    <xf numFmtId="0" fontId="16" fillId="0" borderId="0" xfId="0" applyFont="1" applyAlignment="1">
      <alignment horizontal="right"/>
    </xf>
    <xf numFmtId="174" fontId="11" fillId="0" borderId="0" xfId="1" applyNumberFormat="1" applyFont="1"/>
    <xf numFmtId="0" fontId="11" fillId="0" borderId="0" xfId="0" quotePrefix="1" applyFont="1"/>
    <xf numFmtId="0" fontId="31" fillId="0" borderId="0" xfId="0" applyFont="1"/>
    <xf numFmtId="218" fontId="11" fillId="0" borderId="0" xfId="1" applyNumberFormat="1" applyFont="1"/>
    <xf numFmtId="0" fontId="32" fillId="0" borderId="0" xfId="0" applyFont="1"/>
    <xf numFmtId="174" fontId="19" fillId="0" borderId="60" xfId="1" applyNumberFormat="1" applyFont="1" applyBorder="1"/>
    <xf numFmtId="174" fontId="19" fillId="0" borderId="0" xfId="1" applyNumberFormat="1" applyFont="1" applyBorder="1"/>
    <xf numFmtId="10" fontId="19" fillId="0" borderId="0" xfId="1" applyNumberFormat="1" applyFont="1" applyBorder="1"/>
    <xf numFmtId="0" fontId="12" fillId="0" borderId="0" xfId="0" applyFont="1" applyAlignment="1">
      <alignment vertical="center"/>
    </xf>
    <xf numFmtId="168" fontId="17" fillId="7" borderId="0" xfId="0" applyNumberFormat="1" applyFont="1" applyFill="1" applyAlignment="1">
      <alignment horizontal="right" vertical="center"/>
    </xf>
    <xf numFmtId="170" fontId="17" fillId="0" borderId="0" xfId="7" applyNumberFormat="1" applyFont="1" applyAlignment="1">
      <alignment horizontal="right" vertical="center"/>
    </xf>
    <xf numFmtId="37" fontId="33" fillId="0" borderId="0" xfId="0" applyNumberFormat="1" applyFont="1" applyAlignment="1">
      <alignment vertical="center"/>
    </xf>
    <xf numFmtId="0" fontId="22" fillId="0" borderId="0" xfId="0" applyFont="1"/>
    <xf numFmtId="0" fontId="22" fillId="0" borderId="0" xfId="0" applyFont="1" applyAlignment="1">
      <alignment horizontal="left" indent="1"/>
    </xf>
    <xf numFmtId="170" fontId="22" fillId="0" borderId="0" xfId="0" applyNumberFormat="1" applyFont="1"/>
    <xf numFmtId="170" fontId="22" fillId="0" borderId="0" xfId="0" applyNumberFormat="1" applyFont="1" applyAlignment="1">
      <alignment vertical="center"/>
    </xf>
    <xf numFmtId="0" fontId="1" fillId="0" borderId="0" xfId="0" applyFont="1"/>
    <xf numFmtId="0" fontId="36" fillId="0" borderId="0" xfId="0" applyFont="1"/>
    <xf numFmtId="170" fontId="1" fillId="0" borderId="0" xfId="0" applyNumberFormat="1" applyFont="1"/>
    <xf numFmtId="170" fontId="1" fillId="0" borderId="0" xfId="0" applyNumberFormat="1" applyFont="1" applyAlignment="1">
      <alignment vertical="center"/>
    </xf>
    <xf numFmtId="0" fontId="1" fillId="0" borderId="0" xfId="0" applyFont="1" applyAlignment="1">
      <alignment horizontal="left" indent="1"/>
    </xf>
    <xf numFmtId="170" fontId="37" fillId="0" borderId="0" xfId="0" applyNumberFormat="1" applyFont="1" applyAlignment="1">
      <alignment vertical="center"/>
    </xf>
    <xf numFmtId="179" fontId="37" fillId="0" borderId="0" xfId="0" applyNumberFormat="1" applyFont="1" applyAlignment="1">
      <alignment vertical="center"/>
    </xf>
    <xf numFmtId="170" fontId="37" fillId="0" borderId="61" xfId="0" applyNumberFormat="1" applyFont="1" applyBorder="1" applyAlignment="1">
      <alignment vertical="center"/>
    </xf>
    <xf numFmtId="170" fontId="37" fillId="0" borderId="62" xfId="0" applyNumberFormat="1" applyFont="1" applyBorder="1" applyAlignment="1">
      <alignment vertical="center"/>
    </xf>
    <xf numFmtId="170" fontId="37" fillId="0" borderId="63" xfId="0" applyNumberFormat="1" applyFont="1" applyBorder="1" applyAlignment="1">
      <alignment vertical="center"/>
    </xf>
    <xf numFmtId="170" fontId="37" fillId="0" borderId="64" xfId="0" applyNumberFormat="1" applyFont="1" applyBorder="1" applyAlignment="1">
      <alignment vertical="center"/>
    </xf>
    <xf numFmtId="170" fontId="37" fillId="0" borderId="65" xfId="0" applyNumberFormat="1" applyFont="1" applyBorder="1" applyAlignment="1">
      <alignment vertical="center"/>
    </xf>
    <xf numFmtId="170" fontId="37" fillId="0" borderId="66" xfId="0" applyNumberFormat="1" applyFont="1" applyBorder="1" applyAlignment="1">
      <alignment vertical="center"/>
    </xf>
    <xf numFmtId="0" fontId="22" fillId="0" borderId="2" xfId="0" applyFont="1" applyBorder="1" applyAlignment="1">
      <alignment horizontal="left" indent="1"/>
    </xf>
    <xf numFmtId="0" fontId="22" fillId="0" borderId="2" xfId="0" applyFont="1" applyBorder="1"/>
    <xf numFmtId="170" fontId="22" fillId="0" borderId="2" xfId="0" applyNumberFormat="1" applyFont="1" applyBorder="1"/>
    <xf numFmtId="170" fontId="22" fillId="0" borderId="2" xfId="0" applyNumberFormat="1" applyFont="1" applyBorder="1" applyAlignment="1">
      <alignment vertical="center"/>
    </xf>
    <xf numFmtId="37" fontId="38" fillId="0" borderId="0" xfId="0" applyNumberFormat="1" applyFont="1" applyAlignment="1">
      <alignment vertical="center"/>
    </xf>
    <xf numFmtId="166" fontId="39" fillId="0" borderId="0" xfId="0" applyNumberFormat="1" applyFont="1" applyAlignment="1">
      <alignment vertical="center"/>
    </xf>
    <xf numFmtId="168" fontId="35" fillId="0" borderId="0" xfId="0" applyNumberFormat="1" applyFont="1" applyAlignment="1">
      <alignment horizontal="right" vertical="center"/>
    </xf>
    <xf numFmtId="169" fontId="35" fillId="0" borderId="0" xfId="0" applyNumberFormat="1" applyFont="1" applyAlignment="1">
      <alignment horizontal="right" vertical="center"/>
    </xf>
    <xf numFmtId="172" fontId="37" fillId="0" borderId="0" xfId="0" applyNumberFormat="1" applyFont="1" applyAlignment="1">
      <alignment vertical="center"/>
    </xf>
    <xf numFmtId="172" fontId="37" fillId="0" borderId="14" xfId="0" applyNumberFormat="1" applyFont="1" applyBorder="1" applyAlignment="1">
      <alignment vertical="center"/>
    </xf>
    <xf numFmtId="170" fontId="37" fillId="0" borderId="14" xfId="0" applyNumberFormat="1" applyFont="1" applyBorder="1" applyAlignment="1">
      <alignment vertical="center"/>
    </xf>
    <xf numFmtId="0" fontId="1" fillId="0" borderId="2" xfId="0" applyFont="1" applyBorder="1"/>
    <xf numFmtId="168" fontId="35" fillId="0" borderId="2" xfId="0" applyNumberFormat="1" applyFont="1" applyBorder="1" applyAlignment="1">
      <alignment horizontal="right" vertical="center"/>
    </xf>
    <xf numFmtId="172" fontId="1" fillId="0" borderId="2" xfId="0" applyNumberFormat="1" applyFont="1" applyBorder="1" applyAlignment="1">
      <alignment vertical="center"/>
    </xf>
    <xf numFmtId="37" fontId="34" fillId="0" borderId="0" xfId="0" applyNumberFormat="1" applyFont="1" applyAlignment="1">
      <alignment vertical="center"/>
    </xf>
    <xf numFmtId="37" fontId="1" fillId="0" borderId="0" xfId="0" applyNumberFormat="1" applyFont="1" applyAlignment="1">
      <alignment vertical="center"/>
    </xf>
    <xf numFmtId="168" fontId="24" fillId="0" borderId="0" xfId="0" applyNumberFormat="1" applyFont="1" applyAlignment="1">
      <alignment horizontal="right"/>
    </xf>
    <xf numFmtId="221" fontId="25" fillId="0" borderId="0" xfId="0" applyNumberFormat="1" applyFont="1" applyAlignment="1">
      <alignment horizontal="centerContinuous"/>
    </xf>
    <xf numFmtId="221" fontId="26" fillId="0" borderId="0" xfId="0" applyNumberFormat="1" applyFont="1" applyAlignment="1">
      <alignment horizontal="centerContinuous"/>
    </xf>
    <xf numFmtId="0" fontId="26" fillId="0" borderId="0" xfId="0" applyFont="1" applyAlignment="1">
      <alignment horizontal="left"/>
    </xf>
    <xf numFmtId="0" fontId="27" fillId="0" borderId="7" xfId="0" applyFont="1" applyBorder="1" applyAlignment="1">
      <alignment horizontal="left"/>
    </xf>
    <xf numFmtId="0" fontId="22" fillId="0" borderId="8" xfId="0" applyFont="1" applyBorder="1"/>
    <xf numFmtId="0" fontId="27" fillId="0" borderId="10" xfId="0" applyFont="1" applyBorder="1" applyAlignment="1">
      <alignment horizontal="left"/>
    </xf>
    <xf numFmtId="0" fontId="26" fillId="0" borderId="12" xfId="0" applyFont="1" applyBorder="1" applyAlignment="1">
      <alignment horizontal="left"/>
    </xf>
    <xf numFmtId="173" fontId="35" fillId="0" borderId="13" xfId="0" applyNumberFormat="1" applyFont="1" applyBorder="1"/>
    <xf numFmtId="0" fontId="26" fillId="0" borderId="0" xfId="0" applyFont="1" applyAlignment="1">
      <alignment horizontal="left" indent="1"/>
    </xf>
    <xf numFmtId="173" fontId="40" fillId="0" borderId="0" xfId="0" applyNumberFormat="1" applyFont="1"/>
    <xf numFmtId="173" fontId="37" fillId="0" borderId="11" xfId="0" applyNumberFormat="1" applyFont="1" applyBorder="1"/>
    <xf numFmtId="174" fontId="41" fillId="0" borderId="0" xfId="0" applyNumberFormat="1" applyFont="1"/>
    <xf numFmtId="0" fontId="26" fillId="0" borderId="2" xfId="0" applyFont="1" applyBorder="1" applyAlignment="1">
      <alignment horizontal="left" indent="1"/>
    </xf>
    <xf numFmtId="174" fontId="41" fillId="0" borderId="2" xfId="0" applyNumberFormat="1" applyFont="1" applyBorder="1"/>
    <xf numFmtId="173" fontId="37" fillId="0" borderId="9" xfId="0" applyNumberFormat="1" applyFont="1" applyBorder="1"/>
    <xf numFmtId="0" fontId="27" fillId="0" borderId="12" xfId="0" applyFont="1" applyBorder="1" applyAlignment="1">
      <alignment horizontal="left"/>
    </xf>
    <xf numFmtId="173" fontId="37" fillId="0" borderId="0" xfId="1" applyNumberFormat="1" applyFont="1" applyFill="1" applyBorder="1" applyAlignment="1">
      <alignment horizontal="right" vertical="center"/>
    </xf>
    <xf numFmtId="170" fontId="37" fillId="0" borderId="0" xfId="0" applyNumberFormat="1" applyFont="1"/>
    <xf numFmtId="0" fontId="35" fillId="0" borderId="0" xfId="0" applyFont="1" applyAlignment="1">
      <alignment horizontal="left" indent="1"/>
    </xf>
    <xf numFmtId="170" fontId="35" fillId="0" borderId="0" xfId="0" applyNumberFormat="1" applyFont="1"/>
    <xf numFmtId="0" fontId="35" fillId="0" borderId="2" xfId="0" applyFont="1" applyBorder="1" applyAlignment="1">
      <alignment horizontal="left" indent="1"/>
    </xf>
    <xf numFmtId="173" fontId="37" fillId="0" borderId="2" xfId="1" applyNumberFormat="1" applyFont="1" applyFill="1" applyBorder="1" applyAlignment="1">
      <alignment horizontal="right" vertical="center"/>
    </xf>
    <xf numFmtId="170" fontId="1" fillId="0" borderId="2" xfId="0" applyNumberFormat="1" applyFont="1" applyBorder="1"/>
    <xf numFmtId="0" fontId="27" fillId="0" borderId="0" xfId="0" applyFont="1" applyAlignment="1">
      <alignment horizontal="left"/>
    </xf>
    <xf numFmtId="194" fontId="28" fillId="0" borderId="0" xfId="1" applyNumberFormat="1" applyFont="1" applyFill="1" applyBorder="1" applyAlignment="1">
      <alignment horizontal="right" vertical="center"/>
    </xf>
    <xf numFmtId="194" fontId="37" fillId="0" borderId="0" xfId="1" applyNumberFormat="1" applyFont="1" applyFill="1" applyBorder="1" applyAlignment="1">
      <alignment horizontal="right" vertical="center"/>
    </xf>
    <xf numFmtId="173" fontId="43" fillId="0" borderId="0" xfId="1" applyNumberFormat="1" applyFont="1" applyFill="1" applyBorder="1" applyAlignment="1">
      <alignment horizontal="right" vertical="center"/>
    </xf>
    <xf numFmtId="0" fontId="41" fillId="0" borderId="0" xfId="0" applyFont="1"/>
    <xf numFmtId="0" fontId="36" fillId="0" borderId="0" xfId="0" applyFont="1" applyAlignment="1">
      <alignment horizontal="left" indent="1"/>
    </xf>
    <xf numFmtId="170" fontId="36" fillId="0" borderId="0" xfId="0" applyNumberFormat="1" applyFont="1" applyAlignment="1">
      <alignment vertical="center"/>
    </xf>
    <xf numFmtId="170" fontId="35" fillId="0" borderId="8" xfId="0" applyNumberFormat="1" applyFont="1" applyBorder="1" applyAlignment="1">
      <alignment vertical="center"/>
    </xf>
    <xf numFmtId="170" fontId="37" fillId="0" borderId="8" xfId="0" applyNumberFormat="1" applyFont="1" applyBorder="1" applyAlignment="1">
      <alignment vertical="center"/>
    </xf>
    <xf numFmtId="0" fontId="1" fillId="0" borderId="4" xfId="0" applyFont="1" applyBorder="1" applyAlignment="1">
      <alignment horizontal="left" indent="1"/>
    </xf>
    <xf numFmtId="173" fontId="37" fillId="0" borderId="6" xfId="0" applyNumberFormat="1" applyFont="1" applyBorder="1"/>
    <xf numFmtId="174" fontId="1" fillId="0" borderId="0" xfId="0" applyNumberFormat="1" applyFont="1"/>
    <xf numFmtId="181" fontId="37" fillId="0" borderId="2" xfId="0" applyNumberFormat="1" applyFont="1" applyBorder="1" applyAlignment="1">
      <alignment vertical="center"/>
    </xf>
    <xf numFmtId="172" fontId="37" fillId="0" borderId="0" xfId="0" applyNumberFormat="1" applyFont="1"/>
    <xf numFmtId="0" fontId="27" fillId="0" borderId="7" xfId="0" applyFont="1" applyBorder="1" applyAlignment="1">
      <alignment horizontal="left" indent="1"/>
    </xf>
    <xf numFmtId="170" fontId="37" fillId="0" borderId="9" xfId="0" applyNumberFormat="1" applyFont="1" applyBorder="1"/>
    <xf numFmtId="0" fontId="1" fillId="0" borderId="7" xfId="0" applyFont="1" applyBorder="1"/>
    <xf numFmtId="170" fontId="1" fillId="0" borderId="9" xfId="0" applyNumberFormat="1" applyFont="1" applyBorder="1"/>
    <xf numFmtId="0" fontId="37" fillId="0" borderId="10" xfId="0" applyFont="1" applyBorder="1" applyAlignment="1">
      <alignment horizontal="left" indent="1"/>
    </xf>
    <xf numFmtId="170" fontId="37" fillId="0" borderId="13" xfId="0" applyNumberFormat="1" applyFont="1" applyBorder="1"/>
    <xf numFmtId="0" fontId="1" fillId="0" borderId="10" xfId="0" applyFont="1" applyBorder="1"/>
    <xf numFmtId="170" fontId="1" fillId="0" borderId="11" xfId="0" applyNumberFormat="1" applyFont="1" applyBorder="1"/>
    <xf numFmtId="0" fontId="27" fillId="0" borderId="12" xfId="0" applyFont="1" applyBorder="1" applyAlignment="1">
      <alignment horizontal="left" indent="1"/>
    </xf>
    <xf numFmtId="0" fontId="45" fillId="0" borderId="10" xfId="0" applyFont="1" applyBorder="1"/>
    <xf numFmtId="0" fontId="47" fillId="0" borderId="0" xfId="0" applyFont="1"/>
    <xf numFmtId="173" fontId="45" fillId="0" borderId="11" xfId="0" applyNumberFormat="1" applyFont="1" applyBorder="1"/>
    <xf numFmtId="0" fontId="22" fillId="0" borderId="10" xfId="0" applyFont="1" applyBorder="1"/>
    <xf numFmtId="0" fontId="22" fillId="0" borderId="11" xfId="0" applyFont="1" applyBorder="1"/>
    <xf numFmtId="0" fontId="27" fillId="0" borderId="10" xfId="0" applyFont="1" applyBorder="1" applyAlignment="1">
      <alignment horizontal="left" indent="1"/>
    </xf>
    <xf numFmtId="0" fontId="48" fillId="0" borderId="0" xfId="0" quotePrefix="1" applyFont="1" applyAlignment="1">
      <alignment horizontal="right"/>
    </xf>
    <xf numFmtId="170" fontId="1" fillId="0" borderId="11" xfId="0" applyNumberFormat="1" applyFont="1" applyBorder="1" applyAlignment="1">
      <alignment vertical="center"/>
    </xf>
    <xf numFmtId="0" fontId="48" fillId="0" borderId="0" xfId="0" applyFont="1" applyAlignment="1">
      <alignment horizontal="right"/>
    </xf>
    <xf numFmtId="175" fontId="37" fillId="0" borderId="11" xfId="0" applyNumberFormat="1" applyFont="1" applyBorder="1"/>
    <xf numFmtId="49" fontId="45" fillId="0" borderId="10" xfId="0" applyNumberFormat="1" applyFont="1" applyBorder="1"/>
    <xf numFmtId="170" fontId="47" fillId="0" borderId="0" xfId="0" applyNumberFormat="1" applyFont="1" applyAlignment="1">
      <alignment vertical="center"/>
    </xf>
    <xf numFmtId="194" fontId="45" fillId="0" borderId="11" xfId="0" applyNumberFormat="1" applyFont="1" applyBorder="1" applyAlignment="1">
      <alignment vertical="center"/>
    </xf>
    <xf numFmtId="49" fontId="45" fillId="0" borderId="12" xfId="0" applyNumberFormat="1" applyFont="1" applyBorder="1"/>
    <xf numFmtId="194" fontId="45" fillId="0" borderId="13" xfId="0" applyNumberFormat="1" applyFont="1" applyBorder="1" applyAlignment="1">
      <alignment vertical="center"/>
    </xf>
    <xf numFmtId="0" fontId="45" fillId="0" borderId="12" xfId="0" applyFont="1" applyBorder="1" applyAlignment="1">
      <alignment horizontal="left" indent="1"/>
    </xf>
    <xf numFmtId="0" fontId="47" fillId="0" borderId="2" xfId="0" applyFont="1" applyBorder="1"/>
    <xf numFmtId="179" fontId="45" fillId="0" borderId="13" xfId="0" applyNumberFormat="1" applyFont="1" applyBorder="1"/>
    <xf numFmtId="183" fontId="1" fillId="0" borderId="0" xfId="0" applyNumberFormat="1" applyFont="1" applyAlignment="1">
      <alignment horizontal="right"/>
    </xf>
    <xf numFmtId="184" fontId="1" fillId="0" borderId="0" xfId="0" applyNumberFormat="1" applyFont="1" applyAlignment="1">
      <alignment horizontal="right"/>
    </xf>
    <xf numFmtId="170" fontId="49" fillId="0" borderId="0" xfId="0" applyNumberFormat="1" applyFont="1" applyAlignment="1">
      <alignment horizontal="left"/>
    </xf>
    <xf numFmtId="197" fontId="37" fillId="0" borderId="0" xfId="0" applyNumberFormat="1" applyFont="1" applyAlignment="1">
      <alignment horizontal="center"/>
    </xf>
    <xf numFmtId="170" fontId="28" fillId="0" borderId="0" xfId="0" applyNumberFormat="1" applyFont="1"/>
    <xf numFmtId="181" fontId="1" fillId="0" borderId="2" xfId="0" applyNumberFormat="1" applyFont="1" applyBorder="1"/>
    <xf numFmtId="175" fontId="1" fillId="0" borderId="16" xfId="0" applyNumberFormat="1" applyFont="1" applyBorder="1"/>
    <xf numFmtId="49" fontId="1" fillId="0" borderId="0" xfId="0" applyNumberFormat="1" applyFont="1" applyAlignment="1">
      <alignment horizontal="right"/>
    </xf>
    <xf numFmtId="174" fontId="1" fillId="0" borderId="16" xfId="0" applyNumberFormat="1" applyFont="1" applyBorder="1"/>
    <xf numFmtId="183" fontId="1" fillId="0" borderId="2" xfId="0" applyNumberFormat="1" applyFont="1" applyBorder="1" applyAlignment="1">
      <alignment horizontal="right"/>
    </xf>
    <xf numFmtId="0" fontId="35" fillId="0" borderId="0" xfId="0" applyFont="1" applyAlignment="1">
      <alignment horizontal="centerContinuous" vertical="center"/>
    </xf>
    <xf numFmtId="0" fontId="52" fillId="0" borderId="0" xfId="0" applyFont="1" applyAlignment="1">
      <alignment horizontal="centerContinuous"/>
    </xf>
    <xf numFmtId="0" fontId="1" fillId="0" borderId="0" xfId="0" applyFont="1" applyAlignment="1">
      <alignment horizontal="centerContinuous"/>
    </xf>
    <xf numFmtId="175" fontId="53" fillId="0" borderId="0" xfId="0" applyNumberFormat="1" applyFont="1"/>
    <xf numFmtId="173" fontId="1" fillId="0" borderId="22" xfId="0" applyNumberFormat="1" applyFont="1" applyBorder="1"/>
    <xf numFmtId="173" fontId="1" fillId="0" borderId="24" xfId="0" applyNumberFormat="1" applyFont="1" applyBorder="1"/>
    <xf numFmtId="175" fontId="1" fillId="0" borderId="25" xfId="0" applyNumberFormat="1" applyFont="1" applyBorder="1"/>
    <xf numFmtId="175" fontId="1" fillId="0" borderId="0" xfId="0" applyNumberFormat="1" applyFont="1"/>
    <xf numFmtId="194" fontId="1" fillId="0" borderId="22" xfId="0" applyNumberFormat="1" applyFont="1" applyBorder="1"/>
    <xf numFmtId="168" fontId="21" fillId="7" borderId="0" xfId="0" applyNumberFormat="1" applyFont="1" applyFill="1" applyAlignment="1">
      <alignment horizontal="left" vertical="center"/>
    </xf>
    <xf numFmtId="168" fontId="21" fillId="7" borderId="0" xfId="0" applyNumberFormat="1" applyFont="1" applyFill="1" applyAlignment="1">
      <alignment horizontal="left" vertical="top"/>
    </xf>
    <xf numFmtId="169" fontId="15" fillId="0" borderId="38" xfId="0" applyNumberFormat="1" applyFont="1" applyBorder="1" applyAlignment="1">
      <alignment horizontal="right" vertical="top"/>
    </xf>
    <xf numFmtId="168" fontId="15" fillId="0" borderId="38" xfId="7" applyNumberFormat="1" applyFont="1" applyBorder="1" applyAlignment="1">
      <alignment horizontal="right" vertical="top"/>
    </xf>
    <xf numFmtId="175" fontId="54" fillId="0" borderId="11" xfId="0" applyNumberFormat="1" applyFont="1" applyBorder="1"/>
    <xf numFmtId="0" fontId="35" fillId="0" borderId="67" xfId="0" applyFont="1" applyBorder="1" applyAlignment="1">
      <alignment horizontal="centerContinuous" vertical="center"/>
    </xf>
    <xf numFmtId="0" fontId="52" fillId="0" borderId="67" xfId="0" applyFont="1" applyBorder="1" applyAlignment="1">
      <alignment horizontal="centerContinuous"/>
    </xf>
    <xf numFmtId="0" fontId="50" fillId="0" borderId="0" xfId="0" applyFont="1" applyAlignment="1">
      <alignment horizontal="center"/>
    </xf>
    <xf numFmtId="168" fontId="49" fillId="0" borderId="68" xfId="0" applyNumberFormat="1" applyFont="1" applyBorder="1" applyAlignment="1">
      <alignment horizontal="centerContinuous"/>
    </xf>
    <xf numFmtId="170" fontId="49" fillId="0" borderId="69" xfId="0" applyNumberFormat="1" applyFont="1" applyBorder="1" applyAlignment="1">
      <alignment horizontal="center"/>
    </xf>
    <xf numFmtId="0" fontId="50" fillId="0" borderId="70" xfId="0" applyFont="1" applyBorder="1" applyAlignment="1">
      <alignment horizontal="center"/>
    </xf>
    <xf numFmtId="197" fontId="37" fillId="0" borderId="70" xfId="0" applyNumberFormat="1" applyFont="1" applyBorder="1" applyAlignment="1">
      <alignment horizontal="center"/>
    </xf>
    <xf numFmtId="168" fontId="49" fillId="0" borderId="69" xfId="0" applyNumberFormat="1" applyFont="1" applyBorder="1" applyAlignment="1">
      <alignment horizontal="centerContinuous"/>
    </xf>
    <xf numFmtId="170" fontId="49" fillId="0" borderId="68" xfId="0" applyNumberFormat="1" applyFont="1" applyBorder="1" applyAlignment="1">
      <alignment horizontal="centerContinuous"/>
    </xf>
    <xf numFmtId="0" fontId="22" fillId="0" borderId="70" xfId="0" applyFont="1" applyBorder="1"/>
    <xf numFmtId="197" fontId="37" fillId="0" borderId="71" xfId="0" applyNumberFormat="1" applyFont="1" applyBorder="1" applyAlignment="1">
      <alignment horizontal="center"/>
    </xf>
    <xf numFmtId="197" fontId="37" fillId="0" borderId="72" xfId="0" applyNumberFormat="1" applyFont="1" applyBorder="1" applyAlignment="1">
      <alignment horizontal="center"/>
    </xf>
    <xf numFmtId="197" fontId="37" fillId="0" borderId="73" xfId="0" applyNumberFormat="1" applyFont="1" applyBorder="1" applyAlignment="1">
      <alignment horizontal="center"/>
    </xf>
    <xf numFmtId="0" fontId="59" fillId="0" borderId="0" xfId="0" applyFont="1"/>
    <xf numFmtId="0" fontId="37" fillId="0" borderId="0" xfId="0" applyFont="1" applyAlignment="1">
      <alignment horizontal="left"/>
    </xf>
    <xf numFmtId="0" fontId="48" fillId="0" borderId="0" xfId="0" applyFont="1" applyAlignment="1">
      <alignment horizontal="center"/>
    </xf>
    <xf numFmtId="168" fontId="26" fillId="0" borderId="0" xfId="0" applyNumberFormat="1" applyFont="1" applyAlignment="1">
      <alignment horizontal="right"/>
    </xf>
    <xf numFmtId="170" fontId="27" fillId="0" borderId="0" xfId="0" applyNumberFormat="1" applyFont="1"/>
    <xf numFmtId="0" fontId="60" fillId="0" borderId="0" xfId="0" applyFont="1" applyAlignment="1">
      <alignment horizontal="left"/>
    </xf>
    <xf numFmtId="221" fontId="26" fillId="2" borderId="0" xfId="0" applyNumberFormat="1" applyFont="1" applyFill="1" applyAlignment="1">
      <alignment horizontal="centerContinuous"/>
    </xf>
    <xf numFmtId="0" fontId="37" fillId="0" borderId="0" xfId="4" applyFont="1" applyAlignment="1">
      <alignment horizontal="center"/>
    </xf>
    <xf numFmtId="0" fontId="37" fillId="0" borderId="0" xfId="4" applyFont="1" applyAlignment="1">
      <alignment horizontal="center" vertical="center"/>
    </xf>
    <xf numFmtId="0" fontId="35" fillId="0" borderId="0" xfId="4" applyFont="1" applyAlignment="1">
      <alignment horizontal="right" vertical="center"/>
    </xf>
    <xf numFmtId="0" fontId="35" fillId="0" borderId="0" xfId="22" applyFont="1" applyAlignment="1">
      <alignment horizontal="centerContinuous"/>
    </xf>
    <xf numFmtId="202" fontId="35" fillId="0" borderId="0" xfId="22" applyNumberFormat="1" applyFont="1" applyAlignment="1">
      <alignment horizontal="centerContinuous"/>
    </xf>
    <xf numFmtId="0" fontId="27" fillId="0" borderId="0" xfId="4" applyFont="1" applyAlignment="1">
      <alignment horizontal="center"/>
    </xf>
    <xf numFmtId="0" fontId="26" fillId="0" borderId="0" xfId="22" applyFont="1" applyAlignment="1">
      <alignment horizontal="left"/>
    </xf>
    <xf numFmtId="0" fontId="26" fillId="0" borderId="0" xfId="4" applyFont="1" applyAlignment="1">
      <alignment horizontal="left"/>
    </xf>
    <xf numFmtId="0" fontId="26" fillId="0" borderId="0" xfId="22" applyFont="1" applyAlignment="1">
      <alignment horizontal="right"/>
    </xf>
    <xf numFmtId="222" fontId="36" fillId="0" borderId="0" xfId="0" applyNumberFormat="1" applyFont="1" applyAlignment="1">
      <alignment horizontal="right"/>
    </xf>
    <xf numFmtId="223" fontId="36" fillId="0" borderId="0" xfId="0" applyNumberFormat="1" applyFont="1" applyAlignment="1">
      <alignment horizontal="right"/>
    </xf>
    <xf numFmtId="221" fontId="62" fillId="0" borderId="0" xfId="0" applyNumberFormat="1" applyFont="1" applyAlignment="1">
      <alignment horizontal="left"/>
    </xf>
    <xf numFmtId="0" fontId="25" fillId="0" borderId="0" xfId="4" applyFont="1" applyAlignment="1">
      <alignment horizontal="right"/>
    </xf>
    <xf numFmtId="0" fontId="29" fillId="0" borderId="0" xfId="4" applyFont="1" applyAlignment="1">
      <alignment horizontal="center" vertical="center"/>
    </xf>
    <xf numFmtId="0" fontId="25" fillId="0" borderId="0" xfId="4" applyFont="1" applyAlignment="1">
      <alignment horizontal="right" vertical="center"/>
    </xf>
    <xf numFmtId="0" fontId="27" fillId="0" borderId="0" xfId="4" applyFont="1"/>
    <xf numFmtId="37" fontId="37" fillId="0" borderId="0" xfId="4" applyNumberFormat="1" applyFont="1" applyAlignment="1">
      <alignment vertical="center"/>
    </xf>
    <xf numFmtId="37" fontId="28" fillId="0" borderId="0" xfId="4" applyNumberFormat="1" applyFont="1" applyAlignment="1">
      <alignment horizontal="center" vertical="center"/>
    </xf>
    <xf numFmtId="37" fontId="28" fillId="0" borderId="0" xfId="4" applyNumberFormat="1" applyFont="1" applyAlignment="1">
      <alignment vertical="center"/>
    </xf>
    <xf numFmtId="2" fontId="28" fillId="0" borderId="0" xfId="4" applyNumberFormat="1" applyFont="1"/>
    <xf numFmtId="170" fontId="28" fillId="0" borderId="0" xfId="4" applyNumberFormat="1" applyFont="1"/>
    <xf numFmtId="172" fontId="37" fillId="0" borderId="0" xfId="0" applyNumberFormat="1" applyFont="1" applyAlignment="1">
      <alignment horizontal="right"/>
    </xf>
    <xf numFmtId="172" fontId="28" fillId="0" borderId="0" xfId="4" applyNumberFormat="1" applyFont="1"/>
    <xf numFmtId="172" fontId="28" fillId="0" borderId="0" xfId="0" applyNumberFormat="1" applyFont="1" applyAlignment="1">
      <alignment horizontal="right"/>
    </xf>
    <xf numFmtId="194" fontId="37" fillId="0" borderId="0" xfId="4" applyNumberFormat="1" applyFont="1" applyAlignment="1">
      <alignment horizontal="right" vertical="center"/>
    </xf>
    <xf numFmtId="0" fontId="63" fillId="0" borderId="0" xfId="4" applyFont="1"/>
    <xf numFmtId="194" fontId="27" fillId="0" borderId="0" xfId="4" applyNumberFormat="1" applyFont="1" applyAlignment="1">
      <alignment horizontal="right" vertical="center"/>
    </xf>
    <xf numFmtId="0" fontId="37" fillId="0" borderId="0" xfId="4" applyFont="1" applyAlignment="1">
      <alignment horizontal="left" vertical="center" indent="1"/>
    </xf>
    <xf numFmtId="0" fontId="28" fillId="0" borderId="0" xfId="4" applyFont="1" applyAlignment="1">
      <alignment horizontal="left" vertical="center" indent="1"/>
    </xf>
    <xf numFmtId="170" fontId="37" fillId="0" borderId="0" xfId="4" applyNumberFormat="1" applyFont="1" applyAlignment="1">
      <alignment horizontal="right" vertical="center"/>
    </xf>
    <xf numFmtId="194" fontId="37" fillId="0" borderId="0" xfId="0" applyNumberFormat="1" applyFont="1" applyAlignment="1">
      <alignment horizontal="right"/>
    </xf>
    <xf numFmtId="0" fontId="1" fillId="0" borderId="0" xfId="4" applyFont="1"/>
    <xf numFmtId="185" fontId="1" fillId="0" borderId="0" xfId="4" applyNumberFormat="1" applyFont="1" applyAlignment="1">
      <alignment vertical="center"/>
    </xf>
    <xf numFmtId="37" fontId="35" fillId="0" borderId="0" xfId="4" applyNumberFormat="1" applyFont="1" applyAlignment="1">
      <alignment horizontal="left" vertical="center"/>
    </xf>
    <xf numFmtId="37" fontId="37" fillId="0" borderId="0" xfId="4" applyNumberFormat="1" applyFont="1" applyAlignment="1">
      <alignment horizontal="left" vertical="center" indent="1"/>
    </xf>
    <xf numFmtId="177" fontId="37" fillId="0" borderId="0" xfId="0" applyNumberFormat="1" applyFont="1" applyAlignment="1">
      <alignment horizontal="right"/>
    </xf>
    <xf numFmtId="172" fontId="64" fillId="0" borderId="0" xfId="0" applyNumberFormat="1" applyFont="1" applyAlignment="1">
      <alignment horizontal="right"/>
    </xf>
    <xf numFmtId="170" fontId="64" fillId="0" borderId="0" xfId="4" applyNumberFormat="1" applyFont="1"/>
    <xf numFmtId="170" fontId="64" fillId="0" borderId="0" xfId="4" applyNumberFormat="1" applyFont="1" applyAlignment="1">
      <alignment horizontal="right" vertical="center"/>
    </xf>
    <xf numFmtId="172" fontId="1" fillId="0" borderId="0" xfId="4" applyNumberFormat="1" applyFont="1"/>
    <xf numFmtId="170" fontId="1" fillId="0" borderId="0" xfId="4" applyNumberFormat="1" applyFont="1"/>
    <xf numFmtId="194" fontId="1" fillId="0" borderId="0" xfId="4" applyNumberFormat="1" applyFont="1"/>
    <xf numFmtId="194" fontId="1" fillId="0" borderId="0" xfId="4" applyNumberFormat="1" applyFont="1" applyAlignment="1">
      <alignment horizontal="right" vertical="center"/>
    </xf>
    <xf numFmtId="183" fontId="1" fillId="0" borderId="0" xfId="4" applyNumberFormat="1" applyFont="1" applyAlignment="1">
      <alignment horizontal="right"/>
    </xf>
    <xf numFmtId="184" fontId="1" fillId="0" borderId="0" xfId="4" applyNumberFormat="1" applyFont="1" applyAlignment="1">
      <alignment horizontal="right"/>
    </xf>
    <xf numFmtId="202" fontId="1" fillId="0" borderId="0" xfId="4" applyNumberFormat="1" applyFont="1" applyAlignment="1">
      <alignment horizontal="right"/>
    </xf>
    <xf numFmtId="203" fontId="1" fillId="0" borderId="0" xfId="4" applyNumberFormat="1" applyFont="1" applyAlignment="1">
      <alignment horizontal="right"/>
    </xf>
    <xf numFmtId="0" fontId="1" fillId="0" borderId="2" xfId="4" applyFont="1" applyBorder="1"/>
    <xf numFmtId="172" fontId="28" fillId="0" borderId="2" xfId="0" applyNumberFormat="1" applyFont="1" applyBorder="1" applyAlignment="1">
      <alignment horizontal="right"/>
    </xf>
    <xf numFmtId="172" fontId="37" fillId="0" borderId="2" xfId="0" applyNumberFormat="1" applyFont="1" applyBorder="1" applyAlignment="1">
      <alignment horizontal="right"/>
    </xf>
    <xf numFmtId="194" fontId="1" fillId="0" borderId="2" xfId="4" applyNumberFormat="1" applyFont="1" applyBorder="1" applyAlignment="1">
      <alignment horizontal="right" vertical="center"/>
    </xf>
    <xf numFmtId="203" fontId="1" fillId="0" borderId="2" xfId="4" applyNumberFormat="1" applyFont="1" applyBorder="1" applyAlignment="1">
      <alignment horizontal="right"/>
    </xf>
    <xf numFmtId="166" fontId="65" fillId="0" borderId="0" xfId="0" applyNumberFormat="1" applyFont="1" applyAlignment="1">
      <alignment vertical="center"/>
    </xf>
    <xf numFmtId="0" fontId="35" fillId="0" borderId="0" xfId="4" applyFont="1" applyAlignment="1">
      <alignment horizontal="center" vertical="center"/>
    </xf>
    <xf numFmtId="170" fontId="35" fillId="0" borderId="0" xfId="22" applyNumberFormat="1" applyFont="1" applyAlignment="1">
      <alignment horizontal="right"/>
    </xf>
    <xf numFmtId="170" fontId="36" fillId="0" borderId="0" xfId="0" applyNumberFormat="1" applyFont="1" applyAlignment="1">
      <alignment horizontal="centerContinuous"/>
    </xf>
    <xf numFmtId="170" fontId="52" fillId="0" borderId="0" xfId="4" applyNumberFormat="1" applyFont="1" applyAlignment="1">
      <alignment horizontal="centerContinuous"/>
    </xf>
    <xf numFmtId="0" fontId="35" fillId="0" borderId="0" xfId="22" applyFont="1" applyAlignment="1">
      <alignment horizontal="left"/>
    </xf>
    <xf numFmtId="0" fontId="35" fillId="0" borderId="0" xfId="22" applyFont="1" applyAlignment="1">
      <alignment horizontal="right"/>
    </xf>
    <xf numFmtId="0" fontId="66" fillId="0" borderId="0" xfId="0" applyFont="1" applyAlignment="1">
      <alignment horizontal="left"/>
    </xf>
    <xf numFmtId="0" fontId="30" fillId="0" borderId="0" xfId="4" applyFont="1" applyAlignment="1">
      <alignment horizontal="center" vertical="center"/>
    </xf>
    <xf numFmtId="224" fontId="28" fillId="0" borderId="0" xfId="4" applyNumberFormat="1" applyFont="1" applyAlignment="1">
      <alignment horizontal="left" vertical="center"/>
    </xf>
    <xf numFmtId="0" fontId="37" fillId="0" borderId="0" xfId="4" applyFont="1" applyAlignment="1">
      <alignment vertical="center"/>
    </xf>
    <xf numFmtId="175" fontId="28" fillId="0" borderId="0" xfId="4" applyNumberFormat="1" applyFont="1" applyAlignment="1">
      <alignment vertical="center"/>
    </xf>
    <xf numFmtId="179" fontId="37" fillId="0" borderId="0" xfId="4" applyNumberFormat="1" applyFont="1" applyAlignment="1">
      <alignment vertical="center"/>
    </xf>
    <xf numFmtId="170" fontId="28" fillId="0" borderId="0" xfId="4" applyNumberFormat="1" applyFont="1" applyAlignment="1">
      <alignment vertical="center"/>
    </xf>
    <xf numFmtId="170" fontId="37" fillId="0" borderId="0" xfId="4" applyNumberFormat="1" applyFont="1" applyAlignment="1">
      <alignment vertical="center"/>
    </xf>
    <xf numFmtId="172" fontId="37" fillId="0" borderId="0" xfId="4" applyNumberFormat="1" applyFont="1" applyAlignment="1">
      <alignment horizontal="right" vertical="center"/>
    </xf>
    <xf numFmtId="172" fontId="28" fillId="0" borderId="0" xfId="4" applyNumberFormat="1" applyFont="1" applyAlignment="1">
      <alignment vertical="center"/>
    </xf>
    <xf numFmtId="0" fontId="28" fillId="0" borderId="0" xfId="4" applyFont="1" applyAlignment="1">
      <alignment vertical="center"/>
    </xf>
    <xf numFmtId="172" fontId="28" fillId="0" borderId="0" xfId="4" applyNumberFormat="1" applyFont="1" applyAlignment="1">
      <alignment horizontal="right" vertical="center"/>
    </xf>
    <xf numFmtId="0" fontId="59" fillId="0" borderId="0" xfId="4" applyFont="1"/>
    <xf numFmtId="0" fontId="67" fillId="0" borderId="0" xfId="4" applyFont="1"/>
    <xf numFmtId="179" fontId="52" fillId="0" borderId="0" xfId="4" applyNumberFormat="1" applyFont="1"/>
    <xf numFmtId="172" fontId="68" fillId="0" borderId="0" xfId="4" applyNumberFormat="1" applyFont="1" applyAlignment="1">
      <alignment vertical="center"/>
    </xf>
    <xf numFmtId="0" fontId="22" fillId="0" borderId="0" xfId="4" applyFont="1"/>
    <xf numFmtId="0" fontId="62" fillId="0" borderId="0" xfId="4" applyFont="1" applyAlignment="1">
      <alignment vertical="center"/>
    </xf>
    <xf numFmtId="194" fontId="68" fillId="0" borderId="0" xfId="4" applyNumberFormat="1" applyFont="1" applyAlignment="1">
      <alignment horizontal="right" vertical="center"/>
    </xf>
    <xf numFmtId="175" fontId="64" fillId="0" borderId="0" xfId="4" applyNumberFormat="1" applyFont="1" applyAlignment="1">
      <alignment vertical="center"/>
    </xf>
    <xf numFmtId="175" fontId="37" fillId="0" borderId="0" xfId="4" applyNumberFormat="1" applyFont="1" applyAlignment="1">
      <alignment vertical="center"/>
    </xf>
    <xf numFmtId="179" fontId="37" fillId="0" borderId="0" xfId="4" applyNumberFormat="1" applyFont="1"/>
    <xf numFmtId="170" fontId="37" fillId="0" borderId="0" xfId="4" applyNumberFormat="1" applyFont="1"/>
    <xf numFmtId="0" fontId="52" fillId="0" borderId="0" xfId="4" applyFont="1"/>
    <xf numFmtId="183" fontId="37" fillId="0" borderId="0" xfId="4" applyNumberFormat="1" applyFont="1" applyAlignment="1">
      <alignment horizontal="right"/>
    </xf>
    <xf numFmtId="0" fontId="1" fillId="0" borderId="0" xfId="0" applyFont="1" applyAlignment="1">
      <alignment horizontal="right"/>
    </xf>
    <xf numFmtId="175" fontId="64" fillId="0" borderId="0" xfId="0" applyNumberFormat="1" applyFont="1"/>
    <xf numFmtId="175" fontId="28" fillId="0" borderId="0" xfId="0" applyNumberFormat="1" applyFont="1"/>
    <xf numFmtId="225" fontId="1" fillId="0" borderId="16" xfId="0" applyNumberFormat="1" applyFont="1" applyBorder="1"/>
    <xf numFmtId="226" fontId="1" fillId="0" borderId="0" xfId="0" applyNumberFormat="1" applyFont="1"/>
    <xf numFmtId="170" fontId="69" fillId="0" borderId="0" xfId="0" applyNumberFormat="1" applyFont="1" applyAlignment="1">
      <alignment vertical="center"/>
    </xf>
    <xf numFmtId="173" fontId="69" fillId="0" borderId="9" xfId="0" applyNumberFormat="1" applyFont="1" applyBorder="1"/>
    <xf numFmtId="175" fontId="69" fillId="0" borderId="11" xfId="0" applyNumberFormat="1" applyFont="1" applyBorder="1"/>
    <xf numFmtId="173" fontId="69" fillId="0" borderId="11" xfId="0" applyNumberFormat="1" applyFont="1" applyBorder="1"/>
    <xf numFmtId="173" fontId="69" fillId="0" borderId="13" xfId="0" applyNumberFormat="1" applyFont="1" applyBorder="1"/>
    <xf numFmtId="194" fontId="69" fillId="0" borderId="13" xfId="1" applyNumberFormat="1" applyFont="1" applyFill="1" applyBorder="1" applyAlignment="1">
      <alignment horizontal="right" vertical="center"/>
    </xf>
    <xf numFmtId="170" fontId="69" fillId="0" borderId="11" xfId="0" applyNumberFormat="1" applyFont="1" applyBorder="1"/>
    <xf numFmtId="197" fontId="69" fillId="0" borderId="0" xfId="0" applyNumberFormat="1" applyFont="1" applyAlignment="1">
      <alignment horizontal="center"/>
    </xf>
    <xf numFmtId="197" fontId="69" fillId="0" borderId="72" xfId="0" applyNumberFormat="1" applyFont="1" applyBorder="1" applyAlignment="1">
      <alignment horizontal="center"/>
    </xf>
    <xf numFmtId="170" fontId="69" fillId="0" borderId="0" xfId="0" applyNumberFormat="1" applyFont="1"/>
    <xf numFmtId="173" fontId="69" fillId="0" borderId="22" xfId="0" applyNumberFormat="1" applyFont="1" applyBorder="1"/>
    <xf numFmtId="173" fontId="69" fillId="0" borderId="24" xfId="0" applyNumberFormat="1" applyFont="1" applyBorder="1"/>
    <xf numFmtId="194" fontId="69" fillId="0" borderId="22" xfId="0" applyNumberFormat="1" applyFont="1" applyBorder="1"/>
    <xf numFmtId="0" fontId="27" fillId="0" borderId="8" xfId="0" applyFont="1" applyBorder="1" applyAlignment="1">
      <alignment horizontal="left"/>
    </xf>
    <xf numFmtId="0" fontId="27" fillId="0" borderId="2" xfId="0" applyFont="1" applyBorder="1" applyAlignment="1">
      <alignment horizontal="left"/>
    </xf>
    <xf numFmtId="0" fontId="22" fillId="0" borderId="74" xfId="0" applyFont="1" applyBorder="1"/>
    <xf numFmtId="0" fontId="50" fillId="0" borderId="75" xfId="0" applyFont="1" applyBorder="1" applyAlignment="1">
      <alignment horizontal="center"/>
    </xf>
    <xf numFmtId="170" fontId="49" fillId="0" borderId="76" xfId="0" applyNumberFormat="1" applyFont="1" applyBorder="1" applyAlignment="1">
      <alignment horizontal="center"/>
    </xf>
    <xf numFmtId="0" fontId="26" fillId="0" borderId="27" xfId="0" applyFont="1" applyBorder="1" applyAlignment="1">
      <alignment horizontal="left"/>
    </xf>
    <xf numFmtId="168" fontId="23" fillId="7" borderId="0" xfId="0" applyNumberFormat="1" applyFont="1" applyFill="1" applyAlignment="1">
      <alignment horizontal="left" vertical="center"/>
    </xf>
    <xf numFmtId="168" fontId="23" fillId="7" borderId="0" xfId="0" applyNumberFormat="1" applyFont="1" applyFill="1" applyAlignment="1">
      <alignment horizontal="left" vertical="top"/>
    </xf>
    <xf numFmtId="0" fontId="70" fillId="0" borderId="0" xfId="0" applyFont="1"/>
    <xf numFmtId="0" fontId="76" fillId="0" borderId="0" xfId="0" applyFont="1"/>
    <xf numFmtId="0" fontId="78" fillId="0" borderId="106" xfId="0" applyFont="1" applyBorder="1" applyAlignment="1" applyProtection="1">
      <alignment vertical="center"/>
      <protection locked="0"/>
    </xf>
    <xf numFmtId="0" fontId="79" fillId="0" borderId="107" xfId="0" applyFont="1" applyBorder="1" applyProtection="1">
      <protection locked="0"/>
    </xf>
    <xf numFmtId="0" fontId="80" fillId="12" borderId="107" xfId="24" applyNumberFormat="1" applyFont="1" applyFill="1" applyBorder="1" applyAlignment="1" applyProtection="1">
      <alignment horizontal="right"/>
      <protection locked="0"/>
    </xf>
    <xf numFmtId="0" fontId="81" fillId="0" borderId="107" xfId="0" applyFont="1" applyBorder="1" applyProtection="1">
      <protection locked="0"/>
    </xf>
    <xf numFmtId="0" fontId="76" fillId="0" borderId="107" xfId="0" applyFont="1" applyBorder="1"/>
    <xf numFmtId="0" fontId="76" fillId="12" borderId="107" xfId="0" applyFont="1" applyFill="1" applyBorder="1"/>
    <xf numFmtId="0" fontId="76" fillId="0" borderId="108" xfId="0" applyFont="1" applyBorder="1"/>
    <xf numFmtId="0" fontId="79" fillId="0" borderId="109" xfId="0" applyFont="1" applyBorder="1" applyAlignment="1" applyProtection="1">
      <alignment vertical="center"/>
      <protection locked="0"/>
    </xf>
    <xf numFmtId="0" fontId="79" fillId="0" borderId="0" xfId="0" applyFont="1"/>
    <xf numFmtId="0" fontId="76" fillId="12" borderId="0" xfId="0" applyFont="1" applyFill="1"/>
    <xf numFmtId="0" fontId="80" fillId="0" borderId="0" xfId="24" applyFont="1" applyBorder="1" applyAlignment="1" applyProtection="1">
      <alignment horizontal="left"/>
    </xf>
    <xf numFmtId="0" fontId="76" fillId="0" borderId="110" xfId="0" applyFont="1" applyBorder="1"/>
    <xf numFmtId="0" fontId="79" fillId="0" borderId="109" xfId="0" applyFont="1" applyBorder="1"/>
    <xf numFmtId="0" fontId="79" fillId="0" borderId="0" xfId="0" applyFont="1" applyAlignment="1">
      <alignment horizontal="right" vertical="center"/>
    </xf>
    <xf numFmtId="229" fontId="79" fillId="0" borderId="78" xfId="0" applyNumberFormat="1" applyFont="1" applyBorder="1" applyAlignment="1">
      <alignment horizontal="center" vertical="center" shrinkToFit="1"/>
    </xf>
    <xf numFmtId="229" fontId="79" fillId="0" borderId="79" xfId="0" applyNumberFormat="1" applyFont="1" applyBorder="1" applyAlignment="1">
      <alignment horizontal="center" vertical="center" shrinkToFit="1"/>
    </xf>
    <xf numFmtId="229" fontId="79" fillId="0" borderId="80" xfId="0" applyNumberFormat="1" applyFont="1" applyBorder="1" applyAlignment="1">
      <alignment horizontal="center" vertical="center" shrinkToFit="1"/>
    </xf>
    <xf numFmtId="229" fontId="79" fillId="0" borderId="111" xfId="0" applyNumberFormat="1" applyFont="1" applyBorder="1" applyAlignment="1">
      <alignment horizontal="center" vertical="center" shrinkToFit="1"/>
    </xf>
    <xf numFmtId="0" fontId="78" fillId="0" borderId="112" xfId="0" applyFont="1" applyBorder="1" applyAlignment="1">
      <alignment horizontal="left" vertical="center"/>
    </xf>
    <xf numFmtId="0" fontId="78" fillId="0" borderId="82" xfId="0" applyFont="1" applyBorder="1" applyAlignment="1">
      <alignment horizontal="left" vertical="center"/>
    </xf>
    <xf numFmtId="0" fontId="78" fillId="0" borderId="82" xfId="0" applyFont="1" applyBorder="1" applyAlignment="1">
      <alignment horizontal="center" vertical="center" wrapText="1"/>
    </xf>
    <xf numFmtId="0" fontId="78" fillId="0" borderId="82" xfId="0" applyFont="1" applyBorder="1" applyAlignment="1">
      <alignment horizontal="center" vertical="center"/>
    </xf>
    <xf numFmtId="0" fontId="79" fillId="0" borderId="83" xfId="0" applyFont="1" applyBorder="1" applyAlignment="1">
      <alignment horizontal="center" vertical="center" shrinkToFit="1"/>
    </xf>
    <xf numFmtId="0" fontId="79" fillId="0" borderId="84" xfId="0" applyFont="1" applyBorder="1" applyAlignment="1">
      <alignment horizontal="center" vertical="center" shrinkToFit="1"/>
    </xf>
    <xf numFmtId="0" fontId="79" fillId="0" borderId="85" xfId="0" applyFont="1" applyBorder="1" applyAlignment="1">
      <alignment horizontal="center" vertical="center" shrinkToFit="1"/>
    </xf>
    <xf numFmtId="0" fontId="79" fillId="0" borderId="113" xfId="0" applyFont="1" applyBorder="1" applyAlignment="1">
      <alignment horizontal="center" vertical="center" shrinkToFit="1"/>
    </xf>
    <xf numFmtId="0" fontId="78" fillId="13" borderId="114" xfId="0" applyFont="1" applyFill="1" applyBorder="1" applyAlignment="1">
      <alignment horizontal="left" vertical="center"/>
    </xf>
    <xf numFmtId="1" fontId="79" fillId="13" borderId="88" xfId="0" applyNumberFormat="1" applyFont="1" applyFill="1" applyBorder="1" applyAlignment="1">
      <alignment horizontal="center" vertical="center"/>
    </xf>
    <xf numFmtId="0" fontId="79" fillId="13" borderId="88" xfId="0" applyFont="1" applyFill="1" applyBorder="1" applyAlignment="1">
      <alignment horizontal="left" vertical="center"/>
    </xf>
    <xf numFmtId="0" fontId="79" fillId="13" borderId="115" xfId="0" applyFont="1" applyFill="1" applyBorder="1" applyAlignment="1">
      <alignment horizontal="left" vertical="center"/>
    </xf>
    <xf numFmtId="0" fontId="79" fillId="13" borderId="89" xfId="0" applyFont="1" applyFill="1" applyBorder="1" applyAlignment="1">
      <alignment vertical="center"/>
    </xf>
    <xf numFmtId="0" fontId="79" fillId="14" borderId="116" xfId="0" applyFont="1" applyFill="1" applyBorder="1" applyAlignment="1">
      <alignment horizontal="left" vertical="center"/>
    </xf>
    <xf numFmtId="0" fontId="79" fillId="14" borderId="90" xfId="0" applyFont="1" applyFill="1" applyBorder="1" applyAlignment="1">
      <alignment vertical="center" wrapText="1"/>
    </xf>
    <xf numFmtId="0" fontId="79" fillId="14" borderId="90" xfId="0" applyFont="1" applyFill="1" applyBorder="1" applyAlignment="1">
      <alignment vertical="center"/>
    </xf>
    <xf numFmtId="0" fontId="82" fillId="0" borderId="90" xfId="0" applyFont="1" applyBorder="1" applyAlignment="1">
      <alignment horizontal="center" vertical="center"/>
    </xf>
    <xf numFmtId="1" fontId="82" fillId="0" borderId="92" xfId="0" applyNumberFormat="1" applyFont="1" applyBorder="1" applyAlignment="1">
      <alignment horizontal="center" vertical="center"/>
    </xf>
    <xf numFmtId="0" fontId="79" fillId="0" borderId="89" xfId="0" applyFont="1" applyBorder="1" applyAlignment="1">
      <alignment horizontal="left" vertical="center"/>
    </xf>
    <xf numFmtId="0" fontId="79" fillId="0" borderId="117" xfId="0" applyFont="1" applyBorder="1" applyAlignment="1">
      <alignment horizontal="left" vertical="center"/>
    </xf>
    <xf numFmtId="0" fontId="79" fillId="0" borderId="89" xfId="0" applyFont="1" applyBorder="1" applyAlignment="1">
      <alignment vertical="center"/>
    </xf>
    <xf numFmtId="0" fontId="79" fillId="14" borderId="118" xfId="0" applyFont="1" applyFill="1" applyBorder="1" applyAlignment="1">
      <alignment horizontal="left" vertical="center"/>
    </xf>
    <xf numFmtId="0" fontId="79" fillId="14" borderId="93" xfId="0" applyFont="1" applyFill="1" applyBorder="1" applyAlignment="1">
      <alignment vertical="center" wrapText="1"/>
    </xf>
    <xf numFmtId="0" fontId="79" fillId="14" borderId="93" xfId="0" applyFont="1" applyFill="1" applyBorder="1" applyAlignment="1">
      <alignment vertical="center"/>
    </xf>
    <xf numFmtId="0" fontId="82" fillId="0" borderId="93" xfId="0" applyFont="1" applyBorder="1" applyAlignment="1">
      <alignment horizontal="center" vertical="center"/>
    </xf>
    <xf numFmtId="0" fontId="79" fillId="14" borderId="119" xfId="0" applyFont="1" applyFill="1" applyBorder="1" applyAlignment="1">
      <alignment horizontal="left" vertical="center"/>
    </xf>
    <xf numFmtId="0" fontId="79" fillId="14" borderId="95" xfId="0" applyFont="1" applyFill="1" applyBorder="1" applyAlignment="1">
      <alignment vertical="center" wrapText="1"/>
    </xf>
    <xf numFmtId="0" fontId="79" fillId="14" borderId="95" xfId="0" applyFont="1" applyFill="1" applyBorder="1" applyAlignment="1">
      <alignment vertical="center"/>
    </xf>
    <xf numFmtId="0" fontId="82" fillId="0" borderId="96" xfId="0" applyFont="1" applyBorder="1" applyAlignment="1">
      <alignment horizontal="center" vertical="center"/>
    </xf>
    <xf numFmtId="0" fontId="78" fillId="13" borderId="120" xfId="0" applyFont="1" applyFill="1" applyBorder="1" applyAlignment="1">
      <alignment horizontal="left" vertical="center"/>
    </xf>
    <xf numFmtId="0" fontId="78" fillId="13" borderId="89" xfId="0" applyFont="1" applyFill="1" applyBorder="1" applyAlignment="1">
      <alignment vertical="center"/>
    </xf>
    <xf numFmtId="0" fontId="79" fillId="13" borderId="89" xfId="0" applyFont="1" applyFill="1" applyBorder="1" applyAlignment="1">
      <alignment horizontal="center" vertical="center"/>
    </xf>
    <xf numFmtId="230" fontId="79" fillId="13" borderId="89" xfId="0" applyNumberFormat="1" applyFont="1" applyFill="1" applyBorder="1" applyAlignment="1">
      <alignment horizontal="center" vertical="center"/>
    </xf>
    <xf numFmtId="1" fontId="79" fillId="13" borderId="89" xfId="1" applyNumberFormat="1" applyFont="1" applyFill="1" applyBorder="1" applyAlignment="1" applyProtection="1">
      <alignment horizontal="center" vertical="center"/>
    </xf>
    <xf numFmtId="9" fontId="79" fillId="13" borderId="89" xfId="1" applyFont="1" applyFill="1" applyBorder="1" applyAlignment="1" applyProtection="1">
      <alignment horizontal="center" vertical="center"/>
    </xf>
    <xf numFmtId="1" fontId="79" fillId="13" borderId="89" xfId="0" applyNumberFormat="1" applyFont="1" applyFill="1" applyBorder="1" applyAlignment="1">
      <alignment horizontal="center" vertical="center"/>
    </xf>
    <xf numFmtId="0" fontId="79" fillId="13" borderId="89" xfId="0" applyFont="1" applyFill="1" applyBorder="1" applyAlignment="1">
      <alignment horizontal="left" vertical="center"/>
    </xf>
    <xf numFmtId="0" fontId="79" fillId="13" borderId="117" xfId="0" applyFont="1" applyFill="1" applyBorder="1" applyAlignment="1">
      <alignment horizontal="left" vertical="center"/>
    </xf>
    <xf numFmtId="0" fontId="79" fillId="18" borderId="121" xfId="0" applyFont="1" applyFill="1" applyBorder="1" applyAlignment="1">
      <alignment horizontal="left" vertical="center"/>
    </xf>
    <xf numFmtId="0" fontId="79" fillId="18" borderId="98" xfId="0" applyFont="1" applyFill="1" applyBorder="1" applyAlignment="1">
      <alignment vertical="center" wrapText="1"/>
    </xf>
    <xf numFmtId="0" fontId="79" fillId="18" borderId="99" xfId="0" applyFont="1" applyFill="1" applyBorder="1" applyAlignment="1">
      <alignment vertical="center"/>
    </xf>
    <xf numFmtId="0" fontId="82" fillId="0" borderId="92" xfId="0" applyFont="1" applyBorder="1" applyAlignment="1">
      <alignment horizontal="center" vertical="center"/>
    </xf>
    <xf numFmtId="0" fontId="79" fillId="18" borderId="122" xfId="0" applyFont="1" applyFill="1" applyBorder="1" applyAlignment="1">
      <alignment horizontal="left" vertical="center"/>
    </xf>
    <xf numFmtId="0" fontId="79" fillId="18" borderId="100" xfId="0" applyFont="1" applyFill="1" applyBorder="1" applyAlignment="1">
      <alignment vertical="center" wrapText="1"/>
    </xf>
    <xf numFmtId="0" fontId="79" fillId="18" borderId="101" xfId="0" applyFont="1" applyFill="1" applyBorder="1" applyAlignment="1">
      <alignment vertical="center"/>
    </xf>
    <xf numFmtId="0" fontId="79" fillId="18" borderId="123" xfId="0" applyFont="1" applyFill="1" applyBorder="1" applyAlignment="1">
      <alignment horizontal="left" vertical="center"/>
    </xf>
    <xf numFmtId="0" fontId="79" fillId="18" borderId="102" xfId="0" applyFont="1" applyFill="1" applyBorder="1" applyAlignment="1">
      <alignment vertical="center" wrapText="1"/>
    </xf>
    <xf numFmtId="0" fontId="79" fillId="18" borderId="103" xfId="0" applyFont="1" applyFill="1" applyBorder="1" applyAlignment="1">
      <alignment vertical="center"/>
    </xf>
    <xf numFmtId="0" fontId="79" fillId="14" borderId="124" xfId="0" applyFont="1" applyFill="1" applyBorder="1" applyAlignment="1">
      <alignment horizontal="left" vertical="center"/>
    </xf>
    <xf numFmtId="0" fontId="79" fillId="14" borderId="104" xfId="0" applyFont="1" applyFill="1" applyBorder="1" applyAlignment="1">
      <alignment vertical="center" wrapText="1"/>
    </xf>
    <xf numFmtId="0" fontId="79" fillId="14" borderId="105" xfId="0" applyFont="1" applyFill="1" applyBorder="1" applyAlignment="1">
      <alignment vertical="center"/>
    </xf>
    <xf numFmtId="0" fontId="79" fillId="14" borderId="121" xfId="0" applyFont="1" applyFill="1" applyBorder="1" applyAlignment="1">
      <alignment horizontal="left" vertical="center"/>
    </xf>
    <xf numFmtId="0" fontId="79" fillId="14" borderId="98" xfId="0" applyFont="1" applyFill="1" applyBorder="1" applyAlignment="1">
      <alignment vertical="center" wrapText="1"/>
    </xf>
    <xf numFmtId="0" fontId="79" fillId="14" borderId="99" xfId="0" applyFont="1" applyFill="1" applyBorder="1" applyAlignment="1">
      <alignment vertical="center"/>
    </xf>
    <xf numFmtId="0" fontId="79" fillId="14" borderId="122" xfId="0" applyFont="1" applyFill="1" applyBorder="1" applyAlignment="1">
      <alignment horizontal="left" vertical="center"/>
    </xf>
    <xf numFmtId="0" fontId="79" fillId="14" borderId="100" xfId="0" applyFont="1" applyFill="1" applyBorder="1" applyAlignment="1">
      <alignment vertical="center" wrapText="1"/>
    </xf>
    <xf numFmtId="0" fontId="79" fillId="14" borderId="101" xfId="0" applyFont="1" applyFill="1" applyBorder="1" applyAlignment="1">
      <alignment vertical="center"/>
    </xf>
    <xf numFmtId="0" fontId="79" fillId="14" borderId="123" xfId="0" applyFont="1" applyFill="1" applyBorder="1" applyAlignment="1">
      <alignment horizontal="left" vertical="center"/>
    </xf>
    <xf numFmtId="0" fontId="79" fillId="14" borderId="102" xfId="0" applyFont="1" applyFill="1" applyBorder="1" applyAlignment="1">
      <alignment vertical="center" wrapText="1"/>
    </xf>
    <xf numFmtId="0" fontId="79" fillId="14" borderId="103" xfId="0" applyFont="1" applyFill="1" applyBorder="1" applyAlignment="1">
      <alignment vertical="center"/>
    </xf>
    <xf numFmtId="0" fontId="79" fillId="19" borderId="121" xfId="0" applyFont="1" applyFill="1" applyBorder="1" applyAlignment="1">
      <alignment horizontal="left" vertical="center"/>
    </xf>
    <xf numFmtId="0" fontId="79" fillId="19" borderId="98" xfId="0" applyFont="1" applyFill="1" applyBorder="1" applyAlignment="1">
      <alignment vertical="center" wrapText="1"/>
    </xf>
    <xf numFmtId="0" fontId="79" fillId="19" borderId="99" xfId="0" applyFont="1" applyFill="1" applyBorder="1" applyAlignment="1">
      <alignment vertical="center"/>
    </xf>
    <xf numFmtId="0" fontId="79" fillId="19" borderId="122" xfId="0" applyFont="1" applyFill="1" applyBorder="1" applyAlignment="1">
      <alignment horizontal="left" vertical="center"/>
    </xf>
    <xf numFmtId="0" fontId="79" fillId="19" borderId="100" xfId="0" applyFont="1" applyFill="1" applyBorder="1" applyAlignment="1">
      <alignment vertical="center" wrapText="1"/>
    </xf>
    <xf numFmtId="0" fontId="79" fillId="19" borderId="101" xfId="0" applyFont="1" applyFill="1" applyBorder="1" applyAlignment="1">
      <alignment vertical="center"/>
    </xf>
    <xf numFmtId="0" fontId="79" fillId="19" borderId="127" xfId="0" applyFont="1" applyFill="1" applyBorder="1" applyAlignment="1">
      <alignment horizontal="left" vertical="center"/>
    </xf>
    <xf numFmtId="0" fontId="79" fillId="19" borderId="128" xfId="0" applyFont="1" applyFill="1" applyBorder="1" applyAlignment="1">
      <alignment vertical="center" wrapText="1"/>
    </xf>
    <xf numFmtId="0" fontId="79" fillId="19" borderId="129" xfId="0" applyFont="1" applyFill="1" applyBorder="1" applyAlignment="1">
      <alignment vertical="center"/>
    </xf>
    <xf numFmtId="0" fontId="82" fillId="0" borderId="130" xfId="0" applyFont="1" applyBorder="1" applyAlignment="1">
      <alignment horizontal="center" vertical="center"/>
    </xf>
    <xf numFmtId="1" fontId="82" fillId="0" borderId="130" xfId="0" applyNumberFormat="1" applyFont="1" applyBorder="1" applyAlignment="1">
      <alignment horizontal="center" vertical="center"/>
    </xf>
    <xf numFmtId="0" fontId="79" fillId="0" borderId="125" xfId="0" applyFont="1" applyBorder="1" applyAlignment="1">
      <alignment horizontal="left" vertical="center"/>
    </xf>
    <xf numFmtId="0" fontId="79" fillId="0" borderId="126" xfId="0" applyFont="1" applyBorder="1" applyAlignment="1">
      <alignment horizontal="left" vertical="center"/>
    </xf>
    <xf numFmtId="0" fontId="80" fillId="0" borderId="0" xfId="24" applyNumberFormat="1" applyFont="1" applyFill="1" applyBorder="1" applyAlignment="1" applyProtection="1"/>
    <xf numFmtId="0" fontId="76" fillId="0" borderId="0" xfId="0" applyFont="1" applyProtection="1">
      <protection locked="0"/>
    </xf>
    <xf numFmtId="0" fontId="83" fillId="0" borderId="77" xfId="0" applyFont="1" applyBorder="1" applyAlignment="1" applyProtection="1">
      <alignment horizontal="center" vertical="center"/>
      <protection locked="0"/>
    </xf>
    <xf numFmtId="230" fontId="83" fillId="15" borderId="90" xfId="0" applyNumberFormat="1" applyFont="1" applyFill="1" applyBorder="1" applyAlignment="1">
      <alignment horizontal="center" vertical="center"/>
    </xf>
    <xf numFmtId="230" fontId="83" fillId="0" borderId="90" xfId="0" applyNumberFormat="1" applyFont="1" applyBorder="1" applyAlignment="1">
      <alignment horizontal="center" vertical="center"/>
    </xf>
    <xf numFmtId="1" fontId="83" fillId="16" borderId="90" xfId="0" applyNumberFormat="1" applyFont="1" applyFill="1" applyBorder="1" applyAlignment="1">
      <alignment horizontal="center" vertical="center"/>
    </xf>
    <xf numFmtId="9" fontId="83" fillId="16" borderId="90" xfId="1" applyFont="1" applyFill="1" applyBorder="1" applyAlignment="1" applyProtection="1">
      <alignment horizontal="center" vertical="center"/>
    </xf>
    <xf numFmtId="230" fontId="83" fillId="15" borderId="93" xfId="0" applyNumberFormat="1" applyFont="1" applyFill="1" applyBorder="1" applyAlignment="1">
      <alignment horizontal="center" vertical="center"/>
    </xf>
    <xf numFmtId="230" fontId="83" fillId="0" borderId="93" xfId="0" applyNumberFormat="1" applyFont="1" applyBorder="1" applyAlignment="1">
      <alignment horizontal="center" vertical="center"/>
    </xf>
    <xf numFmtId="1" fontId="83" fillId="16" borderId="93" xfId="0" applyNumberFormat="1" applyFont="1" applyFill="1" applyBorder="1" applyAlignment="1">
      <alignment horizontal="center" vertical="center"/>
    </xf>
    <xf numFmtId="9" fontId="83" fillId="16" borderId="93" xfId="1" applyFont="1" applyFill="1" applyBorder="1" applyAlignment="1" applyProtection="1">
      <alignment horizontal="center" vertical="center"/>
    </xf>
    <xf numFmtId="230" fontId="83" fillId="15" borderId="96" xfId="0" applyNumberFormat="1" applyFont="1" applyFill="1" applyBorder="1" applyAlignment="1">
      <alignment horizontal="center" vertical="center"/>
    </xf>
    <xf numFmtId="230" fontId="83" fillId="0" borderId="96" xfId="0" applyNumberFormat="1" applyFont="1" applyBorder="1" applyAlignment="1">
      <alignment horizontal="center" vertical="center"/>
    </xf>
    <xf numFmtId="1" fontId="83" fillId="16" borderId="96" xfId="0" applyNumberFormat="1" applyFont="1" applyFill="1" applyBorder="1" applyAlignment="1">
      <alignment horizontal="center" vertical="center"/>
    </xf>
    <xf numFmtId="9" fontId="83" fillId="16" borderId="96" xfId="1" applyFont="1" applyFill="1" applyBorder="1" applyAlignment="1" applyProtection="1">
      <alignment horizontal="center" vertical="center"/>
    </xf>
    <xf numFmtId="230" fontId="83" fillId="15" borderId="92" xfId="0" applyNumberFormat="1" applyFont="1" applyFill="1" applyBorder="1" applyAlignment="1">
      <alignment horizontal="center" vertical="center"/>
    </xf>
    <xf numFmtId="230" fontId="83" fillId="0" borderId="92" xfId="0" applyNumberFormat="1" applyFont="1" applyBorder="1" applyAlignment="1">
      <alignment horizontal="center" vertical="center"/>
    </xf>
    <xf numFmtId="1" fontId="83" fillId="16" borderId="92" xfId="0" applyNumberFormat="1" applyFont="1" applyFill="1" applyBorder="1" applyAlignment="1">
      <alignment horizontal="center" vertical="center"/>
    </xf>
    <xf numFmtId="9" fontId="83" fillId="16" borderId="92" xfId="1" applyFont="1" applyFill="1" applyBorder="1" applyAlignment="1" applyProtection="1">
      <alignment horizontal="center" vertical="center"/>
    </xf>
    <xf numFmtId="230" fontId="83" fillId="15" borderId="130" xfId="0" applyNumberFormat="1" applyFont="1" applyFill="1" applyBorder="1" applyAlignment="1">
      <alignment horizontal="center" vertical="center"/>
    </xf>
    <xf numFmtId="230" fontId="83" fillId="0" borderId="130" xfId="0" applyNumberFormat="1" applyFont="1" applyBorder="1" applyAlignment="1">
      <alignment horizontal="center" vertical="center"/>
    </xf>
    <xf numFmtId="1" fontId="83" fillId="16" borderId="130" xfId="0" applyNumberFormat="1" applyFont="1" applyFill="1" applyBorder="1" applyAlignment="1">
      <alignment horizontal="center" vertical="center"/>
    </xf>
    <xf numFmtId="9" fontId="83" fillId="16" borderId="130" xfId="1" applyFont="1" applyFill="1" applyBorder="1" applyAlignment="1" applyProtection="1">
      <alignment horizontal="center" vertical="center"/>
    </xf>
    <xf numFmtId="1" fontId="79" fillId="17" borderId="91" xfId="0" applyNumberFormat="1" applyFont="1" applyFill="1" applyBorder="1" applyAlignment="1">
      <alignment horizontal="center" vertical="center"/>
    </xf>
    <xf numFmtId="1" fontId="79" fillId="17" borderId="94" xfId="0" applyNumberFormat="1" applyFont="1" applyFill="1" applyBorder="1" applyAlignment="1">
      <alignment horizontal="center" vertical="center"/>
    </xf>
    <xf numFmtId="1" fontId="79" fillId="17" borderId="97" xfId="0" applyNumberFormat="1" applyFont="1" applyFill="1" applyBorder="1" applyAlignment="1">
      <alignment horizontal="center" vertical="center"/>
    </xf>
    <xf numFmtId="1" fontId="79" fillId="17" borderId="92" xfId="0" applyNumberFormat="1" applyFont="1" applyFill="1" applyBorder="1" applyAlignment="1">
      <alignment horizontal="center" vertical="center"/>
    </xf>
    <xf numFmtId="230" fontId="79" fillId="0" borderId="92" xfId="0" applyNumberFormat="1" applyFont="1" applyBorder="1" applyAlignment="1">
      <alignment horizontal="center" vertical="center"/>
    </xf>
    <xf numFmtId="1" fontId="79" fillId="17" borderId="130" xfId="0" applyNumberFormat="1" applyFont="1" applyFill="1" applyBorder="1" applyAlignment="1">
      <alignment horizontal="center" vertical="center"/>
    </xf>
    <xf numFmtId="0" fontId="71" fillId="0" borderId="133" xfId="0" applyFont="1" applyBorder="1"/>
    <xf numFmtId="0" fontId="70" fillId="0" borderId="136" xfId="0" applyFont="1" applyBorder="1"/>
    <xf numFmtId="0" fontId="70" fillId="0" borderId="134" xfId="0" applyFont="1" applyBorder="1"/>
    <xf numFmtId="0" fontId="70" fillId="0" borderId="135" xfId="0" applyFont="1" applyBorder="1"/>
    <xf numFmtId="231" fontId="85" fillId="0" borderId="0" xfId="0" applyNumberFormat="1" applyFont="1"/>
    <xf numFmtId="0" fontId="86" fillId="0" borderId="0" xfId="0" applyFont="1"/>
    <xf numFmtId="0" fontId="88" fillId="5" borderId="0" xfId="0" applyFont="1" applyFill="1" applyAlignment="1">
      <alignment vertical="center"/>
    </xf>
    <xf numFmtId="0" fontId="88" fillId="5" borderId="0" xfId="0" applyFont="1" applyFill="1" applyAlignment="1">
      <alignment horizontal="right" vertical="center"/>
    </xf>
    <xf numFmtId="3" fontId="86" fillId="0" borderId="0" xfId="0" applyNumberFormat="1" applyFont="1"/>
    <xf numFmtId="0" fontId="85" fillId="0" borderId="0" xfId="0" applyFont="1"/>
    <xf numFmtId="4" fontId="86" fillId="0" borderId="0" xfId="0" applyNumberFormat="1" applyFont="1"/>
    <xf numFmtId="4" fontId="86" fillId="0" borderId="0" xfId="0" applyNumberFormat="1" applyFont="1" applyAlignment="1">
      <alignment horizontal="right"/>
    </xf>
    <xf numFmtId="0" fontId="86" fillId="0" borderId="0" xfId="0" applyFont="1" applyAlignment="1">
      <alignment horizontal="right"/>
    </xf>
    <xf numFmtId="213" fontId="89" fillId="0" borderId="0" xfId="13" applyNumberFormat="1" applyFont="1"/>
    <xf numFmtId="213" fontId="86" fillId="0" borderId="0" xfId="0" applyNumberFormat="1" applyFont="1"/>
    <xf numFmtId="165" fontId="89" fillId="0" borderId="0" xfId="13" applyFont="1"/>
    <xf numFmtId="165" fontId="86" fillId="0" borderId="0" xfId="13" applyFont="1"/>
    <xf numFmtId="0" fontId="85" fillId="0" borderId="131" xfId="0" applyFont="1" applyBorder="1"/>
    <xf numFmtId="0" fontId="90" fillId="0" borderId="0" xfId="25" applyFont="1"/>
    <xf numFmtId="165" fontId="85" fillId="0" borderId="0" xfId="0" applyNumberFormat="1" applyFont="1"/>
    <xf numFmtId="0" fontId="86" fillId="0" borderId="0" xfId="0" applyFont="1" applyAlignment="1">
      <alignment wrapText="1"/>
    </xf>
    <xf numFmtId="165" fontId="86" fillId="0" borderId="0" xfId="0" applyNumberFormat="1" applyFont="1"/>
    <xf numFmtId="0" fontId="86" fillId="0" borderId="0" xfId="0" applyFont="1" applyAlignment="1">
      <alignment vertical="center" wrapText="1"/>
    </xf>
    <xf numFmtId="0" fontId="86" fillId="0" borderId="131" xfId="0" applyFont="1" applyBorder="1"/>
    <xf numFmtId="0" fontId="85" fillId="0" borderId="132" xfId="0" applyFont="1" applyBorder="1"/>
    <xf numFmtId="0" fontId="86" fillId="0" borderId="132" xfId="0" applyFont="1" applyBorder="1"/>
    <xf numFmtId="43" fontId="86" fillId="0" borderId="0" xfId="0" applyNumberFormat="1" applyFont="1"/>
    <xf numFmtId="192" fontId="89" fillId="0" borderId="0" xfId="13" applyNumberFormat="1" applyFont="1"/>
    <xf numFmtId="213" fontId="91" fillId="0" borderId="0" xfId="0" applyNumberFormat="1" applyFont="1"/>
    <xf numFmtId="165" fontId="91" fillId="0" borderId="0" xfId="13" applyFont="1"/>
    <xf numFmtId="165" fontId="91" fillId="0" borderId="131" xfId="0" applyNumberFormat="1" applyFont="1" applyBorder="1"/>
    <xf numFmtId="165" fontId="92" fillId="0" borderId="131" xfId="0" applyNumberFormat="1" applyFont="1" applyBorder="1"/>
    <xf numFmtId="213" fontId="92" fillId="0" borderId="131" xfId="0" applyNumberFormat="1" applyFont="1" applyBorder="1"/>
    <xf numFmtId="213" fontId="92" fillId="0" borderId="0" xfId="13" applyNumberFormat="1" applyFont="1"/>
    <xf numFmtId="165" fontId="91" fillId="0" borderId="0" xfId="0" applyNumberFormat="1" applyFont="1"/>
    <xf numFmtId="165" fontId="92" fillId="0" borderId="132" xfId="0" applyNumberFormat="1" applyFont="1" applyBorder="1"/>
    <xf numFmtId="192" fontId="91" fillId="0" borderId="0" xfId="0" applyNumberFormat="1" applyFont="1"/>
    <xf numFmtId="192" fontId="86" fillId="0" borderId="0" xfId="0" applyNumberFormat="1" applyFont="1"/>
    <xf numFmtId="0" fontId="93" fillId="0" borderId="0" xfId="25" applyFont="1"/>
    <xf numFmtId="0" fontId="86" fillId="0" borderId="0" xfId="0" applyFont="1" applyAlignment="1">
      <alignment horizontal="left" indent="2"/>
    </xf>
    <xf numFmtId="192" fontId="91" fillId="0" borderId="0" xfId="13" applyNumberFormat="1" applyFont="1"/>
    <xf numFmtId="213" fontId="89" fillId="0" borderId="0" xfId="0" applyNumberFormat="1" applyFont="1"/>
    <xf numFmtId="192" fontId="92" fillId="0" borderId="131" xfId="0" applyNumberFormat="1" applyFont="1" applyBorder="1"/>
    <xf numFmtId="0" fontId="87" fillId="20" borderId="0" xfId="0" applyFont="1" applyFill="1"/>
    <xf numFmtId="213" fontId="92" fillId="0" borderId="0" xfId="0" applyNumberFormat="1" applyFont="1"/>
    <xf numFmtId="213" fontId="91" fillId="0" borderId="0" xfId="13" applyNumberFormat="1" applyFont="1"/>
    <xf numFmtId="213" fontId="90" fillId="0" borderId="0" xfId="13" applyNumberFormat="1" applyFont="1"/>
    <xf numFmtId="10" fontId="90" fillId="0" borderId="0" xfId="1" applyNumberFormat="1" applyFont="1"/>
    <xf numFmtId="213" fontId="90" fillId="0" borderId="0" xfId="0" applyNumberFormat="1" applyFont="1"/>
    <xf numFmtId="165" fontId="92" fillId="0" borderId="0" xfId="0" applyNumberFormat="1" applyFont="1"/>
    <xf numFmtId="0" fontId="91" fillId="0" borderId="0" xfId="25" applyFont="1"/>
    <xf numFmtId="0" fontId="85" fillId="0" borderId="0" xfId="0" applyFont="1" applyAlignment="1">
      <alignment horizontal="right"/>
    </xf>
    <xf numFmtId="0" fontId="88" fillId="0" borderId="0" xfId="0" applyFont="1" applyAlignment="1">
      <alignment vertical="center"/>
    </xf>
    <xf numFmtId="213" fontId="88" fillId="0" borderId="0" xfId="0" applyNumberFormat="1" applyFont="1" applyAlignment="1">
      <alignment vertical="center"/>
    </xf>
    <xf numFmtId="0" fontId="95" fillId="0" borderId="0" xfId="25" applyFont="1" applyAlignment="1">
      <alignment horizontal="left" indent="1"/>
    </xf>
    <xf numFmtId="43" fontId="95" fillId="0" borderId="0" xfId="0" applyNumberFormat="1" applyFont="1"/>
    <xf numFmtId="192" fontId="95" fillId="0" borderId="0" xfId="0" applyNumberFormat="1" applyFont="1"/>
    <xf numFmtId="192" fontId="92" fillId="0" borderId="0" xfId="0" applyNumberFormat="1" applyFont="1"/>
    <xf numFmtId="192" fontId="90" fillId="0" borderId="0" xfId="13" applyNumberFormat="1" applyFont="1"/>
    <xf numFmtId="192" fontId="94" fillId="0" borderId="0" xfId="13" applyNumberFormat="1" applyFont="1"/>
    <xf numFmtId="192" fontId="92" fillId="0" borderId="132" xfId="0" applyNumberFormat="1" applyFont="1" applyBorder="1"/>
    <xf numFmtId="0" fontId="96" fillId="0" borderId="0" xfId="0" applyFont="1" applyAlignment="1">
      <alignment vertical="center"/>
    </xf>
    <xf numFmtId="0" fontId="96" fillId="9" borderId="0" xfId="0" applyFont="1" applyFill="1" applyAlignment="1">
      <alignment vertical="center"/>
    </xf>
    <xf numFmtId="0" fontId="97" fillId="9" borderId="0" xfId="2" applyFont="1" applyFill="1" applyAlignment="1">
      <alignment horizontal="center" vertical="center"/>
    </xf>
    <xf numFmtId="0" fontId="98" fillId="0" borderId="0" xfId="0" applyFont="1" applyAlignment="1">
      <alignment horizontal="left" vertical="center"/>
    </xf>
    <xf numFmtId="0" fontId="99" fillId="0" borderId="0" xfId="0" applyFont="1" applyAlignment="1">
      <alignment vertical="center"/>
    </xf>
    <xf numFmtId="167" fontId="99" fillId="0" borderId="0" xfId="5" applyNumberFormat="1" applyFont="1" applyAlignment="1" applyProtection="1">
      <alignment vertical="center"/>
      <protection locked="0"/>
    </xf>
    <xf numFmtId="167" fontId="100" fillId="0" borderId="0" xfId="5" applyNumberFormat="1" applyFont="1" applyAlignment="1" applyProtection="1">
      <alignment vertical="center"/>
      <protection locked="0"/>
    </xf>
    <xf numFmtId="167" fontId="100" fillId="0" borderId="0" xfId="5" applyNumberFormat="1" applyFont="1" applyAlignment="1" applyProtection="1">
      <alignment horizontal="center" vertical="center"/>
      <protection locked="0"/>
    </xf>
    <xf numFmtId="167" fontId="100" fillId="0" borderId="0" xfId="5" applyNumberFormat="1" applyFont="1" applyAlignment="1">
      <alignment horizontal="right" vertical="center"/>
    </xf>
    <xf numFmtId="0" fontId="101" fillId="5" borderId="0" xfId="0" applyFont="1" applyFill="1" applyAlignment="1">
      <alignment vertical="center"/>
    </xf>
    <xf numFmtId="37" fontId="102" fillId="5" borderId="0" xfId="0" applyNumberFormat="1" applyFont="1" applyFill="1" applyAlignment="1">
      <alignment vertical="center"/>
    </xf>
    <xf numFmtId="37" fontId="97" fillId="5" borderId="0" xfId="0" applyNumberFormat="1" applyFont="1" applyFill="1" applyAlignment="1">
      <alignment vertical="center"/>
    </xf>
    <xf numFmtId="37" fontId="103" fillId="5" borderId="0" xfId="0" applyNumberFormat="1" applyFont="1" applyFill="1" applyAlignment="1">
      <alignment vertical="center"/>
    </xf>
    <xf numFmtId="168" fontId="97" fillId="5" borderId="0" xfId="0" applyNumberFormat="1" applyFont="1" applyFill="1" applyAlignment="1">
      <alignment horizontal="right" vertical="center"/>
    </xf>
    <xf numFmtId="37" fontId="104" fillId="0" borderId="0" xfId="0" applyNumberFormat="1" applyFont="1" applyAlignment="1">
      <alignment vertical="center"/>
    </xf>
    <xf numFmtId="37" fontId="97" fillId="0" borderId="0" xfId="0" applyNumberFormat="1" applyFont="1" applyAlignment="1">
      <alignment vertical="center"/>
    </xf>
    <xf numFmtId="37" fontId="103" fillId="0" borderId="0" xfId="0" applyNumberFormat="1" applyFont="1" applyAlignment="1">
      <alignment vertical="center"/>
    </xf>
    <xf numFmtId="168" fontId="97" fillId="0" borderId="0" xfId="0" applyNumberFormat="1" applyFont="1" applyAlignment="1">
      <alignment horizontal="right" vertical="center"/>
    </xf>
    <xf numFmtId="168" fontId="97" fillId="0" borderId="0" xfId="7" applyNumberFormat="1" applyFont="1" applyAlignment="1">
      <alignment horizontal="right" vertical="center"/>
    </xf>
    <xf numFmtId="168" fontId="97" fillId="0" borderId="37" xfId="7" applyNumberFormat="1" applyFont="1" applyBorder="1" applyAlignment="1">
      <alignment horizontal="right" vertical="center"/>
    </xf>
    <xf numFmtId="166" fontId="105" fillId="0" borderId="0" xfId="0" applyNumberFormat="1" applyFont="1" applyAlignment="1">
      <alignment vertical="center"/>
    </xf>
    <xf numFmtId="168" fontId="106" fillId="0" borderId="0" xfId="0" applyNumberFormat="1" applyFont="1" applyAlignment="1">
      <alignment horizontal="right" vertical="center"/>
    </xf>
    <xf numFmtId="168" fontId="106" fillId="0" borderId="38" xfId="7" applyNumberFormat="1" applyFont="1" applyBorder="1" applyAlignment="1">
      <alignment horizontal="right" vertical="center"/>
    </xf>
    <xf numFmtId="169" fontId="106" fillId="0" borderId="38" xfId="0" applyNumberFormat="1" applyFont="1" applyBorder="1" applyAlignment="1">
      <alignment horizontal="right" vertical="center"/>
    </xf>
    <xf numFmtId="169" fontId="106" fillId="0" borderId="0" xfId="0" applyNumberFormat="1" applyFont="1" applyAlignment="1">
      <alignment horizontal="right" vertical="center"/>
    </xf>
    <xf numFmtId="37" fontId="99" fillId="0" borderId="0" xfId="0" applyNumberFormat="1" applyFont="1" applyAlignment="1">
      <alignment vertical="center"/>
    </xf>
    <xf numFmtId="0" fontId="107" fillId="0" borderId="7" xfId="0" applyFont="1" applyBorder="1" applyAlignment="1">
      <alignment horizontal="left" vertical="center"/>
    </xf>
    <xf numFmtId="0" fontId="96" fillId="0" borderId="8" xfId="0" applyFont="1" applyBorder="1" applyAlignment="1">
      <alignment vertical="center"/>
    </xf>
    <xf numFmtId="0" fontId="107" fillId="0" borderId="8" xfId="0" applyFont="1" applyBorder="1" applyAlignment="1">
      <alignment vertical="center"/>
    </xf>
    <xf numFmtId="0" fontId="107" fillId="0" borderId="9" xfId="0" applyFont="1" applyBorder="1" applyAlignment="1">
      <alignment vertical="center"/>
    </xf>
    <xf numFmtId="0" fontId="105" fillId="0" borderId="0" xfId="0" applyFont="1" applyAlignment="1">
      <alignment horizontal="center" vertical="center"/>
    </xf>
    <xf numFmtId="172" fontId="108" fillId="0" borderId="0" xfId="0" applyNumberFormat="1" applyFont="1" applyAlignment="1">
      <alignment vertical="center"/>
    </xf>
    <xf numFmtId="172" fontId="96" fillId="4" borderId="54" xfId="0" applyNumberFormat="1" applyFont="1" applyFill="1" applyBorder="1" applyAlignment="1">
      <alignment vertical="center"/>
    </xf>
    <xf numFmtId="172" fontId="96" fillId="4" borderId="28" xfId="0" applyNumberFormat="1" applyFont="1" applyFill="1" applyBorder="1" applyAlignment="1">
      <alignment vertical="center"/>
    </xf>
    <xf numFmtId="172" fontId="96" fillId="4" borderId="55" xfId="0" applyNumberFormat="1" applyFont="1" applyFill="1" applyBorder="1" applyAlignment="1">
      <alignment vertical="center"/>
    </xf>
    <xf numFmtId="0" fontId="107" fillId="0" borderId="10" xfId="0" applyFont="1" applyBorder="1" applyAlignment="1">
      <alignment horizontal="left" vertical="center"/>
    </xf>
    <xf numFmtId="0" fontId="107" fillId="0" borderId="0" xfId="0" applyFont="1" applyAlignment="1">
      <alignment vertical="center"/>
    </xf>
    <xf numFmtId="0" fontId="107" fillId="0" borderId="11" xfId="0" applyFont="1" applyBorder="1" applyAlignment="1">
      <alignment vertical="center"/>
    </xf>
    <xf numFmtId="172" fontId="96" fillId="4" borderId="56" xfId="0" applyNumberFormat="1" applyFont="1" applyFill="1" applyBorder="1" applyAlignment="1">
      <alignment vertical="center"/>
    </xf>
    <xf numFmtId="172" fontId="96" fillId="4" borderId="27" xfId="0" applyNumberFormat="1" applyFont="1" applyFill="1" applyBorder="1" applyAlignment="1">
      <alignment vertical="center"/>
    </xf>
    <xf numFmtId="172" fontId="96" fillId="4" borderId="57" xfId="0" applyNumberFormat="1" applyFont="1" applyFill="1" applyBorder="1" applyAlignment="1">
      <alignment vertical="center"/>
    </xf>
    <xf numFmtId="0" fontId="107" fillId="0" borderId="12" xfId="0" applyFont="1" applyBorder="1" applyAlignment="1">
      <alignment horizontal="left" vertical="center"/>
    </xf>
    <xf numFmtId="0" fontId="96" fillId="0" borderId="2" xfId="0" applyFont="1" applyBorder="1" applyAlignment="1">
      <alignment vertical="center"/>
    </xf>
    <xf numFmtId="0" fontId="107" fillId="0" borderId="2" xfId="0" applyFont="1" applyBorder="1" applyAlignment="1">
      <alignment vertical="center"/>
    </xf>
    <xf numFmtId="192" fontId="107" fillId="0" borderId="13" xfId="13" applyNumberFormat="1" applyFont="1" applyFill="1" applyBorder="1" applyAlignment="1">
      <alignment vertical="center"/>
    </xf>
    <xf numFmtId="0" fontId="107" fillId="0" borderId="0" xfId="0" applyFont="1" applyAlignment="1">
      <alignment horizontal="left" vertical="center"/>
    </xf>
    <xf numFmtId="0" fontId="109" fillId="0" borderId="0" xfId="0" applyFont="1" applyAlignment="1">
      <alignment horizontal="left" vertical="center"/>
    </xf>
    <xf numFmtId="181" fontId="108" fillId="0" borderId="0" xfId="0" applyNumberFormat="1" applyFont="1" applyAlignment="1">
      <alignment vertical="center"/>
    </xf>
    <xf numFmtId="172" fontId="107" fillId="0" borderId="0" xfId="0" applyNumberFormat="1" applyFont="1" applyAlignment="1">
      <alignment vertical="center"/>
    </xf>
    <xf numFmtId="173" fontId="107" fillId="0" borderId="0" xfId="0" applyNumberFormat="1" applyFont="1" applyAlignment="1">
      <alignment vertical="center"/>
    </xf>
    <xf numFmtId="173" fontId="96" fillId="0" borderId="0" xfId="0" applyNumberFormat="1" applyFont="1" applyAlignment="1">
      <alignment vertical="center"/>
    </xf>
    <xf numFmtId="170" fontId="108" fillId="0" borderId="0" xfId="0" applyNumberFormat="1" applyFont="1" applyAlignment="1">
      <alignment vertical="center"/>
    </xf>
    <xf numFmtId="170" fontId="107" fillId="0" borderId="0" xfId="0" applyNumberFormat="1" applyFont="1" applyAlignment="1">
      <alignment vertical="center"/>
    </xf>
    <xf numFmtId="170" fontId="96" fillId="4" borderId="2" xfId="0" applyNumberFormat="1" applyFont="1" applyFill="1" applyBorder="1" applyAlignment="1">
      <alignment vertical="center"/>
    </xf>
    <xf numFmtId="0" fontId="107" fillId="0" borderId="2" xfId="0" applyFont="1" applyBorder="1" applyAlignment="1">
      <alignment horizontal="left" vertical="center"/>
    </xf>
    <xf numFmtId="37" fontId="97" fillId="0" borderId="2" xfId="0" applyNumberFormat="1" applyFont="1" applyBorder="1" applyAlignment="1">
      <alignment vertical="center"/>
    </xf>
    <xf numFmtId="0" fontId="105" fillId="0" borderId="2" xfId="0" applyFont="1" applyBorder="1" applyAlignment="1">
      <alignment horizontal="center" vertical="center"/>
    </xf>
    <xf numFmtId="168" fontId="106" fillId="0" borderId="2" xfId="0" applyNumberFormat="1" applyFont="1" applyBorder="1" applyAlignment="1">
      <alignment horizontal="right" vertical="center"/>
    </xf>
    <xf numFmtId="170" fontId="107" fillId="0" borderId="2" xfId="0" applyNumberFormat="1" applyFont="1" applyBorder="1" applyAlignment="1">
      <alignment vertical="center"/>
    </xf>
    <xf numFmtId="172" fontId="107" fillId="4" borderId="0" xfId="0" applyNumberFormat="1" applyFont="1" applyFill="1" applyAlignment="1">
      <alignment vertical="center"/>
    </xf>
    <xf numFmtId="170" fontId="107" fillId="0" borderId="8" xfId="0" applyNumberFormat="1" applyFont="1" applyBorder="1" applyAlignment="1">
      <alignment vertical="center"/>
    </xf>
    <xf numFmtId="174" fontId="107" fillId="0" borderId="0" xfId="1" applyNumberFormat="1" applyFont="1" applyFill="1" applyBorder="1" applyAlignment="1">
      <alignment vertical="center"/>
    </xf>
    <xf numFmtId="173" fontId="107" fillId="4" borderId="2" xfId="0" applyNumberFormat="1" applyFont="1" applyFill="1" applyBorder="1" applyAlignment="1">
      <alignment vertical="center"/>
    </xf>
    <xf numFmtId="175" fontId="108" fillId="0" borderId="0" xfId="0" applyNumberFormat="1" applyFont="1" applyAlignment="1">
      <alignment vertical="center"/>
    </xf>
    <xf numFmtId="175" fontId="96" fillId="0" borderId="0" xfId="0" applyNumberFormat="1" applyFont="1" applyAlignment="1">
      <alignment vertical="center"/>
    </xf>
    <xf numFmtId="175" fontId="107" fillId="0" borderId="0" xfId="0" applyNumberFormat="1" applyFont="1" applyAlignment="1">
      <alignment vertical="center"/>
    </xf>
    <xf numFmtId="200" fontId="107" fillId="0" borderId="44" xfId="0" applyNumberFormat="1" applyFont="1" applyBorder="1" applyAlignment="1">
      <alignment horizontal="right" vertical="center"/>
    </xf>
    <xf numFmtId="200" fontId="107" fillId="0" borderId="45" xfId="0" applyNumberFormat="1" applyFont="1" applyBorder="1" applyAlignment="1">
      <alignment horizontal="right" vertical="center"/>
    </xf>
    <xf numFmtId="200" fontId="107" fillId="0" borderId="46" xfId="0" applyNumberFormat="1" applyFont="1" applyBorder="1" applyAlignment="1">
      <alignment horizontal="right" vertical="center"/>
    </xf>
    <xf numFmtId="200" fontId="107" fillId="0" borderId="0" xfId="0" applyNumberFormat="1" applyFont="1" applyAlignment="1">
      <alignment horizontal="right" vertical="center"/>
    </xf>
    <xf numFmtId="0" fontId="99" fillId="0" borderId="2" xfId="0" applyFont="1" applyBorder="1" applyAlignment="1">
      <alignment vertical="center"/>
    </xf>
    <xf numFmtId="170" fontId="110" fillId="0" borderId="14" xfId="0" applyNumberFormat="1" applyFont="1" applyBorder="1" applyAlignment="1">
      <alignment vertical="center"/>
    </xf>
    <xf numFmtId="0" fontId="107" fillId="0" borderId="54" xfId="0" applyFont="1" applyBorder="1" applyAlignment="1">
      <alignment horizontal="left" vertical="center"/>
    </xf>
    <xf numFmtId="0" fontId="96" fillId="0" borderId="28" xfId="0" applyFont="1" applyBorder="1" applyAlignment="1">
      <alignment vertical="center"/>
    </xf>
    <xf numFmtId="0" fontId="107" fillId="0" borderId="28" xfId="0" applyFont="1" applyBorder="1" applyAlignment="1">
      <alignment vertical="center"/>
    </xf>
    <xf numFmtId="0" fontId="107" fillId="0" borderId="55" xfId="0" applyFont="1" applyBorder="1" applyAlignment="1">
      <alignment vertical="center"/>
    </xf>
    <xf numFmtId="0" fontId="107" fillId="0" borderId="56" xfId="0" applyFont="1" applyBorder="1" applyAlignment="1">
      <alignment horizontal="left" vertical="center"/>
    </xf>
    <xf numFmtId="0" fontId="96" fillId="0" borderId="27" xfId="0" applyFont="1" applyBorder="1" applyAlignment="1">
      <alignment vertical="center"/>
    </xf>
    <xf numFmtId="0" fontId="107" fillId="0" borderId="27" xfId="0" applyFont="1" applyBorder="1" applyAlignment="1">
      <alignment vertical="center"/>
    </xf>
    <xf numFmtId="0" fontId="107" fillId="0" borderId="57" xfId="0" applyFont="1" applyBorder="1" applyAlignment="1">
      <alignment vertical="center"/>
    </xf>
    <xf numFmtId="168" fontId="106" fillId="0" borderId="50" xfId="0" applyNumberFormat="1" applyFont="1" applyBorder="1" applyAlignment="1">
      <alignment horizontal="right" vertical="center"/>
    </xf>
    <xf numFmtId="170" fontId="96" fillId="4" borderId="8" xfId="0" applyNumberFormat="1" applyFont="1" applyFill="1" applyBorder="1" applyAlignment="1">
      <alignment vertical="center"/>
    </xf>
    <xf numFmtId="170" fontId="96" fillId="4" borderId="9" xfId="0" applyNumberFormat="1" applyFont="1" applyFill="1" applyBorder="1" applyAlignment="1">
      <alignment vertical="center"/>
    </xf>
    <xf numFmtId="170" fontId="96" fillId="4" borderId="0" xfId="0" applyNumberFormat="1" applyFont="1" applyFill="1" applyAlignment="1">
      <alignment vertical="center"/>
    </xf>
    <xf numFmtId="170" fontId="96" fillId="4" borderId="11" xfId="0" applyNumberFormat="1" applyFont="1" applyFill="1" applyBorder="1" applyAlignment="1">
      <alignment vertical="center"/>
    </xf>
    <xf numFmtId="173" fontId="108" fillId="0" borderId="0" xfId="0" applyNumberFormat="1" applyFont="1" applyAlignment="1">
      <alignment vertical="center"/>
    </xf>
    <xf numFmtId="173" fontId="108" fillId="0" borderId="50" xfId="0" applyNumberFormat="1" applyFont="1" applyBorder="1" applyAlignment="1">
      <alignment vertical="center"/>
    </xf>
    <xf numFmtId="173" fontId="107" fillId="4" borderId="13" xfId="0" applyNumberFormat="1" applyFont="1" applyFill="1" applyBorder="1" applyAlignment="1">
      <alignment vertical="center"/>
    </xf>
    <xf numFmtId="0" fontId="107" fillId="0" borderId="33" xfId="0" applyFont="1" applyBorder="1" applyAlignment="1">
      <alignment horizontal="left" vertical="center"/>
    </xf>
    <xf numFmtId="0" fontId="96" fillId="0" borderId="34" xfId="0" applyFont="1" applyBorder="1" applyAlignment="1">
      <alignment vertical="center"/>
    </xf>
    <xf numFmtId="0" fontId="107" fillId="0" borderId="34" xfId="0" applyFont="1" applyBorder="1" applyAlignment="1">
      <alignment vertical="center"/>
    </xf>
    <xf numFmtId="172" fontId="111" fillId="0" borderId="0" xfId="0" applyNumberFormat="1" applyFont="1" applyAlignment="1">
      <alignment horizontal="centerContinuous" vertical="center"/>
    </xf>
    <xf numFmtId="174" fontId="107" fillId="0" borderId="0" xfId="1" applyNumberFormat="1" applyFont="1" applyAlignment="1">
      <alignment vertical="center"/>
    </xf>
    <xf numFmtId="170" fontId="108" fillId="0" borderId="2" xfId="0" applyNumberFormat="1" applyFont="1" applyBorder="1" applyAlignment="1">
      <alignment vertical="center"/>
    </xf>
    <xf numFmtId="170" fontId="96" fillId="0" borderId="2" xfId="0" applyNumberFormat="1" applyFont="1" applyBorder="1" applyAlignment="1">
      <alignment vertical="center"/>
    </xf>
    <xf numFmtId="172" fontId="107" fillId="0" borderId="2" xfId="0" applyNumberFormat="1" applyFont="1" applyBorder="1" applyAlignment="1">
      <alignment vertical="center"/>
    </xf>
    <xf numFmtId="10" fontId="107" fillId="0" borderId="0" xfId="1" applyNumberFormat="1" applyFont="1" applyAlignment="1">
      <alignment vertical="center"/>
    </xf>
    <xf numFmtId="177" fontId="107" fillId="0" borderId="0" xfId="0" applyNumberFormat="1" applyFont="1" applyAlignment="1">
      <alignment vertical="center"/>
    </xf>
    <xf numFmtId="175" fontId="107" fillId="0" borderId="2" xfId="0" applyNumberFormat="1" applyFont="1" applyBorder="1" applyAlignment="1">
      <alignment vertical="center"/>
    </xf>
    <xf numFmtId="170" fontId="96" fillId="0" borderId="0" xfId="0" applyNumberFormat="1" applyFont="1" applyAlignment="1">
      <alignment vertical="center"/>
    </xf>
    <xf numFmtId="0" fontId="107" fillId="0" borderId="35" xfId="0" applyFont="1" applyBorder="1" applyAlignment="1">
      <alignment vertical="center"/>
    </xf>
    <xf numFmtId="170" fontId="107" fillId="0" borderId="3" xfId="0" applyNumberFormat="1" applyFont="1" applyBorder="1" applyAlignment="1">
      <alignment vertical="center"/>
    </xf>
    <xf numFmtId="174" fontId="108" fillId="0" borderId="2" xfId="1" applyNumberFormat="1" applyFont="1" applyFill="1" applyBorder="1" applyAlignment="1">
      <alignment vertical="center"/>
    </xf>
    <xf numFmtId="168" fontId="106" fillId="0" borderId="15" xfId="0" applyNumberFormat="1" applyFont="1" applyBorder="1" applyAlignment="1">
      <alignment horizontal="right" vertical="center"/>
    </xf>
    <xf numFmtId="173" fontId="96" fillId="0" borderId="5" xfId="0" applyNumberFormat="1" applyFont="1" applyBorder="1" applyAlignment="1">
      <alignment vertical="center"/>
    </xf>
    <xf numFmtId="173" fontId="96" fillId="0" borderId="6" xfId="0" applyNumberFormat="1" applyFont="1" applyBorder="1" applyAlignment="1">
      <alignment vertical="center"/>
    </xf>
    <xf numFmtId="170" fontId="108" fillId="0" borderId="0" xfId="0" applyNumberFormat="1" applyFont="1" applyAlignment="1">
      <alignment horizontal="right" vertical="center"/>
    </xf>
    <xf numFmtId="170" fontId="96" fillId="4" borderId="0" xfId="0" applyNumberFormat="1" applyFont="1" applyFill="1" applyAlignment="1">
      <alignment horizontal="right" vertical="center"/>
    </xf>
    <xf numFmtId="170" fontId="108" fillId="0" borderId="2" xfId="0" applyNumberFormat="1" applyFont="1" applyBorder="1" applyAlignment="1">
      <alignment horizontal="right" vertical="center"/>
    </xf>
    <xf numFmtId="170" fontId="96" fillId="4" borderId="2" xfId="0" applyNumberFormat="1" applyFont="1" applyFill="1" applyBorder="1" applyAlignment="1">
      <alignment horizontal="right" vertical="center"/>
    </xf>
    <xf numFmtId="0" fontId="106" fillId="0" borderId="0" xfId="0" applyFont="1" applyAlignment="1">
      <alignment vertical="center"/>
    </xf>
    <xf numFmtId="170" fontId="106" fillId="0" borderId="0" xfId="0" applyNumberFormat="1" applyFont="1" applyAlignment="1">
      <alignment horizontal="right" vertical="center"/>
    </xf>
    <xf numFmtId="170" fontId="106" fillId="4" borderId="0" xfId="0" applyNumberFormat="1" applyFont="1" applyFill="1" applyAlignment="1">
      <alignment horizontal="right" vertical="center"/>
    </xf>
    <xf numFmtId="174" fontId="106" fillId="0" borderId="0" xfId="1" applyNumberFormat="1" applyFont="1" applyFill="1" applyAlignment="1">
      <alignment horizontal="right" vertical="center"/>
    </xf>
    <xf numFmtId="9" fontId="106" fillId="0" borderId="0" xfId="1" applyFont="1" applyAlignment="1">
      <alignment horizontal="right" vertical="center"/>
    </xf>
    <xf numFmtId="9" fontId="98" fillId="0" borderId="0" xfId="0" applyNumberFormat="1" applyFont="1" applyAlignment="1">
      <alignment horizontal="left" vertical="center"/>
    </xf>
    <xf numFmtId="170" fontId="96" fillId="0" borderId="0" xfId="0" applyNumberFormat="1" applyFont="1" applyAlignment="1">
      <alignment horizontal="right" vertical="center"/>
    </xf>
    <xf numFmtId="170" fontId="107" fillId="0" borderId="0" xfId="0" applyNumberFormat="1" applyFont="1" applyAlignment="1">
      <alignment horizontal="right" vertical="center"/>
    </xf>
    <xf numFmtId="170" fontId="107" fillId="4" borderId="0" xfId="0" applyNumberFormat="1" applyFont="1" applyFill="1" applyAlignment="1">
      <alignment horizontal="right" vertical="center"/>
    </xf>
    <xf numFmtId="170" fontId="108" fillId="0" borderId="1" xfId="0" applyNumberFormat="1" applyFont="1" applyBorder="1" applyAlignment="1">
      <alignment horizontal="right" vertical="center"/>
    </xf>
    <xf numFmtId="170" fontId="96" fillId="0" borderId="1" xfId="0" applyNumberFormat="1" applyFont="1" applyBorder="1" applyAlignment="1">
      <alignment horizontal="right" vertical="center"/>
    </xf>
    <xf numFmtId="170" fontId="106" fillId="0" borderId="3" xfId="0" applyNumberFormat="1" applyFont="1" applyBorder="1" applyAlignment="1">
      <alignment horizontal="right" vertical="center"/>
    </xf>
    <xf numFmtId="170" fontId="106" fillId="4" borderId="3" xfId="0" applyNumberFormat="1" applyFont="1" applyFill="1" applyBorder="1" applyAlignment="1">
      <alignment horizontal="right" vertical="center"/>
    </xf>
    <xf numFmtId="171" fontId="106" fillId="0" borderId="0" xfId="0" applyNumberFormat="1" applyFont="1" applyAlignment="1">
      <alignment vertical="center"/>
    </xf>
    <xf numFmtId="37" fontId="104" fillId="0" borderId="0" xfId="7" applyNumberFormat="1" applyFont="1" applyAlignment="1">
      <alignment vertical="center"/>
    </xf>
    <xf numFmtId="37" fontId="97" fillId="0" borderId="0" xfId="7" applyNumberFormat="1" applyFont="1" applyAlignment="1">
      <alignment vertical="center"/>
    </xf>
    <xf numFmtId="37" fontId="103" fillId="0" borderId="0" xfId="7" applyNumberFormat="1" applyFont="1" applyAlignment="1">
      <alignment vertical="center"/>
    </xf>
    <xf numFmtId="168" fontId="106" fillId="0" borderId="0" xfId="7" applyNumberFormat="1" applyFont="1" applyAlignment="1">
      <alignment horizontal="right" vertical="center"/>
    </xf>
    <xf numFmtId="168" fontId="102" fillId="0" borderId="0" xfId="0" applyNumberFormat="1" applyFont="1" applyAlignment="1">
      <alignment horizontal="right" vertical="center"/>
    </xf>
    <xf numFmtId="37" fontId="99" fillId="0" borderId="0" xfId="7" applyNumberFormat="1" applyFont="1" applyAlignment="1">
      <alignment vertical="center"/>
    </xf>
    <xf numFmtId="167" fontId="106" fillId="0" borderId="0" xfId="9" applyNumberFormat="1" applyFont="1" applyAlignment="1" applyProtection="1">
      <alignment vertical="center"/>
      <protection locked="0"/>
    </xf>
    <xf numFmtId="167" fontId="96" fillId="0" borderId="0" xfId="9" applyNumberFormat="1" applyFont="1" applyAlignment="1" applyProtection="1">
      <alignment vertical="center"/>
      <protection locked="0"/>
    </xf>
    <xf numFmtId="167" fontId="96" fillId="0" borderId="0" xfId="9" applyNumberFormat="1" applyFont="1" applyAlignment="1" applyProtection="1">
      <alignment horizontal="center" vertical="center"/>
      <protection locked="0"/>
    </xf>
    <xf numFmtId="167" fontId="96" fillId="0" borderId="0" xfId="9" applyNumberFormat="1" applyFont="1" applyFill="1" applyAlignment="1" applyProtection="1">
      <alignment vertical="center"/>
      <protection locked="0"/>
    </xf>
    <xf numFmtId="167" fontId="96" fillId="0" borderId="0" xfId="9" applyNumberFormat="1" applyFont="1" applyFill="1" applyBorder="1" applyAlignment="1" applyProtection="1">
      <alignment vertical="center"/>
      <protection locked="0"/>
    </xf>
    <xf numFmtId="167" fontId="96" fillId="0" borderId="0" xfId="9" applyNumberFormat="1" applyFont="1" applyBorder="1" applyAlignment="1" applyProtection="1">
      <alignment vertical="center"/>
      <protection locked="0"/>
    </xf>
    <xf numFmtId="0" fontId="96" fillId="0" borderId="0" xfId="0" applyFont="1" applyAlignment="1">
      <alignment horizontal="left" vertical="center"/>
    </xf>
    <xf numFmtId="170" fontId="96" fillId="0" borderId="0" xfId="9" applyNumberFormat="1" applyFont="1" applyFill="1" applyAlignment="1" applyProtection="1">
      <alignment vertical="center"/>
      <protection locked="0"/>
    </xf>
    <xf numFmtId="170" fontId="96" fillId="0" borderId="0" xfId="9" applyNumberFormat="1" applyFont="1" applyFill="1" applyBorder="1" applyAlignment="1" applyProtection="1">
      <alignment vertical="center"/>
      <protection locked="0"/>
    </xf>
    <xf numFmtId="170" fontId="96" fillId="4" borderId="0" xfId="9" applyNumberFormat="1" applyFont="1" applyFill="1" applyBorder="1" applyAlignment="1" applyProtection="1">
      <alignment vertical="center"/>
      <protection locked="0"/>
    </xf>
    <xf numFmtId="170" fontId="108" fillId="0" borderId="0" xfId="9" applyNumberFormat="1" applyFont="1" applyFill="1" applyBorder="1" applyAlignment="1" applyProtection="1">
      <alignment vertical="center"/>
      <protection locked="0"/>
    </xf>
    <xf numFmtId="170" fontId="96" fillId="4" borderId="2" xfId="9" applyNumberFormat="1" applyFont="1" applyFill="1" applyBorder="1" applyAlignment="1" applyProtection="1">
      <alignment vertical="center"/>
      <protection locked="0"/>
    </xf>
    <xf numFmtId="170" fontId="96" fillId="4" borderId="8" xfId="9" applyNumberFormat="1" applyFont="1" applyFill="1" applyBorder="1" applyAlignment="1" applyProtection="1">
      <alignment vertical="center"/>
      <protection locked="0"/>
    </xf>
    <xf numFmtId="167" fontId="106" fillId="0" borderId="0" xfId="9" applyNumberFormat="1" applyFont="1" applyBorder="1" applyAlignment="1" applyProtection="1">
      <alignment vertical="center"/>
      <protection locked="0"/>
    </xf>
    <xf numFmtId="167" fontId="96" fillId="0" borderId="0" xfId="9" applyNumberFormat="1" applyFont="1" applyBorder="1" applyAlignment="1" applyProtection="1">
      <alignment horizontal="center" vertical="center"/>
      <protection locked="0"/>
    </xf>
    <xf numFmtId="170" fontId="106" fillId="0" borderId="0" xfId="9" applyNumberFormat="1" applyFont="1" applyFill="1" applyBorder="1" applyAlignment="1" applyProtection="1">
      <alignment vertical="center"/>
      <protection locked="0"/>
    </xf>
    <xf numFmtId="170" fontId="96" fillId="0" borderId="0" xfId="9" applyNumberFormat="1" applyFont="1" applyBorder="1" applyAlignment="1" applyProtection="1">
      <alignment vertical="center"/>
      <protection locked="0"/>
    </xf>
    <xf numFmtId="170" fontId="96" fillId="0" borderId="0" xfId="9" applyNumberFormat="1" applyFont="1" applyAlignment="1" applyProtection="1">
      <alignment vertical="center"/>
      <protection locked="0"/>
    </xf>
    <xf numFmtId="0" fontId="106" fillId="0" borderId="0" xfId="7" applyFont="1" applyAlignment="1">
      <alignment vertical="center"/>
    </xf>
    <xf numFmtId="170" fontId="112" fillId="0" borderId="0" xfId="9" applyNumberFormat="1" applyFont="1" applyFill="1" applyBorder="1" applyAlignment="1" applyProtection="1">
      <alignment vertical="center"/>
      <protection locked="0"/>
    </xf>
    <xf numFmtId="170" fontId="107" fillId="0" borderId="0" xfId="9" applyNumberFormat="1" applyFont="1" applyFill="1" applyBorder="1" applyAlignment="1" applyProtection="1">
      <alignment vertical="center"/>
      <protection locked="0"/>
    </xf>
    <xf numFmtId="170" fontId="107" fillId="4" borderId="2" xfId="9" applyNumberFormat="1" applyFont="1" applyFill="1" applyBorder="1" applyAlignment="1" applyProtection="1">
      <alignment vertical="center"/>
      <protection locked="0"/>
    </xf>
    <xf numFmtId="170" fontId="104" fillId="0" borderId="0" xfId="9" applyNumberFormat="1" applyFont="1" applyFill="1" applyBorder="1" applyAlignment="1" applyProtection="1">
      <alignment vertical="center"/>
      <protection locked="0"/>
    </xf>
    <xf numFmtId="170" fontId="113" fillId="0" borderId="0" xfId="9" applyNumberFormat="1" applyFont="1" applyFill="1" applyBorder="1" applyAlignment="1" applyProtection="1">
      <alignment vertical="center"/>
      <protection locked="0"/>
    </xf>
    <xf numFmtId="170" fontId="113" fillId="0" borderId="0" xfId="9" applyNumberFormat="1" applyFont="1" applyBorder="1" applyAlignment="1" applyProtection="1">
      <alignment vertical="center"/>
      <protection locked="0"/>
    </xf>
    <xf numFmtId="170" fontId="113" fillId="0" borderId="0" xfId="9" applyNumberFormat="1" applyFont="1" applyAlignment="1" applyProtection="1">
      <alignment vertical="center"/>
      <protection locked="0"/>
    </xf>
    <xf numFmtId="170" fontId="107" fillId="4" borderId="0" xfId="9" applyNumberFormat="1" applyFont="1" applyFill="1" applyBorder="1" applyAlignment="1" applyProtection="1">
      <alignment vertical="center"/>
      <protection locked="0"/>
    </xf>
    <xf numFmtId="170" fontId="96" fillId="4" borderId="0" xfId="9" applyNumberFormat="1" applyFont="1" applyFill="1" applyAlignment="1" applyProtection="1">
      <alignment vertical="center"/>
      <protection locked="0"/>
    </xf>
    <xf numFmtId="170" fontId="106" fillId="4" borderId="3" xfId="9" applyNumberFormat="1" applyFont="1" applyFill="1" applyBorder="1" applyAlignment="1" applyProtection="1">
      <alignment vertical="center"/>
      <protection locked="0"/>
    </xf>
    <xf numFmtId="0" fontId="96" fillId="0" borderId="2" xfId="7" applyFont="1" applyBorder="1" applyAlignment="1">
      <alignment vertical="center"/>
    </xf>
    <xf numFmtId="170" fontId="96" fillId="0" borderId="2" xfId="7" applyNumberFormat="1" applyFont="1" applyBorder="1" applyAlignment="1">
      <alignment vertical="center"/>
    </xf>
    <xf numFmtId="0" fontId="96" fillId="0" borderId="0" xfId="7" applyFont="1" applyAlignment="1">
      <alignment vertical="center"/>
    </xf>
    <xf numFmtId="170" fontId="96" fillId="0" borderId="0" xfId="7" applyNumberFormat="1" applyFont="1" applyAlignment="1">
      <alignment vertical="center"/>
    </xf>
    <xf numFmtId="0" fontId="101" fillId="7" borderId="0" xfId="0" applyFont="1" applyFill="1" applyAlignment="1">
      <alignment vertical="center"/>
    </xf>
    <xf numFmtId="37" fontId="102" fillId="7" borderId="0" xfId="0" applyNumberFormat="1" applyFont="1" applyFill="1" applyAlignment="1">
      <alignment vertical="center"/>
    </xf>
    <xf numFmtId="37" fontId="97" fillId="7" borderId="0" xfId="0" applyNumberFormat="1" applyFont="1" applyFill="1" applyAlignment="1">
      <alignment vertical="center"/>
    </xf>
    <xf numFmtId="37" fontId="103" fillId="7" borderId="0" xfId="0" applyNumberFormat="1" applyFont="1" applyFill="1" applyAlignment="1">
      <alignment vertical="center"/>
    </xf>
    <xf numFmtId="168" fontId="97" fillId="7" borderId="0" xfId="0" applyNumberFormat="1" applyFont="1" applyFill="1" applyAlignment="1">
      <alignment horizontal="right" vertical="center"/>
    </xf>
    <xf numFmtId="168" fontId="114" fillId="0" borderId="0" xfId="7" applyNumberFormat="1" applyFont="1" applyAlignment="1">
      <alignment horizontal="right" vertical="center"/>
    </xf>
    <xf numFmtId="172" fontId="96" fillId="0" borderId="0" xfId="0" applyNumberFormat="1" applyFont="1" applyAlignment="1">
      <alignment vertical="center"/>
    </xf>
    <xf numFmtId="0" fontId="106" fillId="0" borderId="0" xfId="0" applyFont="1" applyAlignment="1">
      <alignment horizontal="left" vertical="center"/>
    </xf>
    <xf numFmtId="171" fontId="96" fillId="0" borderId="0" xfId="0" applyNumberFormat="1" applyFont="1" applyAlignment="1">
      <alignment vertical="center"/>
    </xf>
    <xf numFmtId="172" fontId="99" fillId="0" borderId="0" xfId="0" applyNumberFormat="1" applyFont="1" applyAlignment="1">
      <alignment vertical="center"/>
    </xf>
    <xf numFmtId="9" fontId="96" fillId="0" borderId="0" xfId="1" applyFont="1" applyAlignment="1">
      <alignment vertical="center"/>
    </xf>
    <xf numFmtId="0" fontId="105" fillId="0" borderId="0" xfId="0" applyFont="1" applyAlignment="1">
      <alignment horizontal="left" vertical="center"/>
    </xf>
    <xf numFmtId="170" fontId="115" fillId="0" borderId="0" xfId="13" applyNumberFormat="1" applyFont="1" applyFill="1" applyBorder="1" applyAlignment="1">
      <alignment horizontal="right" vertical="center"/>
    </xf>
    <xf numFmtId="172" fontId="96" fillId="0" borderId="8" xfId="0" applyNumberFormat="1" applyFont="1" applyBorder="1" applyAlignment="1">
      <alignment vertical="center"/>
    </xf>
    <xf numFmtId="172" fontId="96" fillId="0" borderId="9" xfId="0" applyNumberFormat="1" applyFont="1" applyBorder="1" applyAlignment="1">
      <alignment vertical="center"/>
    </xf>
    <xf numFmtId="172" fontId="96" fillId="0" borderId="11" xfId="0" applyNumberFormat="1" applyFont="1" applyBorder="1" applyAlignment="1">
      <alignment vertical="center"/>
    </xf>
    <xf numFmtId="172" fontId="96" fillId="0" borderId="2" xfId="0" applyNumberFormat="1" applyFont="1" applyBorder="1" applyAlignment="1">
      <alignment vertical="center"/>
    </xf>
    <xf numFmtId="172" fontId="96" fillId="0" borderId="13" xfId="0" applyNumberFormat="1" applyFont="1" applyBorder="1" applyAlignment="1">
      <alignment vertical="center"/>
    </xf>
    <xf numFmtId="38" fontId="96" fillId="0" borderId="0" xfId="0" applyNumberFormat="1" applyFont="1" applyAlignment="1">
      <alignment vertical="center"/>
    </xf>
    <xf numFmtId="171" fontId="116" fillId="0" borderId="0" xfId="0" applyNumberFormat="1" applyFont="1" applyAlignment="1">
      <alignment vertical="center"/>
    </xf>
    <xf numFmtId="40" fontId="96" fillId="0" borderId="0" xfId="0" applyNumberFormat="1" applyFont="1" applyAlignment="1">
      <alignment vertical="center"/>
    </xf>
    <xf numFmtId="172" fontId="113" fillId="0" borderId="0" xfId="0" applyNumberFormat="1" applyFont="1" applyAlignment="1">
      <alignment vertical="center"/>
    </xf>
    <xf numFmtId="172" fontId="109" fillId="0" borderId="0" xfId="0" applyNumberFormat="1" applyFont="1" applyAlignment="1">
      <alignment vertical="center"/>
    </xf>
    <xf numFmtId="172" fontId="109" fillId="0" borderId="3" xfId="0" applyNumberFormat="1" applyFont="1" applyBorder="1" applyAlignment="1">
      <alignment vertical="center"/>
    </xf>
    <xf numFmtId="49" fontId="96" fillId="0" borderId="0" xfId="0" applyNumberFormat="1" applyFont="1" applyAlignment="1">
      <alignment horizontal="left" vertical="center"/>
    </xf>
    <xf numFmtId="170" fontId="107" fillId="0" borderId="5" xfId="0" applyNumberFormat="1" applyFont="1" applyBorder="1" applyAlignment="1">
      <alignment vertical="center"/>
    </xf>
    <xf numFmtId="170" fontId="107" fillId="0" borderId="6" xfId="0" applyNumberFormat="1" applyFont="1" applyBorder="1" applyAlignment="1">
      <alignment vertical="center"/>
    </xf>
    <xf numFmtId="0" fontId="106" fillId="0" borderId="0" xfId="0" applyFont="1" applyAlignment="1">
      <alignment horizontal="right" vertical="center"/>
    </xf>
    <xf numFmtId="0" fontId="106" fillId="0" borderId="0" xfId="0" applyFont="1" applyAlignment="1">
      <alignment horizontal="centerContinuous" vertical="center"/>
    </xf>
    <xf numFmtId="169" fontId="106" fillId="0" borderId="0" xfId="0" applyNumberFormat="1" applyFont="1" applyAlignment="1">
      <alignment horizontal="centerContinuous" vertical="center"/>
    </xf>
    <xf numFmtId="37" fontId="99" fillId="0" borderId="0" xfId="0" applyNumberFormat="1" applyFont="1" applyAlignment="1">
      <alignment horizontal="centerContinuous" vertical="center"/>
    </xf>
    <xf numFmtId="0" fontId="96" fillId="0" borderId="7" xfId="0" applyFont="1" applyBorder="1" applyAlignment="1">
      <alignment horizontal="left" vertical="center"/>
    </xf>
    <xf numFmtId="37" fontId="99" fillId="0" borderId="8" xfId="0" applyNumberFormat="1" applyFont="1" applyBorder="1" applyAlignment="1">
      <alignment vertical="center"/>
    </xf>
    <xf numFmtId="175" fontId="96" fillId="0" borderId="9" xfId="1" applyNumberFormat="1" applyFont="1" applyFill="1" applyBorder="1" applyAlignment="1">
      <alignment horizontal="right" vertical="center"/>
    </xf>
    <xf numFmtId="168" fontId="106" fillId="0" borderId="0" xfId="0" applyNumberFormat="1" applyFont="1" applyAlignment="1">
      <alignment horizontal="left" vertical="center"/>
    </xf>
    <xf numFmtId="178" fontId="106" fillId="0" borderId="0" xfId="0" applyNumberFormat="1" applyFont="1" applyAlignment="1">
      <alignment horizontal="right" vertical="center"/>
    </xf>
    <xf numFmtId="37" fontId="107" fillId="0" borderId="2" xfId="0" applyNumberFormat="1" applyFont="1" applyBorder="1" applyAlignment="1">
      <alignment vertical="center"/>
    </xf>
    <xf numFmtId="172" fontId="107" fillId="0" borderId="13" xfId="0" applyNumberFormat="1" applyFont="1" applyBorder="1" applyAlignment="1">
      <alignment horizontal="right" vertical="center"/>
    </xf>
    <xf numFmtId="179" fontId="107" fillId="0" borderId="4" xfId="0" applyNumberFormat="1" applyFont="1" applyBorder="1" applyAlignment="1">
      <alignment horizontal="right" vertical="center"/>
    </xf>
    <xf numFmtId="179" fontId="107" fillId="0" borderId="5" xfId="0" applyNumberFormat="1" applyFont="1" applyBorder="1" applyAlignment="1">
      <alignment horizontal="right" vertical="center"/>
    </xf>
    <xf numFmtId="179" fontId="107" fillId="0" borderId="6" xfId="0" applyNumberFormat="1" applyFont="1" applyBorder="1" applyAlignment="1">
      <alignment horizontal="right" vertical="center"/>
    </xf>
    <xf numFmtId="175" fontId="118" fillId="0" borderId="0" xfId="1" applyNumberFormat="1" applyFont="1" applyBorder="1" applyAlignment="1">
      <alignment horizontal="right" vertical="center"/>
    </xf>
    <xf numFmtId="0" fontId="105" fillId="0" borderId="0" xfId="0" applyFont="1" applyAlignment="1">
      <alignment horizontal="right" vertical="center"/>
    </xf>
    <xf numFmtId="179" fontId="107" fillId="0" borderId="0" xfId="0" applyNumberFormat="1" applyFont="1" applyAlignment="1">
      <alignment horizontal="right" vertical="center"/>
    </xf>
    <xf numFmtId="166" fontId="105" fillId="0" borderId="2" xfId="0" applyNumberFormat="1" applyFont="1" applyBorder="1" applyAlignment="1">
      <alignment vertical="center"/>
    </xf>
    <xf numFmtId="169" fontId="96" fillId="0" borderId="2" xfId="0" applyNumberFormat="1" applyFont="1" applyBorder="1" applyAlignment="1">
      <alignment horizontal="left" vertical="center"/>
    </xf>
    <xf numFmtId="169" fontId="106" fillId="0" borderId="2" xfId="0" applyNumberFormat="1" applyFont="1" applyBorder="1" applyAlignment="1">
      <alignment horizontal="right" vertical="center"/>
    </xf>
    <xf numFmtId="0" fontId="96" fillId="0" borderId="8" xfId="0" applyFont="1" applyBorder="1" applyAlignment="1">
      <alignment horizontal="left" vertical="center"/>
    </xf>
    <xf numFmtId="179" fontId="96" fillId="0" borderId="13" xfId="0" applyNumberFormat="1" applyFont="1" applyBorder="1" applyAlignment="1">
      <alignment horizontal="right" vertical="center"/>
    </xf>
    <xf numFmtId="175" fontId="108" fillId="0" borderId="0" xfId="1" applyNumberFormat="1" applyFont="1" applyBorder="1" applyAlignment="1">
      <alignment horizontal="right" vertical="center"/>
    </xf>
    <xf numFmtId="180" fontId="106" fillId="0" borderId="0" xfId="0" applyNumberFormat="1" applyFont="1" applyAlignment="1">
      <alignment horizontal="right" vertical="center"/>
    </xf>
    <xf numFmtId="169" fontId="106" fillId="0" borderId="7" xfId="0" applyNumberFormat="1" applyFont="1" applyBorder="1" applyAlignment="1">
      <alignment horizontal="left" vertical="center"/>
    </xf>
    <xf numFmtId="177" fontId="107" fillId="0" borderId="8" xfId="0" applyNumberFormat="1" applyFont="1" applyBorder="1" applyAlignment="1">
      <alignment horizontal="left" vertical="center"/>
    </xf>
    <xf numFmtId="169" fontId="96" fillId="0" borderId="8" xfId="0" applyNumberFormat="1" applyFont="1" applyBorder="1" applyAlignment="1">
      <alignment horizontal="left" vertical="center"/>
    </xf>
    <xf numFmtId="173" fontId="107" fillId="0" borderId="7" xfId="0" applyNumberFormat="1" applyFont="1" applyBorder="1" applyAlignment="1">
      <alignment horizontal="right" vertical="center"/>
    </xf>
    <xf numFmtId="173" fontId="107" fillId="0" borderId="8" xfId="0" applyNumberFormat="1" applyFont="1" applyBorder="1" applyAlignment="1">
      <alignment horizontal="right" vertical="center"/>
    </xf>
    <xf numFmtId="173" fontId="107" fillId="0" borderId="9" xfId="0" applyNumberFormat="1" applyFont="1" applyBorder="1" applyAlignment="1">
      <alignment horizontal="right" vertical="center"/>
    </xf>
    <xf numFmtId="169" fontId="106" fillId="0" borderId="10" xfId="0" applyNumberFormat="1" applyFont="1" applyBorder="1" applyAlignment="1">
      <alignment horizontal="left" vertical="center"/>
    </xf>
    <xf numFmtId="177" fontId="107" fillId="0" borderId="0" xfId="0" applyNumberFormat="1" applyFont="1" applyAlignment="1">
      <alignment horizontal="left" vertical="center"/>
    </xf>
    <xf numFmtId="169" fontId="96" fillId="0" borderId="0" xfId="0" applyNumberFormat="1" applyFont="1" applyAlignment="1">
      <alignment horizontal="left" vertical="center"/>
    </xf>
    <xf numFmtId="173" fontId="107" fillId="0" borderId="10" xfId="0" applyNumberFormat="1" applyFont="1" applyBorder="1" applyAlignment="1">
      <alignment horizontal="right" vertical="center"/>
    </xf>
    <xf numFmtId="173" fontId="107" fillId="0" borderId="0" xfId="0" applyNumberFormat="1" applyFont="1" applyAlignment="1">
      <alignment horizontal="right" vertical="center"/>
    </xf>
    <xf numFmtId="173" fontId="107" fillId="0" borderId="11" xfId="0" applyNumberFormat="1" applyFont="1" applyBorder="1" applyAlignment="1">
      <alignment horizontal="right" vertical="center"/>
    </xf>
    <xf numFmtId="169" fontId="106" fillId="0" borderId="12" xfId="0" applyNumberFormat="1" applyFont="1" applyBorder="1" applyAlignment="1">
      <alignment horizontal="left" vertical="center"/>
    </xf>
    <xf numFmtId="177" fontId="107" fillId="0" borderId="2" xfId="0" applyNumberFormat="1" applyFont="1" applyBorder="1" applyAlignment="1">
      <alignment horizontal="left" vertical="center"/>
    </xf>
    <xf numFmtId="173" fontId="107" fillId="0" borderId="12" xfId="0" applyNumberFormat="1" applyFont="1" applyBorder="1" applyAlignment="1">
      <alignment horizontal="right" vertical="center"/>
    </xf>
    <xf numFmtId="173" fontId="107" fillId="0" borderId="2" xfId="0" applyNumberFormat="1" applyFont="1" applyBorder="1" applyAlignment="1">
      <alignment horizontal="right" vertical="center"/>
    </xf>
    <xf numFmtId="173" fontId="107" fillId="0" borderId="13" xfId="0" applyNumberFormat="1" applyFont="1" applyBorder="1" applyAlignment="1">
      <alignment horizontal="right" vertical="center"/>
    </xf>
    <xf numFmtId="172" fontId="107" fillId="0" borderId="8" xfId="0" applyNumberFormat="1" applyFont="1" applyBorder="1" applyAlignment="1">
      <alignment horizontal="left" vertical="center"/>
    </xf>
    <xf numFmtId="172" fontId="107" fillId="0" borderId="9" xfId="0" applyNumberFormat="1" applyFont="1" applyBorder="1" applyAlignment="1">
      <alignment horizontal="left" vertical="center"/>
    </xf>
    <xf numFmtId="170" fontId="107" fillId="0" borderId="8" xfId="0" applyNumberFormat="1" applyFont="1" applyBorder="1" applyAlignment="1">
      <alignment horizontal="right" vertical="center"/>
    </xf>
    <xf numFmtId="170" fontId="107" fillId="0" borderId="9" xfId="0" applyNumberFormat="1" applyFont="1" applyBorder="1" applyAlignment="1">
      <alignment horizontal="right" vertical="center"/>
    </xf>
    <xf numFmtId="172" fontId="107" fillId="0" borderId="0" xfId="0" applyNumberFormat="1" applyFont="1" applyAlignment="1">
      <alignment horizontal="left" vertical="center"/>
    </xf>
    <xf numFmtId="172" fontId="107" fillId="0" borderId="11" xfId="0" applyNumberFormat="1" applyFont="1" applyBorder="1" applyAlignment="1">
      <alignment horizontal="left" vertical="center"/>
    </xf>
    <xf numFmtId="170" fontId="107" fillId="0" borderId="11" xfId="0" applyNumberFormat="1" applyFont="1" applyBorder="1" applyAlignment="1">
      <alignment horizontal="right" vertical="center"/>
    </xf>
    <xf numFmtId="172" fontId="107" fillId="0" borderId="2" xfId="0" applyNumberFormat="1" applyFont="1" applyBorder="1" applyAlignment="1">
      <alignment horizontal="left" vertical="center"/>
    </xf>
    <xf numFmtId="172" fontId="107" fillId="0" borderId="13" xfId="0" applyNumberFormat="1" applyFont="1" applyBorder="1" applyAlignment="1">
      <alignment horizontal="left" vertical="center"/>
    </xf>
    <xf numFmtId="170" fontId="107" fillId="0" borderId="2" xfId="0" applyNumberFormat="1" applyFont="1" applyBorder="1" applyAlignment="1">
      <alignment horizontal="right" vertical="center"/>
    </xf>
    <xf numFmtId="170" fontId="107" fillId="0" borderId="13" xfId="0" applyNumberFormat="1" applyFont="1" applyBorder="1" applyAlignment="1">
      <alignment horizontal="right" vertical="center"/>
    </xf>
    <xf numFmtId="49" fontId="106" fillId="0" borderId="0" xfId="0" applyNumberFormat="1" applyFont="1" applyAlignment="1">
      <alignment horizontal="left" vertical="center"/>
    </xf>
    <xf numFmtId="183" fontId="96" fillId="0" borderId="0" xfId="0" quotePrefix="1" applyNumberFormat="1" applyFont="1" applyAlignment="1">
      <alignment horizontal="left" vertical="center"/>
    </xf>
    <xf numFmtId="183" fontId="96" fillId="0" borderId="0" xfId="0" quotePrefix="1" applyNumberFormat="1" applyFont="1" applyAlignment="1">
      <alignment horizontal="right" vertical="center"/>
    </xf>
    <xf numFmtId="184" fontId="96" fillId="0" borderId="0" xfId="0" quotePrefix="1" applyNumberFormat="1" applyFont="1" applyAlignment="1">
      <alignment horizontal="right" vertical="center"/>
    </xf>
    <xf numFmtId="170" fontId="96" fillId="0" borderId="11" xfId="0" applyNumberFormat="1" applyFont="1" applyBorder="1" applyAlignment="1">
      <alignment vertical="center"/>
    </xf>
    <xf numFmtId="170" fontId="96" fillId="0" borderId="5" xfId="0" applyNumberFormat="1" applyFont="1" applyBorder="1" applyAlignment="1">
      <alignment vertical="center"/>
    </xf>
    <xf numFmtId="170" fontId="96" fillId="0" borderId="6" xfId="0" applyNumberFormat="1" applyFont="1" applyBorder="1" applyAlignment="1">
      <alignment vertical="center"/>
    </xf>
    <xf numFmtId="37" fontId="107" fillId="0" borderId="8" xfId="0" applyNumberFormat="1" applyFont="1" applyBorder="1" applyAlignment="1">
      <alignment vertical="center"/>
    </xf>
    <xf numFmtId="179" fontId="96" fillId="0" borderId="9" xfId="0" applyNumberFormat="1" applyFont="1" applyBorder="1" applyAlignment="1">
      <alignment horizontal="right" vertical="center"/>
    </xf>
    <xf numFmtId="0" fontId="96" fillId="0" borderId="12" xfId="0" applyFont="1" applyBorder="1" applyAlignment="1">
      <alignment horizontal="left" vertical="center"/>
    </xf>
    <xf numFmtId="173" fontId="96" fillId="0" borderId="13" xfId="1" applyNumberFormat="1" applyFont="1" applyFill="1" applyBorder="1" applyAlignment="1">
      <alignment vertical="center"/>
    </xf>
    <xf numFmtId="37" fontId="107" fillId="0" borderId="0" xfId="0" applyNumberFormat="1" applyFont="1" applyAlignment="1">
      <alignment vertical="center"/>
    </xf>
    <xf numFmtId="173" fontId="108" fillId="0" borderId="0" xfId="0" applyNumberFormat="1" applyFont="1" applyAlignment="1">
      <alignment horizontal="right" vertical="center"/>
    </xf>
    <xf numFmtId="176" fontId="107" fillId="0" borderId="0" xfId="0" applyNumberFormat="1" applyFont="1" applyAlignment="1">
      <alignment horizontal="left" vertical="center"/>
    </xf>
    <xf numFmtId="49" fontId="109" fillId="0" borderId="0" xfId="0" applyNumberFormat="1" applyFont="1" applyAlignment="1">
      <alignment horizontal="left" vertical="center"/>
    </xf>
    <xf numFmtId="170" fontId="107" fillId="0" borderId="0" xfId="1" applyNumberFormat="1" applyFont="1" applyFill="1" applyAlignment="1">
      <alignment vertical="center"/>
    </xf>
    <xf numFmtId="170" fontId="96" fillId="0" borderId="7" xfId="0" applyNumberFormat="1" applyFont="1" applyBorder="1" applyAlignment="1">
      <alignment vertical="center"/>
    </xf>
    <xf numFmtId="170" fontId="96" fillId="0" borderId="8" xfId="0" applyNumberFormat="1" applyFont="1" applyBorder="1" applyAlignment="1">
      <alignment vertical="center"/>
    </xf>
    <xf numFmtId="170" fontId="96" fillId="0" borderId="9" xfId="0" applyNumberFormat="1" applyFont="1" applyBorder="1" applyAlignment="1">
      <alignment vertical="center"/>
    </xf>
    <xf numFmtId="182" fontId="107" fillId="0" borderId="12" xfId="0" applyNumberFormat="1" applyFont="1" applyBorder="1" applyAlignment="1">
      <alignment vertical="center"/>
    </xf>
    <xf numFmtId="182" fontId="107" fillId="0" borderId="2" xfId="0" applyNumberFormat="1" applyFont="1" applyBorder="1" applyAlignment="1">
      <alignment vertical="center"/>
    </xf>
    <xf numFmtId="182" fontId="107" fillId="0" borderId="13" xfId="0" applyNumberFormat="1" applyFont="1" applyBorder="1" applyAlignment="1">
      <alignment vertical="center"/>
    </xf>
    <xf numFmtId="168" fontId="121" fillId="0" borderId="0" xfId="0" applyNumberFormat="1" applyFont="1" applyAlignment="1">
      <alignment vertical="center"/>
    </xf>
    <xf numFmtId="166" fontId="115" fillId="0" borderId="8" xfId="0" applyNumberFormat="1" applyFont="1" applyBorder="1" applyAlignment="1">
      <alignment vertical="center"/>
    </xf>
    <xf numFmtId="37" fontId="122" fillId="0" borderId="8" xfId="0" applyNumberFormat="1" applyFont="1" applyBorder="1" applyAlignment="1">
      <alignment vertical="center"/>
    </xf>
    <xf numFmtId="174" fontId="96" fillId="0" borderId="9" xfId="1" applyNumberFormat="1" applyFont="1" applyFill="1" applyBorder="1" applyAlignment="1">
      <alignment vertical="center"/>
    </xf>
    <xf numFmtId="49" fontId="107" fillId="0" borderId="12" xfId="0" applyNumberFormat="1" applyFont="1" applyBorder="1" applyAlignment="1">
      <alignment horizontal="left" vertical="center"/>
    </xf>
    <xf numFmtId="196" fontId="107" fillId="0" borderId="13" xfId="0" applyNumberFormat="1" applyFont="1" applyBorder="1" applyAlignment="1">
      <alignment horizontal="right" vertical="center"/>
    </xf>
    <xf numFmtId="166" fontId="115" fillId="0" borderId="0" xfId="0" applyNumberFormat="1" applyFont="1" applyAlignment="1">
      <alignment vertical="center"/>
    </xf>
    <xf numFmtId="37" fontId="122" fillId="0" borderId="0" xfId="0" applyNumberFormat="1" applyFont="1" applyAlignment="1">
      <alignment vertical="center"/>
    </xf>
    <xf numFmtId="174" fontId="108" fillId="0" borderId="0" xfId="1" applyNumberFormat="1" applyFont="1" applyFill="1" applyBorder="1" applyAlignment="1">
      <alignment vertical="center"/>
    </xf>
    <xf numFmtId="174" fontId="118" fillId="0" borderId="0" xfId="1" applyNumberFormat="1" applyFont="1" applyBorder="1" applyAlignment="1">
      <alignment vertical="center"/>
    </xf>
    <xf numFmtId="0" fontId="123" fillId="0" borderId="0" xfId="7" applyFont="1" applyAlignment="1">
      <alignment vertical="center"/>
    </xf>
    <xf numFmtId="166" fontId="115" fillId="0" borderId="2" xfId="0" applyNumberFormat="1" applyFont="1" applyBorder="1" applyAlignment="1">
      <alignment vertical="center"/>
    </xf>
    <xf numFmtId="37" fontId="122" fillId="0" borderId="2" xfId="0" applyNumberFormat="1" applyFont="1" applyBorder="1" applyAlignment="1">
      <alignment vertical="center"/>
    </xf>
    <xf numFmtId="168" fontId="109" fillId="0" borderId="2" xfId="0" applyNumberFormat="1" applyFont="1" applyBorder="1" applyAlignment="1">
      <alignment horizontal="right" vertical="center"/>
    </xf>
    <xf numFmtId="169" fontId="109" fillId="0" borderId="2" xfId="0" applyNumberFormat="1" applyFont="1" applyBorder="1" applyAlignment="1">
      <alignment horizontal="right" vertical="center"/>
    </xf>
    <xf numFmtId="184" fontId="96" fillId="0" borderId="0" xfId="0" quotePrefix="1" applyNumberFormat="1" applyFont="1" applyAlignment="1">
      <alignment horizontal="left" vertical="center"/>
    </xf>
    <xf numFmtId="202" fontId="96" fillId="0" borderId="0" xfId="0" quotePrefix="1" applyNumberFormat="1" applyFont="1" applyAlignment="1">
      <alignment horizontal="right" vertical="center"/>
    </xf>
    <xf numFmtId="170" fontId="99" fillId="0" borderId="0" xfId="7" applyNumberFormat="1" applyFont="1" applyAlignment="1">
      <alignment vertical="center"/>
    </xf>
    <xf numFmtId="170" fontId="96" fillId="4" borderId="4" xfId="7" applyNumberFormat="1" applyFont="1" applyFill="1" applyBorder="1" applyAlignment="1">
      <alignment vertical="center"/>
    </xf>
    <xf numFmtId="170" fontId="96" fillId="4" borderId="5" xfId="7" applyNumberFormat="1" applyFont="1" applyFill="1" applyBorder="1" applyAlignment="1">
      <alignment vertical="center"/>
    </xf>
    <xf numFmtId="170" fontId="96" fillId="4" borderId="6" xfId="7" applyNumberFormat="1" applyFont="1" applyFill="1" applyBorder="1" applyAlignment="1">
      <alignment vertical="center"/>
    </xf>
    <xf numFmtId="166" fontId="105" fillId="0" borderId="0" xfId="7" applyNumberFormat="1" applyFont="1" applyAlignment="1">
      <alignment vertical="center"/>
    </xf>
    <xf numFmtId="167" fontId="106" fillId="0" borderId="0" xfId="9" applyNumberFormat="1" applyFont="1" applyFill="1" applyBorder="1" applyAlignment="1" applyProtection="1">
      <alignment vertical="center"/>
      <protection locked="0"/>
    </xf>
    <xf numFmtId="167" fontId="106" fillId="0" borderId="0" xfId="9" applyNumberFormat="1" applyFont="1" applyFill="1" applyAlignment="1" applyProtection="1">
      <alignment vertical="center"/>
      <protection locked="0"/>
    </xf>
    <xf numFmtId="167" fontId="106" fillId="0" borderId="0" xfId="9" applyNumberFormat="1" applyFont="1" applyFill="1" applyAlignment="1" applyProtection="1">
      <alignment horizontal="center" vertical="center"/>
      <protection locked="0"/>
    </xf>
    <xf numFmtId="170" fontId="106" fillId="0" borderId="0" xfId="9" applyNumberFormat="1" applyFont="1" applyFill="1" applyAlignment="1" applyProtection="1">
      <alignment vertical="center"/>
      <protection locked="0"/>
    </xf>
    <xf numFmtId="167" fontId="96" fillId="0" borderId="0" xfId="9" applyNumberFormat="1" applyFont="1" applyFill="1" applyBorder="1" applyAlignment="1" applyProtection="1">
      <alignment horizontal="center" vertical="center"/>
      <protection locked="0"/>
    </xf>
    <xf numFmtId="0" fontId="106" fillId="0" borderId="0" xfId="0" applyFont="1" applyAlignment="1">
      <alignment horizontal="center" vertical="center"/>
    </xf>
    <xf numFmtId="170" fontId="96" fillId="0" borderId="16" xfId="9" applyNumberFormat="1" applyFont="1" applyFill="1" applyBorder="1" applyAlignment="1" applyProtection="1">
      <alignment horizontal="center" vertical="center"/>
      <protection locked="0"/>
    </xf>
    <xf numFmtId="170" fontId="107" fillId="4" borderId="8" xfId="9" applyNumberFormat="1" applyFont="1" applyFill="1" applyBorder="1" applyAlignment="1" applyProtection="1">
      <alignment vertical="center"/>
      <protection locked="0"/>
    </xf>
    <xf numFmtId="170" fontId="96" fillId="0" borderId="2" xfId="9" applyNumberFormat="1" applyFont="1" applyFill="1" applyBorder="1" applyAlignment="1" applyProtection="1">
      <alignment vertical="center"/>
      <protection locked="0"/>
    </xf>
    <xf numFmtId="0" fontId="96" fillId="0" borderId="0" xfId="7" applyFont="1" applyAlignment="1">
      <alignment horizontal="left" vertical="center"/>
    </xf>
    <xf numFmtId="206" fontId="96" fillId="4" borderId="0" xfId="9" applyNumberFormat="1" applyFont="1" applyFill="1" applyBorder="1" applyAlignment="1" applyProtection="1">
      <alignment vertical="center"/>
      <protection locked="0"/>
    </xf>
    <xf numFmtId="206" fontId="96" fillId="4" borderId="2" xfId="9" applyNumberFormat="1" applyFont="1" applyFill="1" applyBorder="1" applyAlignment="1" applyProtection="1">
      <alignment vertical="center"/>
      <protection locked="0"/>
    </xf>
    <xf numFmtId="195" fontId="107" fillId="0" borderId="16" xfId="1" applyNumberFormat="1" applyFont="1" applyFill="1" applyBorder="1" applyAlignment="1" applyProtection="1">
      <alignment horizontal="center" vertical="center"/>
      <protection locked="0"/>
    </xf>
    <xf numFmtId="170" fontId="107" fillId="0" borderId="16" xfId="1" applyNumberFormat="1" applyFont="1" applyFill="1" applyBorder="1" applyAlignment="1" applyProtection="1">
      <alignment horizontal="center" vertical="center"/>
      <protection locked="0"/>
    </xf>
    <xf numFmtId="200" fontId="107" fillId="4" borderId="44" xfId="0" applyNumberFormat="1" applyFont="1" applyFill="1" applyBorder="1" applyAlignment="1">
      <alignment horizontal="right" vertical="center"/>
    </xf>
    <xf numFmtId="200" fontId="107" fillId="4" borderId="45" xfId="0" applyNumberFormat="1" applyFont="1" applyFill="1" applyBorder="1" applyAlignment="1">
      <alignment horizontal="right" vertical="center"/>
    </xf>
    <xf numFmtId="200" fontId="107" fillId="4" borderId="46" xfId="0" applyNumberFormat="1" applyFont="1" applyFill="1" applyBorder="1" applyAlignment="1">
      <alignment horizontal="right" vertical="center"/>
    </xf>
    <xf numFmtId="170" fontId="96" fillId="4" borderId="4" xfId="9" applyNumberFormat="1" applyFont="1" applyFill="1" applyBorder="1" applyAlignment="1" applyProtection="1">
      <alignment vertical="center"/>
      <protection locked="0"/>
    </xf>
    <xf numFmtId="170" fontId="96" fillId="4" borderId="5" xfId="9" applyNumberFormat="1" applyFont="1" applyFill="1" applyBorder="1" applyAlignment="1" applyProtection="1">
      <alignment vertical="center"/>
      <protection locked="0"/>
    </xf>
    <xf numFmtId="170" fontId="96" fillId="4" borderId="6" xfId="9" applyNumberFormat="1" applyFont="1" applyFill="1" applyBorder="1" applyAlignment="1" applyProtection="1">
      <alignment vertical="center"/>
      <protection locked="0"/>
    </xf>
    <xf numFmtId="167" fontId="96" fillId="0" borderId="2" xfId="9" applyNumberFormat="1" applyFont="1" applyFill="1" applyBorder="1" applyAlignment="1" applyProtection="1">
      <alignment vertical="center"/>
      <protection locked="0"/>
    </xf>
    <xf numFmtId="167" fontId="96" fillId="0" borderId="2" xfId="9" applyNumberFormat="1" applyFont="1" applyFill="1" applyBorder="1" applyAlignment="1" applyProtection="1">
      <alignment horizontal="center" vertical="center"/>
      <protection locked="0"/>
    </xf>
    <xf numFmtId="167" fontId="99" fillId="0" borderId="2" xfId="9" applyNumberFormat="1" applyFont="1" applyFill="1" applyBorder="1" applyAlignment="1" applyProtection="1">
      <alignment vertical="center"/>
      <protection locked="0"/>
    </xf>
    <xf numFmtId="167" fontId="99" fillId="0" borderId="0" xfId="9" applyNumberFormat="1" applyFont="1" applyFill="1" applyBorder="1" applyAlignment="1" applyProtection="1">
      <alignment vertical="center"/>
      <protection locked="0"/>
    </xf>
    <xf numFmtId="179" fontId="96" fillId="0" borderId="0" xfId="9" applyNumberFormat="1" applyFont="1" applyBorder="1" applyAlignment="1" applyProtection="1">
      <alignment vertical="center"/>
      <protection locked="0"/>
    </xf>
    <xf numFmtId="167" fontId="105" fillId="0" borderId="0" xfId="9" applyNumberFormat="1" applyFont="1" applyFill="1" applyBorder="1" applyAlignment="1" applyProtection="1">
      <alignment vertical="center"/>
      <protection locked="0"/>
    </xf>
    <xf numFmtId="9" fontId="96" fillId="0" borderId="0" xfId="10" applyFont="1" applyFill="1" applyBorder="1" applyAlignment="1" applyProtection="1">
      <alignment vertical="center"/>
      <protection locked="0"/>
    </xf>
    <xf numFmtId="179" fontId="107" fillId="4" borderId="7" xfId="10" applyNumberFormat="1" applyFont="1" applyFill="1" applyBorder="1" applyAlignment="1" applyProtection="1">
      <alignment horizontal="right" vertical="center"/>
      <protection locked="0"/>
    </xf>
    <xf numFmtId="179" fontId="107" fillId="4" borderId="8" xfId="10" applyNumberFormat="1" applyFont="1" applyFill="1" applyBorder="1" applyAlignment="1" applyProtection="1">
      <alignment horizontal="right" vertical="center"/>
      <protection locked="0"/>
    </xf>
    <xf numFmtId="179" fontId="107" fillId="4" borderId="9" xfId="10" applyNumberFormat="1" applyFont="1" applyFill="1" applyBorder="1" applyAlignment="1" applyProtection="1">
      <alignment horizontal="right" vertical="center"/>
      <protection locked="0"/>
    </xf>
    <xf numFmtId="170" fontId="96" fillId="4" borderId="10" xfId="9" applyNumberFormat="1" applyFont="1" applyFill="1" applyBorder="1" applyAlignment="1" applyProtection="1">
      <alignment vertical="center"/>
      <protection locked="0"/>
    </xf>
    <xf numFmtId="170" fontId="96" fillId="4" borderId="11" xfId="9" applyNumberFormat="1" applyFont="1" applyFill="1" applyBorder="1" applyAlignment="1" applyProtection="1">
      <alignment vertical="center"/>
      <protection locked="0"/>
    </xf>
    <xf numFmtId="210" fontId="96" fillId="4" borderId="12" xfId="9" applyNumberFormat="1" applyFont="1" applyFill="1" applyBorder="1" applyAlignment="1" applyProtection="1">
      <alignment horizontal="right" vertical="center"/>
      <protection locked="0"/>
    </xf>
    <xf numFmtId="210" fontId="96" fillId="4" borderId="2" xfId="9" applyNumberFormat="1" applyFont="1" applyFill="1" applyBorder="1" applyAlignment="1" applyProtection="1">
      <alignment horizontal="right" vertical="center"/>
      <protection locked="0"/>
    </xf>
    <xf numFmtId="210" fontId="96" fillId="4" borderId="13" xfId="9" applyNumberFormat="1" applyFont="1" applyFill="1" applyBorder="1" applyAlignment="1" applyProtection="1">
      <alignment horizontal="right" vertical="center"/>
      <protection locked="0"/>
    </xf>
    <xf numFmtId="9" fontId="107" fillId="0" borderId="0" xfId="10" applyFont="1" applyFill="1" applyBorder="1" applyAlignment="1" applyProtection="1">
      <alignment vertical="center"/>
      <protection locked="0"/>
    </xf>
    <xf numFmtId="173" fontId="96" fillId="0" borderId="16" xfId="10" applyNumberFormat="1" applyFont="1" applyFill="1" applyBorder="1" applyAlignment="1" applyProtection="1">
      <alignment horizontal="center" vertical="center"/>
      <protection locked="0"/>
    </xf>
    <xf numFmtId="170" fontId="96" fillId="0" borderId="2" xfId="9" applyNumberFormat="1" applyFont="1" applyBorder="1" applyAlignment="1" applyProtection="1">
      <alignment vertical="center"/>
      <protection locked="0"/>
    </xf>
    <xf numFmtId="206" fontId="96" fillId="4" borderId="0" xfId="1" applyNumberFormat="1" applyFont="1" applyFill="1" applyBorder="1" applyAlignment="1" applyProtection="1">
      <alignment horizontal="right" vertical="center"/>
      <protection locked="0"/>
    </xf>
    <xf numFmtId="167" fontId="105" fillId="0" borderId="0" xfId="9" applyNumberFormat="1" applyFont="1" applyFill="1" applyBorder="1" applyAlignment="1" applyProtection="1">
      <alignment horizontal="center" vertical="center"/>
      <protection locked="0"/>
    </xf>
    <xf numFmtId="179" fontId="96" fillId="4" borderId="7" xfId="10" applyNumberFormat="1" applyFont="1" applyFill="1" applyBorder="1" applyAlignment="1" applyProtection="1">
      <alignment horizontal="right" vertical="center"/>
      <protection locked="0"/>
    </xf>
    <xf numFmtId="179" fontId="96" fillId="4" borderId="8" xfId="10" applyNumberFormat="1" applyFont="1" applyFill="1" applyBorder="1" applyAlignment="1" applyProtection="1">
      <alignment horizontal="right" vertical="center"/>
      <protection locked="0"/>
    </xf>
    <xf numFmtId="179" fontId="96" fillId="4" borderId="9" xfId="10" applyNumberFormat="1" applyFont="1" applyFill="1" applyBorder="1" applyAlignment="1" applyProtection="1">
      <alignment horizontal="right" vertical="center"/>
      <protection locked="0"/>
    </xf>
    <xf numFmtId="179" fontId="96" fillId="4" borderId="4" xfId="10" applyNumberFormat="1" applyFont="1" applyFill="1" applyBorder="1" applyAlignment="1" applyProtection="1">
      <alignment horizontal="right" vertical="center"/>
      <protection locked="0"/>
    </xf>
    <xf numFmtId="179" fontId="96" fillId="4" borderId="5" xfId="10" applyNumberFormat="1" applyFont="1" applyFill="1" applyBorder="1" applyAlignment="1" applyProtection="1">
      <alignment horizontal="right" vertical="center"/>
      <protection locked="0"/>
    </xf>
    <xf numFmtId="179" fontId="96" fillId="4" borderId="6" xfId="10" applyNumberFormat="1" applyFont="1" applyFill="1" applyBorder="1" applyAlignment="1" applyProtection="1">
      <alignment horizontal="right" vertical="center"/>
      <protection locked="0"/>
    </xf>
    <xf numFmtId="173" fontId="96" fillId="4" borderId="0" xfId="1" applyNumberFormat="1" applyFont="1" applyFill="1" applyBorder="1" applyAlignment="1" applyProtection="1">
      <alignment horizontal="right" vertical="center"/>
      <protection locked="0"/>
    </xf>
    <xf numFmtId="170" fontId="96" fillId="0" borderId="0" xfId="9" applyNumberFormat="1" applyFont="1" applyFill="1" applyBorder="1" applyAlignment="1" applyProtection="1">
      <alignment horizontal="right" vertical="center"/>
      <protection locked="0"/>
    </xf>
    <xf numFmtId="173" fontId="96" fillId="4" borderId="2" xfId="1" applyNumberFormat="1" applyFont="1" applyFill="1" applyBorder="1" applyAlignment="1" applyProtection="1">
      <alignment horizontal="right" vertical="center"/>
      <protection locked="0"/>
    </xf>
    <xf numFmtId="170" fontId="96" fillId="4" borderId="0" xfId="9" applyNumberFormat="1" applyFont="1" applyFill="1" applyBorder="1" applyAlignment="1" applyProtection="1">
      <alignment horizontal="right" vertical="center"/>
      <protection locked="0"/>
    </xf>
    <xf numFmtId="170" fontId="96" fillId="4" borderId="2" xfId="9" applyNumberFormat="1" applyFont="1" applyFill="1" applyBorder="1" applyAlignment="1" applyProtection="1">
      <alignment horizontal="right" vertical="center"/>
      <protection locked="0"/>
    </xf>
    <xf numFmtId="37" fontId="96" fillId="0" borderId="0" xfId="7" applyNumberFormat="1" applyFont="1" applyAlignment="1">
      <alignment vertical="center"/>
    </xf>
    <xf numFmtId="170" fontId="96" fillId="4" borderId="0" xfId="7" applyNumberFormat="1" applyFont="1" applyFill="1" applyAlignment="1">
      <alignment horizontal="right" vertical="center"/>
    </xf>
    <xf numFmtId="37" fontId="97" fillId="0" borderId="2" xfId="7" applyNumberFormat="1" applyFont="1" applyBorder="1" applyAlignment="1">
      <alignment vertical="center"/>
    </xf>
    <xf numFmtId="168" fontId="106" fillId="0" borderId="2" xfId="7" applyNumberFormat="1" applyFont="1" applyBorder="1" applyAlignment="1">
      <alignment horizontal="right" vertical="center"/>
    </xf>
    <xf numFmtId="168" fontId="102" fillId="0" borderId="2" xfId="0" applyNumberFormat="1" applyFont="1" applyBorder="1" applyAlignment="1">
      <alignment horizontal="right" vertical="center"/>
    </xf>
    <xf numFmtId="167" fontId="96" fillId="0" borderId="0" xfId="9" applyNumberFormat="1" applyFont="1" applyFill="1" applyAlignment="1" applyProtection="1">
      <alignment horizontal="center" vertical="center"/>
      <protection locked="0"/>
    </xf>
    <xf numFmtId="170" fontId="99" fillId="0" borderId="0" xfId="0" applyNumberFormat="1" applyFont="1" applyAlignment="1">
      <alignment vertical="center"/>
    </xf>
    <xf numFmtId="170" fontId="97" fillId="0" borderId="0" xfId="7" applyNumberFormat="1" applyFont="1" applyAlignment="1">
      <alignment horizontal="right" vertical="center"/>
    </xf>
    <xf numFmtId="170" fontId="108" fillId="0" borderId="0" xfId="9" applyNumberFormat="1" applyFont="1" applyFill="1" applyAlignment="1" applyProtection="1">
      <alignment vertical="center"/>
      <protection locked="0"/>
    </xf>
    <xf numFmtId="167" fontId="99" fillId="0" borderId="0" xfId="9" applyNumberFormat="1" applyFont="1" applyFill="1" applyAlignment="1" applyProtection="1">
      <alignment horizontal="center" vertical="center"/>
      <protection locked="0"/>
    </xf>
    <xf numFmtId="170" fontId="112" fillId="0" borderId="0" xfId="9" applyNumberFormat="1" applyFont="1" applyFill="1" applyAlignment="1" applyProtection="1">
      <alignment vertical="center"/>
      <protection locked="0"/>
    </xf>
    <xf numFmtId="170" fontId="112" fillId="0" borderId="2" xfId="9" applyNumberFormat="1" applyFont="1" applyFill="1" applyBorder="1" applyAlignment="1" applyProtection="1">
      <alignment vertical="center"/>
      <protection locked="0"/>
    </xf>
    <xf numFmtId="167" fontId="99" fillId="0" borderId="0" xfId="9" applyNumberFormat="1" applyFont="1" applyFill="1" applyBorder="1" applyAlignment="1" applyProtection="1">
      <alignment horizontal="center" vertical="center"/>
      <protection locked="0"/>
    </xf>
    <xf numFmtId="167" fontId="124" fillId="0" borderId="0" xfId="9" applyNumberFormat="1" applyFont="1" applyFill="1" applyBorder="1" applyAlignment="1" applyProtection="1">
      <alignment horizontal="center" vertical="center"/>
      <protection locked="0"/>
    </xf>
    <xf numFmtId="167" fontId="124" fillId="0" borderId="0" xfId="9" applyNumberFormat="1" applyFont="1" applyFill="1" applyBorder="1" applyAlignment="1" applyProtection="1">
      <alignment vertical="center"/>
      <protection locked="0"/>
    </xf>
    <xf numFmtId="167" fontId="99" fillId="0" borderId="0" xfId="9" applyNumberFormat="1" applyFont="1" applyBorder="1" applyAlignment="1" applyProtection="1">
      <alignment horizontal="center" vertical="center"/>
      <protection locked="0"/>
    </xf>
    <xf numFmtId="170" fontId="112" fillId="0" borderId="0" xfId="9" applyNumberFormat="1" applyFont="1" applyBorder="1" applyAlignment="1" applyProtection="1">
      <alignment vertical="center"/>
      <protection locked="0"/>
    </xf>
    <xf numFmtId="169" fontId="106" fillId="0" borderId="0" xfId="7" applyNumberFormat="1" applyFont="1" applyAlignment="1">
      <alignment horizontal="right" vertical="center"/>
    </xf>
    <xf numFmtId="204" fontId="106" fillId="0" borderId="38" xfId="9" applyNumberFormat="1" applyFont="1" applyFill="1" applyBorder="1" applyAlignment="1" applyProtection="1">
      <alignment vertical="center"/>
      <protection locked="0"/>
    </xf>
    <xf numFmtId="0" fontId="106" fillId="0" borderId="0" xfId="9" applyNumberFormat="1" applyFont="1" applyFill="1" applyBorder="1" applyAlignment="1" applyProtection="1">
      <alignment vertical="center"/>
      <protection locked="0"/>
    </xf>
    <xf numFmtId="170" fontId="105" fillId="0" borderId="0" xfId="9" applyNumberFormat="1" applyFont="1" applyBorder="1" applyAlignment="1" applyProtection="1">
      <alignment horizontal="right" vertical="center"/>
      <protection locked="0"/>
    </xf>
    <xf numFmtId="0" fontId="123" fillId="0" borderId="0" xfId="0" applyFont="1" applyAlignment="1">
      <alignment vertical="center"/>
    </xf>
    <xf numFmtId="170" fontId="105" fillId="0" borderId="0" xfId="9" applyNumberFormat="1" applyFont="1" applyFill="1" applyBorder="1" applyAlignment="1" applyProtection="1">
      <alignment horizontal="right" vertical="center"/>
      <protection locked="0"/>
    </xf>
    <xf numFmtId="49" fontId="107" fillId="0" borderId="0" xfId="0" applyNumberFormat="1" applyFont="1" applyAlignment="1">
      <alignment horizontal="left" vertical="center"/>
    </xf>
    <xf numFmtId="200" fontId="107" fillId="4" borderId="4" xfId="9" applyNumberFormat="1" applyFont="1" applyFill="1" applyBorder="1" applyAlignment="1" applyProtection="1">
      <alignment horizontal="right" vertical="center"/>
      <protection locked="0"/>
    </xf>
    <xf numFmtId="200" fontId="107" fillId="4" borderId="5" xfId="9" applyNumberFormat="1" applyFont="1" applyFill="1" applyBorder="1" applyAlignment="1" applyProtection="1">
      <alignment horizontal="right" vertical="center"/>
      <protection locked="0"/>
    </xf>
    <xf numFmtId="200" fontId="107" fillId="4" borderId="6" xfId="9" applyNumberFormat="1" applyFont="1" applyFill="1" applyBorder="1" applyAlignment="1" applyProtection="1">
      <alignment horizontal="right" vertical="center"/>
      <protection locked="0"/>
    </xf>
    <xf numFmtId="204" fontId="96" fillId="0" borderId="17" xfId="9" applyNumberFormat="1" applyFont="1" applyFill="1" applyBorder="1" applyAlignment="1" applyProtection="1">
      <alignment horizontal="center" vertical="center"/>
      <protection locked="0"/>
    </xf>
    <xf numFmtId="167" fontId="106" fillId="0" borderId="0" xfId="9" applyNumberFormat="1" applyFont="1" applyFill="1" applyBorder="1" applyAlignment="1" applyProtection="1">
      <alignment horizontal="center" vertical="center"/>
      <protection locked="0"/>
    </xf>
    <xf numFmtId="193" fontId="96" fillId="0" borderId="18" xfId="9" applyNumberFormat="1" applyFont="1" applyFill="1" applyBorder="1" applyAlignment="1" applyProtection="1">
      <alignment horizontal="center" vertical="center"/>
      <protection locked="0"/>
    </xf>
    <xf numFmtId="193" fontId="96" fillId="4" borderId="26" xfId="9" applyNumberFormat="1" applyFont="1" applyFill="1" applyBorder="1" applyAlignment="1" applyProtection="1">
      <alignment horizontal="center" vertical="center"/>
      <protection locked="0"/>
    </xf>
    <xf numFmtId="193" fontId="96" fillId="0" borderId="0" xfId="9" applyNumberFormat="1" applyFont="1" applyFill="1" applyBorder="1" applyAlignment="1" applyProtection="1">
      <alignment horizontal="center" vertical="center"/>
      <protection locked="0"/>
    </xf>
    <xf numFmtId="193" fontId="108" fillId="0" borderId="0" xfId="9" applyNumberFormat="1" applyFont="1" applyFill="1" applyBorder="1" applyAlignment="1" applyProtection="1">
      <alignment horizontal="right" vertical="center"/>
      <protection locked="0"/>
    </xf>
    <xf numFmtId="193" fontId="107" fillId="4" borderId="0" xfId="9" applyNumberFormat="1" applyFont="1" applyFill="1" applyBorder="1" applyAlignment="1" applyProtection="1">
      <alignment horizontal="right" vertical="center"/>
      <protection locked="0"/>
    </xf>
    <xf numFmtId="0" fontId="124" fillId="0" borderId="0" xfId="0" applyFont="1" applyAlignment="1">
      <alignment vertical="center"/>
    </xf>
    <xf numFmtId="167" fontId="106" fillId="0" borderId="0" xfId="9" applyNumberFormat="1" applyFont="1" applyBorder="1" applyAlignment="1" applyProtection="1">
      <alignment horizontal="center" vertical="center"/>
      <protection locked="0"/>
    </xf>
    <xf numFmtId="167" fontId="125" fillId="0" borderId="0" xfId="9" applyNumberFormat="1" applyFont="1" applyBorder="1" applyAlignment="1" applyProtection="1">
      <alignment horizontal="right" vertical="center"/>
      <protection locked="0"/>
    </xf>
    <xf numFmtId="193" fontId="107" fillId="4" borderId="8" xfId="9" applyNumberFormat="1" applyFont="1" applyFill="1" applyBorder="1" applyAlignment="1" applyProtection="1">
      <alignment horizontal="right" vertical="center"/>
      <protection locked="0"/>
    </xf>
    <xf numFmtId="193" fontId="107" fillId="0" borderId="0" xfId="9" applyNumberFormat="1" applyFont="1" applyFill="1" applyBorder="1" applyAlignment="1" applyProtection="1">
      <alignment horizontal="right" vertical="center"/>
      <protection locked="0"/>
    </xf>
    <xf numFmtId="167" fontId="106" fillId="0" borderId="0" xfId="9" applyNumberFormat="1" applyFont="1" applyBorder="1" applyAlignment="1" applyProtection="1">
      <alignment horizontal="right" vertical="center"/>
      <protection locked="0"/>
    </xf>
    <xf numFmtId="179" fontId="96" fillId="4" borderId="0" xfId="9" applyNumberFormat="1" applyFont="1" applyFill="1" applyBorder="1" applyAlignment="1" applyProtection="1">
      <alignment horizontal="right" vertical="center"/>
      <protection locked="0"/>
    </xf>
    <xf numFmtId="204" fontId="106" fillId="0" borderId="0" xfId="9" applyNumberFormat="1" applyFont="1" applyFill="1" applyBorder="1" applyAlignment="1" applyProtection="1">
      <alignment vertical="center"/>
      <protection locked="0"/>
    </xf>
    <xf numFmtId="204" fontId="106" fillId="0" borderId="0" xfId="9" applyNumberFormat="1" applyFont="1" applyFill="1" applyAlignment="1" applyProtection="1">
      <alignment vertical="center"/>
      <protection locked="0"/>
    </xf>
    <xf numFmtId="193" fontId="108" fillId="0" borderId="0" xfId="9" applyNumberFormat="1" applyFont="1" applyFill="1" applyBorder="1" applyAlignment="1" applyProtection="1">
      <alignment horizontal="center" vertical="center"/>
      <protection locked="0"/>
    </xf>
    <xf numFmtId="193" fontId="107" fillId="4" borderId="2" xfId="9" applyNumberFormat="1" applyFont="1" applyFill="1" applyBorder="1" applyAlignment="1" applyProtection="1">
      <alignment horizontal="right" vertical="center"/>
      <protection locked="0"/>
    </xf>
    <xf numFmtId="167" fontId="125" fillId="0" borderId="0" xfId="9" applyNumberFormat="1" applyFont="1" applyFill="1" applyBorder="1" applyAlignment="1" applyProtection="1">
      <alignment horizontal="center" vertical="center"/>
      <protection locked="0"/>
    </xf>
    <xf numFmtId="0" fontId="127" fillId="0" borderId="0" xfId="0" applyFont="1" applyAlignment="1">
      <alignment vertical="center"/>
    </xf>
    <xf numFmtId="167" fontId="125" fillId="0" borderId="0" xfId="9" applyNumberFormat="1" applyFont="1" applyBorder="1" applyAlignment="1" applyProtection="1">
      <alignment vertical="center"/>
      <protection locked="0"/>
    </xf>
    <xf numFmtId="185" fontId="107" fillId="0" borderId="0" xfId="9" applyNumberFormat="1" applyFont="1" applyFill="1" applyBorder="1" applyAlignment="1" applyProtection="1">
      <alignment horizontal="right" vertical="center"/>
      <protection locked="0"/>
    </xf>
    <xf numFmtId="183" fontId="96" fillId="0" borderId="0" xfId="0" applyNumberFormat="1" applyFont="1" applyAlignment="1">
      <alignment horizontal="right" vertical="center"/>
    </xf>
    <xf numFmtId="14" fontId="96" fillId="0" borderId="0" xfId="9" applyNumberFormat="1" applyFont="1" applyFill="1" applyBorder="1" applyAlignment="1" applyProtection="1">
      <alignment vertical="center"/>
      <protection locked="0"/>
    </xf>
    <xf numFmtId="0" fontId="96" fillId="0" borderId="17" xfId="0" applyFont="1" applyBorder="1" applyAlignment="1">
      <alignment horizontal="center" vertical="center"/>
    </xf>
    <xf numFmtId="0" fontId="96" fillId="0" borderId="7" xfId="0" applyFont="1" applyBorder="1" applyAlignment="1">
      <alignment horizontal="center" vertical="center"/>
    </xf>
    <xf numFmtId="0" fontId="96" fillId="0" borderId="8" xfId="0" applyFont="1" applyBorder="1" applyAlignment="1">
      <alignment horizontal="center" vertical="center"/>
    </xf>
    <xf numFmtId="0" fontId="96" fillId="0" borderId="9" xfId="0" applyFont="1" applyBorder="1" applyAlignment="1">
      <alignment horizontal="center" vertical="center"/>
    </xf>
    <xf numFmtId="166" fontId="96" fillId="0" borderId="0" xfId="7" applyNumberFormat="1" applyFont="1" applyAlignment="1">
      <alignment vertical="center"/>
    </xf>
    <xf numFmtId="197" fontId="96" fillId="0" borderId="26" xfId="7" applyNumberFormat="1" applyFont="1" applyBorder="1" applyAlignment="1">
      <alignment horizontal="center" vertical="center"/>
    </xf>
    <xf numFmtId="197" fontId="96" fillId="4" borderId="12" xfId="7" applyNumberFormat="1" applyFont="1" applyFill="1" applyBorder="1" applyAlignment="1">
      <alignment horizontal="center" vertical="center"/>
    </xf>
    <xf numFmtId="197" fontId="96" fillId="4" borderId="2" xfId="7" applyNumberFormat="1" applyFont="1" applyFill="1" applyBorder="1" applyAlignment="1">
      <alignment horizontal="center" vertical="center"/>
    </xf>
    <xf numFmtId="197" fontId="96" fillId="4" borderId="13" xfId="7" applyNumberFormat="1" applyFont="1" applyFill="1" applyBorder="1" applyAlignment="1">
      <alignment horizontal="center" vertical="center"/>
    </xf>
    <xf numFmtId="190" fontId="96" fillId="0" borderId="0" xfId="7" applyNumberFormat="1" applyFont="1" applyAlignment="1">
      <alignment vertical="center"/>
    </xf>
    <xf numFmtId="191" fontId="96" fillId="0" borderId="0" xfId="9" applyNumberFormat="1" applyFont="1" applyFill="1" applyBorder="1" applyAlignment="1" applyProtection="1">
      <alignment vertical="center"/>
      <protection locked="0"/>
    </xf>
    <xf numFmtId="201" fontId="96" fillId="0" borderId="0" xfId="9" applyNumberFormat="1" applyFont="1" applyFill="1" applyBorder="1" applyAlignment="1" applyProtection="1">
      <alignment vertical="center"/>
      <protection locked="0"/>
    </xf>
    <xf numFmtId="187" fontId="106" fillId="0" borderId="0" xfId="9" applyNumberFormat="1" applyFont="1" applyFill="1" applyBorder="1" applyAlignment="1" applyProtection="1">
      <alignment horizontal="right" vertical="center"/>
      <protection locked="0"/>
    </xf>
    <xf numFmtId="165" fontId="96" fillId="0" borderId="0" xfId="13" applyFont="1" applyFill="1" applyBorder="1" applyAlignment="1" applyProtection="1">
      <alignment vertical="center"/>
      <protection locked="0"/>
    </xf>
    <xf numFmtId="168" fontId="106" fillId="0" borderId="0" xfId="7" applyNumberFormat="1" applyFont="1" applyAlignment="1">
      <alignment horizontal="left" vertical="center"/>
    </xf>
    <xf numFmtId="167" fontId="99" fillId="0" borderId="0" xfId="9" applyNumberFormat="1" applyFont="1" applyFill="1" applyAlignment="1" applyProtection="1">
      <alignment vertical="center"/>
      <protection locked="0"/>
    </xf>
    <xf numFmtId="170" fontId="107" fillId="4" borderId="0" xfId="9" applyNumberFormat="1" applyFont="1" applyFill="1" applyBorder="1" applyAlignment="1" applyProtection="1">
      <alignment horizontal="right" vertical="center"/>
      <protection locked="0"/>
    </xf>
    <xf numFmtId="194" fontId="96" fillId="4" borderId="0" xfId="9" applyNumberFormat="1" applyFont="1" applyFill="1" applyBorder="1" applyAlignment="1" applyProtection="1">
      <alignment horizontal="right" vertical="center"/>
      <protection locked="0"/>
    </xf>
    <xf numFmtId="170" fontId="107" fillId="4" borderId="8" xfId="9" applyNumberFormat="1" applyFont="1" applyFill="1" applyBorder="1" applyAlignment="1" applyProtection="1">
      <alignment horizontal="right" vertical="center"/>
      <protection locked="0"/>
    </xf>
    <xf numFmtId="170" fontId="107" fillId="0" borderId="0" xfId="9" applyNumberFormat="1" applyFont="1" applyFill="1" applyBorder="1" applyAlignment="1" applyProtection="1">
      <alignment horizontal="right" vertical="center"/>
      <protection locked="0"/>
    </xf>
    <xf numFmtId="174" fontId="96" fillId="0" borderId="0" xfId="10" applyNumberFormat="1" applyFont="1" applyFill="1" applyBorder="1" applyAlignment="1" applyProtection="1">
      <alignment vertical="center"/>
      <protection locked="0"/>
    </xf>
    <xf numFmtId="0" fontId="99" fillId="0" borderId="0" xfId="0" applyFont="1" applyAlignment="1">
      <alignment horizontal="left" vertical="center"/>
    </xf>
    <xf numFmtId="168" fontId="106" fillId="0" borderId="0" xfId="7" applyNumberFormat="1" applyFont="1" applyAlignment="1">
      <alignment horizontal="centerContinuous" vertical="center"/>
    </xf>
    <xf numFmtId="170" fontId="96" fillId="0" borderId="0" xfId="9" applyNumberFormat="1" applyFont="1" applyFill="1" applyBorder="1" applyAlignment="1" applyProtection="1">
      <alignment horizontal="left" vertical="center"/>
      <protection locked="0"/>
    </xf>
    <xf numFmtId="168" fontId="106" fillId="0" borderId="38" xfId="7" applyNumberFormat="1" applyFont="1" applyBorder="1" applyAlignment="1">
      <alignment horizontal="left" vertical="center"/>
    </xf>
    <xf numFmtId="168" fontId="106" fillId="0" borderId="38" xfId="7" applyNumberFormat="1" applyFont="1" applyBorder="1" applyAlignment="1">
      <alignment horizontal="center" vertical="center"/>
    </xf>
    <xf numFmtId="167" fontId="106" fillId="0" borderId="0" xfId="9" applyNumberFormat="1" applyFont="1" applyFill="1" applyBorder="1" applyAlignment="1" applyProtection="1">
      <alignment horizontal="left" vertical="center"/>
      <protection locked="0"/>
    </xf>
    <xf numFmtId="167" fontId="96" fillId="0" borderId="0" xfId="9" applyNumberFormat="1" applyFont="1" applyAlignment="1" applyProtection="1">
      <alignment horizontal="left" vertical="center"/>
      <protection locked="0"/>
    </xf>
    <xf numFmtId="198" fontId="106" fillId="0" borderId="38" xfId="7" applyNumberFormat="1" applyFont="1" applyBorder="1" applyAlignment="1">
      <alignment horizontal="right" vertical="center"/>
    </xf>
    <xf numFmtId="199" fontId="96" fillId="0" borderId="0" xfId="0" applyNumberFormat="1" applyFont="1" applyAlignment="1">
      <alignment horizontal="left" vertical="center"/>
    </xf>
    <xf numFmtId="173" fontId="107" fillId="4" borderId="0" xfId="10" applyNumberFormat="1" applyFont="1" applyFill="1" applyBorder="1" applyAlignment="1" applyProtection="1">
      <alignment horizontal="center" vertical="center"/>
      <protection locked="0"/>
    </xf>
    <xf numFmtId="194" fontId="96" fillId="4" borderId="0" xfId="9" applyNumberFormat="1" applyFont="1" applyFill="1" applyAlignment="1" applyProtection="1">
      <alignment horizontal="center" vertical="center"/>
      <protection locked="0"/>
    </xf>
    <xf numFmtId="9" fontId="99" fillId="0" borderId="0" xfId="1" applyFont="1" applyAlignment="1">
      <alignment vertical="center"/>
    </xf>
    <xf numFmtId="197" fontId="96" fillId="0" borderId="0" xfId="7" applyNumberFormat="1" applyFont="1" applyAlignment="1">
      <alignment horizontal="center" vertical="center"/>
    </xf>
    <xf numFmtId="0" fontId="100" fillId="0" borderId="0" xfId="0" applyFont="1" applyAlignment="1">
      <alignment vertical="center"/>
    </xf>
    <xf numFmtId="174" fontId="128" fillId="0" borderId="36" xfId="1" applyNumberFormat="1" applyFont="1" applyBorder="1" applyAlignment="1">
      <alignment horizontal="center" vertical="center"/>
    </xf>
    <xf numFmtId="170" fontId="99" fillId="0" borderId="51" xfId="0" applyNumberFormat="1" applyFont="1" applyBorder="1" applyAlignment="1">
      <alignment vertical="center"/>
    </xf>
    <xf numFmtId="170" fontId="99" fillId="0" borderId="52" xfId="0" applyNumberFormat="1" applyFont="1" applyBorder="1" applyAlignment="1">
      <alignment vertical="center"/>
    </xf>
    <xf numFmtId="170" fontId="99" fillId="0" borderId="53" xfId="0" applyNumberFormat="1" applyFont="1" applyBorder="1" applyAlignment="1">
      <alignment vertical="center"/>
    </xf>
    <xf numFmtId="0" fontId="99" fillId="0" borderId="27" xfId="0" applyFont="1" applyBorder="1" applyAlignment="1">
      <alignment vertical="center"/>
    </xf>
    <xf numFmtId="170" fontId="99" fillId="0" borderId="27" xfId="0" applyNumberFormat="1" applyFont="1" applyBorder="1" applyAlignment="1">
      <alignment vertical="center"/>
    </xf>
    <xf numFmtId="170" fontId="124" fillId="0" borderId="0" xfId="0" applyNumberFormat="1" applyFont="1" applyAlignment="1">
      <alignment vertical="center"/>
    </xf>
    <xf numFmtId="9" fontId="99" fillId="0" borderId="0" xfId="0" applyNumberFormat="1" applyFont="1" applyAlignment="1">
      <alignment vertical="center"/>
    </xf>
    <xf numFmtId="193" fontId="106" fillId="0" borderId="0" xfId="9" applyNumberFormat="1" applyFont="1" applyFill="1" applyBorder="1" applyAlignment="1" applyProtection="1">
      <alignment horizontal="right" vertical="center"/>
      <protection locked="0"/>
    </xf>
    <xf numFmtId="9" fontId="124" fillId="0" borderId="0" xfId="1" applyFont="1" applyAlignment="1">
      <alignment vertical="center"/>
    </xf>
    <xf numFmtId="0" fontId="96" fillId="0" borderId="0" xfId="7" applyFont="1"/>
    <xf numFmtId="0" fontId="96" fillId="9" borderId="0" xfId="0" applyFont="1" applyFill="1"/>
    <xf numFmtId="167" fontId="99" fillId="0" borderId="0" xfId="8" applyNumberFormat="1" applyFont="1" applyProtection="1">
      <protection locked="0"/>
    </xf>
    <xf numFmtId="167" fontId="100" fillId="0" borderId="0" xfId="8" applyNumberFormat="1" applyFont="1" applyProtection="1">
      <protection locked="0"/>
    </xf>
    <xf numFmtId="167" fontId="100" fillId="0" borderId="0" xfId="8" applyNumberFormat="1" applyFont="1" applyAlignment="1" applyProtection="1">
      <alignment horizontal="center"/>
      <protection locked="0"/>
    </xf>
    <xf numFmtId="167" fontId="100" fillId="0" borderId="0" xfId="8" applyNumberFormat="1" applyFont="1" applyAlignment="1">
      <alignment horizontal="right"/>
    </xf>
    <xf numFmtId="0" fontId="101" fillId="7" borderId="0" xfId="7" applyFont="1" applyFill="1" applyAlignment="1">
      <alignment vertical="center"/>
    </xf>
    <xf numFmtId="37" fontId="101" fillId="7" borderId="0" xfId="7" applyNumberFormat="1" applyFont="1" applyFill="1" applyAlignment="1">
      <alignment vertical="center"/>
    </xf>
    <xf numFmtId="0" fontId="129" fillId="8" borderId="0" xfId="7" applyFont="1" applyFill="1"/>
    <xf numFmtId="168" fontId="97" fillId="0" borderId="37" xfId="7" applyNumberFormat="1" applyFont="1" applyBorder="1" applyAlignment="1">
      <alignment horizontal="right"/>
    </xf>
    <xf numFmtId="0" fontId="105" fillId="0" borderId="0" xfId="0" applyFont="1" applyAlignment="1">
      <alignment horizontal="left" vertical="center" indent="1"/>
    </xf>
    <xf numFmtId="168" fontId="106" fillId="0" borderId="0" xfId="0" applyNumberFormat="1" applyFont="1" applyAlignment="1">
      <alignment horizontal="right"/>
    </xf>
    <xf numFmtId="169" fontId="106" fillId="0" borderId="38" xfId="0" applyNumberFormat="1" applyFont="1" applyBorder="1" applyAlignment="1">
      <alignment horizontal="right"/>
    </xf>
    <xf numFmtId="0" fontId="109" fillId="0" borderId="0" xfId="0" applyFont="1" applyAlignment="1">
      <alignment horizontal="left"/>
    </xf>
    <xf numFmtId="0" fontId="99" fillId="0" borderId="0" xfId="0" applyFont="1"/>
    <xf numFmtId="0" fontId="100" fillId="0" borderId="0" xfId="0" applyFont="1" applyAlignment="1">
      <alignment horizontal="right" vertical="center"/>
    </xf>
    <xf numFmtId="190" fontId="113" fillId="0" borderId="0" xfId="0" applyNumberFormat="1" applyFont="1" applyAlignment="1">
      <alignment horizontal="right" vertical="center"/>
    </xf>
    <xf numFmtId="0" fontId="108" fillId="0" borderId="0" xfId="0" applyFont="1" applyAlignment="1">
      <alignment horizontal="center" vertical="center"/>
    </xf>
    <xf numFmtId="0" fontId="108" fillId="0" borderId="0" xfId="0" applyFont="1" applyAlignment="1">
      <alignment vertical="center"/>
    </xf>
    <xf numFmtId="170" fontId="109" fillId="4" borderId="21" xfId="1" applyNumberFormat="1" applyFont="1" applyFill="1" applyBorder="1" applyAlignment="1">
      <alignment horizontal="right" vertical="center"/>
    </xf>
    <xf numFmtId="170" fontId="109" fillId="4" borderId="20" xfId="1" applyNumberFormat="1" applyFont="1" applyFill="1" applyBorder="1" applyAlignment="1">
      <alignment horizontal="right" vertical="center"/>
    </xf>
    <xf numFmtId="170" fontId="109" fillId="4" borderId="19" xfId="1" applyNumberFormat="1" applyFont="1" applyFill="1" applyBorder="1" applyAlignment="1">
      <alignment horizontal="right" vertical="center"/>
    </xf>
    <xf numFmtId="174" fontId="99" fillId="0" borderId="0" xfId="0" applyNumberFormat="1" applyFont="1" applyAlignment="1">
      <alignment vertical="center"/>
    </xf>
    <xf numFmtId="174" fontId="100" fillId="0" borderId="0" xfId="0" applyNumberFormat="1" applyFont="1" applyAlignment="1">
      <alignment horizontal="right" vertical="center"/>
    </xf>
    <xf numFmtId="174" fontId="113" fillId="0" borderId="0" xfId="0" applyNumberFormat="1" applyFont="1" applyAlignment="1">
      <alignment horizontal="right" vertical="center"/>
    </xf>
    <xf numFmtId="174" fontId="99" fillId="0" borderId="0" xfId="0" applyNumberFormat="1" applyFont="1"/>
    <xf numFmtId="0" fontId="99" fillId="4" borderId="0" xfId="0" applyFont="1" applyFill="1" applyAlignment="1">
      <alignment vertical="center"/>
    </xf>
    <xf numFmtId="170" fontId="108" fillId="0" borderId="7" xfId="0" applyNumberFormat="1" applyFont="1" applyBorder="1" applyAlignment="1">
      <alignment horizontal="right" vertical="center"/>
    </xf>
    <xf numFmtId="170" fontId="108" fillId="0" borderId="8" xfId="0" applyNumberFormat="1" applyFont="1" applyBorder="1" applyAlignment="1">
      <alignment horizontal="right" vertical="center"/>
    </xf>
    <xf numFmtId="170" fontId="108" fillId="0" borderId="9" xfId="0" applyNumberFormat="1" applyFont="1" applyBorder="1" applyAlignment="1">
      <alignment horizontal="right" vertical="center"/>
    </xf>
    <xf numFmtId="170" fontId="130" fillId="0" borderId="10" xfId="0" applyNumberFormat="1" applyFont="1" applyBorder="1" applyAlignment="1">
      <alignment horizontal="right" vertical="center"/>
    </xf>
    <xf numFmtId="170" fontId="108" fillId="0" borderId="11" xfId="0" applyNumberFormat="1" applyFont="1" applyBorder="1" applyAlignment="1">
      <alignment horizontal="right" vertical="center"/>
    </xf>
    <xf numFmtId="170" fontId="108" fillId="0" borderId="12" xfId="0" applyNumberFormat="1" applyFont="1" applyBorder="1" applyAlignment="1">
      <alignment horizontal="right" vertical="center"/>
    </xf>
    <xf numFmtId="170" fontId="108" fillId="0" borderId="13" xfId="0" applyNumberFormat="1" applyFont="1" applyBorder="1" applyAlignment="1">
      <alignment horizontal="right" vertical="center"/>
    </xf>
    <xf numFmtId="0" fontId="108" fillId="0" borderId="0" xfId="0" applyFont="1" applyAlignment="1">
      <alignment horizontal="left" vertical="center" indent="2"/>
    </xf>
    <xf numFmtId="9" fontId="99" fillId="0" borderId="0" xfId="1" applyFont="1"/>
    <xf numFmtId="181" fontId="109" fillId="4" borderId="21" xfId="1" applyNumberFormat="1" applyFont="1" applyFill="1" applyBorder="1" applyAlignment="1">
      <alignment horizontal="right" vertical="center"/>
    </xf>
    <xf numFmtId="181" fontId="109" fillId="4" borderId="20" xfId="1" applyNumberFormat="1" applyFont="1" applyFill="1" applyBorder="1" applyAlignment="1">
      <alignment horizontal="right" vertical="center"/>
    </xf>
    <xf numFmtId="181" fontId="109" fillId="4" borderId="19" xfId="1" applyNumberFormat="1" applyFont="1" applyFill="1" applyBorder="1" applyAlignment="1">
      <alignment horizontal="right" vertical="center"/>
    </xf>
    <xf numFmtId="181" fontId="108" fillId="0" borderId="7" xfId="0" applyNumberFormat="1" applyFont="1" applyBorder="1" applyAlignment="1">
      <alignment horizontal="right" vertical="center"/>
    </xf>
    <xf numFmtId="181" fontId="108" fillId="0" borderId="8" xfId="0" applyNumberFormat="1" applyFont="1" applyBorder="1" applyAlignment="1">
      <alignment horizontal="right" vertical="center"/>
    </xf>
    <xf numFmtId="181" fontId="108" fillId="0" borderId="9" xfId="0" applyNumberFormat="1" applyFont="1" applyBorder="1" applyAlignment="1">
      <alignment horizontal="right" vertical="center"/>
    </xf>
    <xf numFmtId="181" fontId="130" fillId="0" borderId="10" xfId="0" applyNumberFormat="1" applyFont="1" applyBorder="1" applyAlignment="1">
      <alignment horizontal="right" vertical="center"/>
    </xf>
    <xf numFmtId="181" fontId="108" fillId="0" borderId="0" xfId="0" applyNumberFormat="1" applyFont="1" applyAlignment="1">
      <alignment horizontal="right" vertical="center"/>
    </xf>
    <xf numFmtId="181" fontId="108" fillId="0" borderId="11" xfId="0" applyNumberFormat="1" applyFont="1" applyBorder="1" applyAlignment="1">
      <alignment horizontal="right" vertical="center"/>
    </xf>
    <xf numFmtId="181" fontId="108" fillId="0" borderId="12" xfId="0" applyNumberFormat="1" applyFont="1" applyBorder="1" applyAlignment="1">
      <alignment horizontal="right" vertical="center"/>
    </xf>
    <xf numFmtId="181" fontId="108" fillId="0" borderId="2" xfId="0" applyNumberFormat="1" applyFont="1" applyBorder="1" applyAlignment="1">
      <alignment horizontal="right" vertical="center"/>
    </xf>
    <xf numFmtId="181" fontId="108" fillId="0" borderId="13" xfId="0" applyNumberFormat="1" applyFont="1" applyBorder="1" applyAlignment="1">
      <alignment horizontal="right" vertical="center"/>
    </xf>
    <xf numFmtId="173" fontId="109" fillId="4" borderId="21" xfId="1" applyNumberFormat="1" applyFont="1" applyFill="1" applyBorder="1" applyAlignment="1">
      <alignment vertical="center"/>
    </xf>
    <xf numFmtId="173" fontId="109" fillId="4" borderId="20" xfId="1" applyNumberFormat="1" applyFont="1" applyFill="1" applyBorder="1" applyAlignment="1">
      <alignment vertical="center"/>
    </xf>
    <xf numFmtId="173" fontId="109" fillId="4" borderId="19" xfId="1" applyNumberFormat="1" applyFont="1" applyFill="1" applyBorder="1" applyAlignment="1">
      <alignment vertical="center"/>
    </xf>
    <xf numFmtId="173" fontId="99" fillId="0" borderId="0" xfId="0" applyNumberFormat="1" applyFont="1" applyAlignment="1">
      <alignment vertical="center"/>
    </xf>
    <xf numFmtId="173" fontId="100" fillId="0" borderId="0" xfId="0" applyNumberFormat="1" applyFont="1" applyAlignment="1">
      <alignment horizontal="right" vertical="center"/>
    </xf>
    <xf numFmtId="173" fontId="113" fillId="0" borderId="0" xfId="0" applyNumberFormat="1" applyFont="1" applyAlignment="1">
      <alignment horizontal="right" vertical="center"/>
    </xf>
    <xf numFmtId="173" fontId="99" fillId="0" borderId="0" xfId="0" applyNumberFormat="1" applyFont="1"/>
    <xf numFmtId="173" fontId="108" fillId="0" borderId="7" xfId="0" applyNumberFormat="1" applyFont="1" applyBorder="1" applyAlignment="1">
      <alignment vertical="center"/>
    </xf>
    <xf numFmtId="173" fontId="108" fillId="0" borderId="8" xfId="0" applyNumberFormat="1" applyFont="1" applyBorder="1" applyAlignment="1">
      <alignment vertical="center"/>
    </xf>
    <xf numFmtId="173" fontId="108" fillId="0" borderId="9" xfId="0" applyNumberFormat="1" applyFont="1" applyBorder="1" applyAlignment="1">
      <alignment vertical="center"/>
    </xf>
    <xf numFmtId="173" fontId="130" fillId="0" borderId="10" xfId="0" applyNumberFormat="1" applyFont="1" applyBorder="1" applyAlignment="1">
      <alignment vertical="center"/>
    </xf>
    <xf numFmtId="173" fontId="108" fillId="0" borderId="11" xfId="0" applyNumberFormat="1" applyFont="1" applyBorder="1" applyAlignment="1">
      <alignment vertical="center"/>
    </xf>
    <xf numFmtId="173" fontId="108" fillId="0" borderId="12" xfId="0" applyNumberFormat="1" applyFont="1" applyBorder="1" applyAlignment="1">
      <alignment vertical="center"/>
    </xf>
    <xf numFmtId="173" fontId="108" fillId="0" borderId="2" xfId="0" applyNumberFormat="1" applyFont="1" applyBorder="1" applyAlignment="1">
      <alignment vertical="center"/>
    </xf>
    <xf numFmtId="173" fontId="108" fillId="0" borderId="13" xfId="0" applyNumberFormat="1" applyFont="1" applyBorder="1" applyAlignment="1">
      <alignment vertical="center"/>
    </xf>
    <xf numFmtId="0" fontId="96" fillId="0" borderId="0" xfId="0" applyFont="1" applyAlignment="1">
      <alignment horizontal="right" vertical="center"/>
    </xf>
    <xf numFmtId="173" fontId="105" fillId="0" borderId="0" xfId="0" applyNumberFormat="1" applyFont="1" applyAlignment="1">
      <alignment horizontal="right" vertical="center"/>
    </xf>
    <xf numFmtId="173" fontId="108" fillId="0" borderId="10" xfId="0" applyNumberFormat="1" applyFont="1" applyBorder="1" applyAlignment="1">
      <alignment vertical="center"/>
    </xf>
    <xf numFmtId="173" fontId="97" fillId="0" borderId="0" xfId="0" applyNumberFormat="1" applyFont="1" applyAlignment="1">
      <alignment horizontal="right" vertical="center"/>
    </xf>
    <xf numFmtId="174" fontId="105" fillId="0" borderId="0" xfId="0" applyNumberFormat="1" applyFont="1" applyAlignment="1">
      <alignment horizontal="right" vertical="center"/>
    </xf>
    <xf numFmtId="170" fontId="99" fillId="0" borderId="0" xfId="0" applyNumberFormat="1" applyFont="1" applyAlignment="1">
      <alignment horizontal="right" vertical="center"/>
    </xf>
    <xf numFmtId="170" fontId="105" fillId="0" borderId="0" xfId="0" applyNumberFormat="1" applyFont="1" applyAlignment="1">
      <alignment horizontal="right" vertical="center"/>
    </xf>
    <xf numFmtId="170" fontId="113" fillId="0" borderId="0" xfId="0" applyNumberFormat="1" applyFont="1" applyAlignment="1">
      <alignment horizontal="right" vertical="center"/>
    </xf>
    <xf numFmtId="170" fontId="99" fillId="0" borderId="0" xfId="0" applyNumberFormat="1" applyFont="1" applyAlignment="1">
      <alignment horizontal="right"/>
    </xf>
    <xf numFmtId="170" fontId="108" fillId="0" borderId="58" xfId="0" applyNumberFormat="1" applyFont="1" applyBorder="1" applyAlignment="1">
      <alignment horizontal="right" vertical="center"/>
    </xf>
    <xf numFmtId="170" fontId="108" fillId="0" borderId="10" xfId="0" applyNumberFormat="1" applyFont="1" applyBorder="1" applyAlignment="1">
      <alignment horizontal="right" vertical="center"/>
    </xf>
    <xf numFmtId="170" fontId="108" fillId="0" borderId="50" xfId="0" applyNumberFormat="1" applyFont="1" applyBorder="1" applyAlignment="1">
      <alignment horizontal="right" vertical="center"/>
    </xf>
    <xf numFmtId="170" fontId="108" fillId="0" borderId="59" xfId="0" applyNumberFormat="1" applyFont="1" applyBorder="1" applyAlignment="1">
      <alignment horizontal="right" vertical="center"/>
    </xf>
    <xf numFmtId="167" fontId="99" fillId="0" borderId="0" xfId="5" applyNumberFormat="1" applyFont="1" applyProtection="1">
      <protection locked="0"/>
    </xf>
    <xf numFmtId="168" fontId="102" fillId="0" borderId="0" xfId="0" applyNumberFormat="1" applyFont="1" applyAlignment="1">
      <alignment horizontal="right"/>
    </xf>
    <xf numFmtId="0" fontId="107" fillId="0" borderId="0" xfId="0" applyFont="1" applyAlignment="1">
      <alignment horizontal="left"/>
    </xf>
    <xf numFmtId="0" fontId="105" fillId="0" borderId="0" xfId="0" applyFont="1" applyAlignment="1">
      <alignment horizontal="center"/>
    </xf>
    <xf numFmtId="0" fontId="106" fillId="0" borderId="0" xfId="0" applyFont="1" applyAlignment="1">
      <alignment horizontal="left"/>
    </xf>
    <xf numFmtId="181" fontId="109" fillId="0" borderId="21" xfId="0" applyNumberFormat="1" applyFont="1" applyBorder="1" applyAlignment="1">
      <alignment horizontal="right"/>
    </xf>
    <xf numFmtId="181" fontId="109" fillId="0" borderId="20" xfId="0" applyNumberFormat="1" applyFont="1" applyBorder="1" applyAlignment="1">
      <alignment horizontal="right"/>
    </xf>
    <xf numFmtId="181" fontId="109" fillId="0" borderId="19" xfId="0" applyNumberFormat="1" applyFont="1" applyBorder="1" applyAlignment="1">
      <alignment horizontal="right"/>
    </xf>
    <xf numFmtId="0" fontId="96" fillId="0" borderId="0" xfId="0" applyFont="1" applyAlignment="1">
      <alignment horizontal="center" vertical="center"/>
    </xf>
    <xf numFmtId="181" fontId="99" fillId="0" borderId="0" xfId="0" applyNumberFormat="1" applyFont="1" applyAlignment="1">
      <alignment horizontal="right" vertical="center"/>
    </xf>
    <xf numFmtId="181" fontId="105" fillId="0" borderId="0" xfId="0" applyNumberFormat="1" applyFont="1" applyAlignment="1">
      <alignment horizontal="right" vertical="center"/>
    </xf>
    <xf numFmtId="181" fontId="113" fillId="0" borderId="0" xfId="0" applyNumberFormat="1" applyFont="1" applyAlignment="1">
      <alignment horizontal="right" vertical="center"/>
    </xf>
    <xf numFmtId="181" fontId="99" fillId="0" borderId="0" xfId="0" applyNumberFormat="1" applyFont="1" applyAlignment="1">
      <alignment horizontal="right"/>
    </xf>
    <xf numFmtId="181" fontId="108" fillId="0" borderId="7" xfId="0" applyNumberFormat="1" applyFont="1" applyBorder="1" applyAlignment="1">
      <alignment horizontal="right"/>
    </xf>
    <xf numFmtId="181" fontId="108" fillId="0" borderId="8" xfId="0" applyNumberFormat="1" applyFont="1" applyBorder="1" applyAlignment="1">
      <alignment horizontal="right"/>
    </xf>
    <xf numFmtId="181" fontId="108" fillId="0" borderId="9" xfId="0" applyNumberFormat="1" applyFont="1" applyBorder="1" applyAlignment="1">
      <alignment horizontal="right"/>
    </xf>
    <xf numFmtId="181" fontId="108" fillId="0" borderId="10" xfId="0" applyNumberFormat="1" applyFont="1" applyBorder="1" applyAlignment="1">
      <alignment horizontal="right"/>
    </xf>
    <xf numFmtId="181" fontId="108" fillId="0" borderId="0" xfId="0" applyNumberFormat="1" applyFont="1" applyAlignment="1">
      <alignment horizontal="right"/>
    </xf>
    <xf numFmtId="181" fontId="108" fillId="0" borderId="11" xfId="0" applyNumberFormat="1" applyFont="1" applyBorder="1" applyAlignment="1">
      <alignment horizontal="right"/>
    </xf>
    <xf numFmtId="181" fontId="108" fillId="0" borderId="12" xfId="0" applyNumberFormat="1" applyFont="1" applyBorder="1" applyAlignment="1">
      <alignment horizontal="right"/>
    </xf>
    <xf numFmtId="181" fontId="108" fillId="0" borderId="2" xfId="0" applyNumberFormat="1" applyFont="1" applyBorder="1" applyAlignment="1">
      <alignment horizontal="right"/>
    </xf>
    <xf numFmtId="181" fontId="108" fillId="0" borderId="13" xfId="0" applyNumberFormat="1" applyFont="1" applyBorder="1" applyAlignment="1">
      <alignment horizontal="right"/>
    </xf>
    <xf numFmtId="181" fontId="106" fillId="0" borderId="21" xfId="0" applyNumberFormat="1" applyFont="1" applyBorder="1" applyAlignment="1">
      <alignment horizontal="right"/>
    </xf>
    <xf numFmtId="181" fontId="106" fillId="0" borderId="20" xfId="0" applyNumberFormat="1" applyFont="1" applyBorder="1" applyAlignment="1">
      <alignment horizontal="right"/>
    </xf>
    <xf numFmtId="181" fontId="106" fillId="0" borderId="19" xfId="0" applyNumberFormat="1" applyFont="1" applyBorder="1" applyAlignment="1">
      <alignment horizontal="right"/>
    </xf>
    <xf numFmtId="181" fontId="108" fillId="0" borderId="23" xfId="0" applyNumberFormat="1" applyFont="1" applyBorder="1" applyAlignment="1">
      <alignment horizontal="right"/>
    </xf>
    <xf numFmtId="37" fontId="102" fillId="0" borderId="2" xfId="0" applyNumberFormat="1" applyFont="1" applyBorder="1" applyAlignment="1">
      <alignment vertical="center"/>
    </xf>
    <xf numFmtId="168" fontId="97" fillId="0" borderId="2" xfId="0" applyNumberFormat="1" applyFont="1" applyBorder="1" applyAlignment="1">
      <alignment horizontal="right" vertical="center"/>
    </xf>
    <xf numFmtId="37" fontId="102" fillId="0" borderId="0" xfId="0" applyNumberFormat="1" applyFont="1" applyAlignment="1">
      <alignment vertical="center"/>
    </xf>
    <xf numFmtId="0" fontId="107" fillId="0" borderId="0" xfId="0" applyFont="1" applyAlignment="1">
      <alignment horizontal="right" vertical="center"/>
    </xf>
    <xf numFmtId="0" fontId="107" fillId="0" borderId="0" xfId="0" applyFont="1" applyAlignment="1">
      <alignment horizontal="center" vertical="center"/>
    </xf>
    <xf numFmtId="170" fontId="106" fillId="0" borderId="21" xfId="0" applyNumberFormat="1" applyFont="1" applyBorder="1" applyAlignment="1">
      <alignment horizontal="right"/>
    </xf>
    <xf numFmtId="170" fontId="106" fillId="0" borderId="20" xfId="0" applyNumberFormat="1" applyFont="1" applyBorder="1" applyAlignment="1">
      <alignment horizontal="right"/>
    </xf>
    <xf numFmtId="170" fontId="106" fillId="0" borderId="19" xfId="0" applyNumberFormat="1" applyFont="1" applyBorder="1" applyAlignment="1">
      <alignment horizontal="right"/>
    </xf>
    <xf numFmtId="170" fontId="99" fillId="0" borderId="23" xfId="0" applyNumberFormat="1" applyFont="1" applyBorder="1" applyAlignment="1">
      <alignment horizontal="right" vertical="center"/>
    </xf>
    <xf numFmtId="170" fontId="105" fillId="0" borderId="23" xfId="0" applyNumberFormat="1" applyFont="1" applyBorder="1" applyAlignment="1">
      <alignment horizontal="right" vertical="center"/>
    </xf>
    <xf numFmtId="170" fontId="113" fillId="0" borderId="23" xfId="0" applyNumberFormat="1" applyFont="1" applyBorder="1" applyAlignment="1">
      <alignment horizontal="right" vertical="center"/>
    </xf>
    <xf numFmtId="170" fontId="99" fillId="0" borderId="23" xfId="0" applyNumberFormat="1" applyFont="1" applyBorder="1" applyAlignment="1">
      <alignment horizontal="right"/>
    </xf>
    <xf numFmtId="170" fontId="108" fillId="0" borderId="7" xfId="0" applyNumberFormat="1" applyFont="1" applyBorder="1" applyAlignment="1">
      <alignment horizontal="right"/>
    </xf>
    <xf numFmtId="170" fontId="108" fillId="0" borderId="8" xfId="0" applyNumberFormat="1" applyFont="1" applyBorder="1" applyAlignment="1">
      <alignment horizontal="right"/>
    </xf>
    <xf numFmtId="170" fontId="108" fillId="0" borderId="9" xfId="0" applyNumberFormat="1" applyFont="1" applyBorder="1" applyAlignment="1">
      <alignment horizontal="right"/>
    </xf>
    <xf numFmtId="170" fontId="108" fillId="0" borderId="10" xfId="0" applyNumberFormat="1" applyFont="1" applyBorder="1" applyAlignment="1">
      <alignment horizontal="right"/>
    </xf>
    <xf numFmtId="170" fontId="108" fillId="0" borderId="0" xfId="0" applyNumberFormat="1" applyFont="1" applyAlignment="1">
      <alignment horizontal="right"/>
    </xf>
    <xf numFmtId="170" fontId="108" fillId="0" borderId="11" xfId="0" applyNumberFormat="1" applyFont="1" applyBorder="1" applyAlignment="1">
      <alignment horizontal="right"/>
    </xf>
    <xf numFmtId="170" fontId="108" fillId="0" borderId="12" xfId="0" applyNumberFormat="1" applyFont="1" applyBorder="1" applyAlignment="1">
      <alignment horizontal="right"/>
    </xf>
    <xf numFmtId="170" fontId="108" fillId="0" borderId="2" xfId="0" applyNumberFormat="1" applyFont="1" applyBorder="1" applyAlignment="1">
      <alignment horizontal="right"/>
    </xf>
    <xf numFmtId="170" fontId="108" fillId="0" borderId="13" xfId="0" applyNumberFormat="1" applyFont="1" applyBorder="1" applyAlignment="1">
      <alignment horizontal="right"/>
    </xf>
    <xf numFmtId="0" fontId="99" fillId="0" borderId="0" xfId="0" applyFont="1" applyAlignment="1">
      <alignment horizontal="center" vertical="center"/>
    </xf>
    <xf numFmtId="0" fontId="96" fillId="0" borderId="0" xfId="7" applyFont="1" applyAlignment="1">
      <alignment horizontal="center"/>
    </xf>
    <xf numFmtId="170" fontId="96" fillId="0" borderId="0" xfId="7" applyNumberFormat="1" applyFont="1"/>
    <xf numFmtId="0" fontId="123" fillId="0" borderId="0" xfId="7" applyFont="1"/>
    <xf numFmtId="170" fontId="108" fillId="0" borderId="23" xfId="0" applyNumberFormat="1" applyFont="1" applyBorder="1" applyAlignment="1">
      <alignment horizontal="right"/>
    </xf>
    <xf numFmtId="0" fontId="123" fillId="0" borderId="0" xfId="7" applyFont="1" applyAlignment="1">
      <alignment horizontal="left" indent="1"/>
    </xf>
    <xf numFmtId="0" fontId="96" fillId="0" borderId="2" xfId="7" applyFont="1" applyBorder="1"/>
    <xf numFmtId="0" fontId="96" fillId="9" borderId="0" xfId="7" applyFont="1" applyFill="1"/>
    <xf numFmtId="0" fontId="97" fillId="9" borderId="0" xfId="2" applyFont="1" applyFill="1" applyAlignment="1">
      <alignment horizontal="centerContinuous" vertical="center"/>
    </xf>
    <xf numFmtId="0" fontId="96" fillId="9" borderId="0" xfId="7" applyFont="1" applyFill="1" applyAlignment="1">
      <alignment horizontal="centerContinuous"/>
    </xf>
    <xf numFmtId="168" fontId="97" fillId="0" borderId="0" xfId="7" applyNumberFormat="1" applyFont="1" applyAlignment="1">
      <alignment horizontal="right"/>
    </xf>
    <xf numFmtId="0" fontId="106" fillId="0" borderId="38" xfId="7" applyFont="1" applyBorder="1" applyAlignment="1">
      <alignment horizontal="left"/>
    </xf>
    <xf numFmtId="0" fontId="96" fillId="0" borderId="38" xfId="7" applyFont="1" applyBorder="1"/>
    <xf numFmtId="168" fontId="106" fillId="0" borderId="38" xfId="7" applyNumberFormat="1" applyFont="1" applyBorder="1" applyAlignment="1">
      <alignment horizontal="right"/>
    </xf>
    <xf numFmtId="0" fontId="106" fillId="0" borderId="38" xfId="7" applyFont="1" applyBorder="1" applyAlignment="1">
      <alignment horizontal="right"/>
    </xf>
    <xf numFmtId="167" fontId="96" fillId="0" borderId="0" xfId="9" applyNumberFormat="1" applyFont="1" applyProtection="1">
      <protection locked="0"/>
    </xf>
    <xf numFmtId="168" fontId="106" fillId="0" borderId="38" xfId="7" applyNumberFormat="1" applyFont="1" applyBorder="1" applyAlignment="1">
      <alignment horizontal="left"/>
    </xf>
    <xf numFmtId="0" fontId="107" fillId="0" borderId="0" xfId="7" applyFont="1" applyAlignment="1">
      <alignment horizontal="left" indent="1"/>
    </xf>
    <xf numFmtId="194" fontId="133" fillId="0" borderId="0" xfId="10" applyNumberFormat="1" applyFont="1" applyFill="1" applyBorder="1" applyAlignment="1" applyProtection="1">
      <alignment horizontal="right"/>
      <protection locked="0"/>
    </xf>
    <xf numFmtId="0" fontId="96" fillId="0" borderId="0" xfId="9" applyNumberFormat="1" applyFont="1" applyBorder="1" applyAlignment="1" applyProtection="1">
      <alignment horizontal="left" indent="1"/>
      <protection locked="0"/>
    </xf>
    <xf numFmtId="193" fontId="107" fillId="4" borderId="0" xfId="10" applyNumberFormat="1" applyFont="1" applyFill="1" applyBorder="1" applyAlignment="1" applyProtection="1">
      <alignment horizontal="right"/>
      <protection locked="0"/>
    </xf>
    <xf numFmtId="170" fontId="96" fillId="4" borderId="0" xfId="9" applyNumberFormat="1" applyFont="1" applyFill="1" applyBorder="1" applyProtection="1">
      <protection locked="0"/>
    </xf>
    <xf numFmtId="179" fontId="96" fillId="0" borderId="0" xfId="9" applyNumberFormat="1" applyFont="1" applyFill="1" applyProtection="1">
      <protection locked="0"/>
    </xf>
    <xf numFmtId="0" fontId="96" fillId="0" borderId="0" xfId="9" applyNumberFormat="1" applyFont="1" applyFill="1" applyBorder="1" applyAlignment="1" applyProtection="1">
      <alignment horizontal="left" indent="1"/>
      <protection locked="0"/>
    </xf>
    <xf numFmtId="167" fontId="96" fillId="0" borderId="0" xfId="9" applyNumberFormat="1" applyFont="1" applyFill="1" applyBorder="1" applyProtection="1">
      <protection locked="0"/>
    </xf>
    <xf numFmtId="0" fontId="96" fillId="0" borderId="0" xfId="9" applyNumberFormat="1" applyFont="1" applyAlignment="1" applyProtection="1">
      <alignment horizontal="left" indent="1"/>
      <protection locked="0"/>
    </xf>
    <xf numFmtId="193" fontId="133" fillId="0" borderId="0" xfId="10" applyNumberFormat="1" applyFont="1" applyFill="1" applyBorder="1" applyAlignment="1" applyProtection="1">
      <alignment horizontal="right"/>
      <protection locked="0"/>
    </xf>
    <xf numFmtId="170" fontId="96" fillId="4" borderId="0" xfId="9" applyNumberFormat="1" applyFont="1" applyFill="1" applyProtection="1">
      <protection locked="0"/>
    </xf>
    <xf numFmtId="0" fontId="96" fillId="0" borderId="0" xfId="9" applyNumberFormat="1" applyFont="1" applyFill="1" applyAlignment="1" applyProtection="1">
      <alignment horizontal="left" indent="1"/>
      <protection locked="0"/>
    </xf>
    <xf numFmtId="170" fontId="96" fillId="4" borderId="0" xfId="7" applyNumberFormat="1" applyFont="1" applyFill="1"/>
    <xf numFmtId="0" fontId="107" fillId="0" borderId="0" xfId="9" applyNumberFormat="1" applyFont="1" applyAlignment="1" applyProtection="1">
      <alignment horizontal="left" indent="1"/>
      <protection locked="0"/>
    </xf>
    <xf numFmtId="167" fontId="96" fillId="0" borderId="0" xfId="9" applyNumberFormat="1" applyFont="1" applyFill="1" applyProtection="1">
      <protection locked="0"/>
    </xf>
    <xf numFmtId="0" fontId="106" fillId="0" borderId="0" xfId="9" applyNumberFormat="1" applyFont="1" applyBorder="1" applyAlignment="1" applyProtection="1">
      <alignment horizontal="left" indent="1"/>
      <protection locked="0"/>
    </xf>
    <xf numFmtId="167" fontId="106" fillId="0" borderId="0" xfId="9" applyNumberFormat="1" applyFont="1" applyBorder="1" applyProtection="1">
      <protection locked="0"/>
    </xf>
    <xf numFmtId="170" fontId="109" fillId="4" borderId="8" xfId="9" applyNumberFormat="1" applyFont="1" applyFill="1" applyBorder="1" applyProtection="1">
      <protection locked="0"/>
    </xf>
    <xf numFmtId="173" fontId="133" fillId="0" borderId="43" xfId="7" applyNumberFormat="1" applyFont="1" applyBorder="1"/>
    <xf numFmtId="170" fontId="109" fillId="0" borderId="0" xfId="9" applyNumberFormat="1" applyFont="1" applyFill="1" applyBorder="1" applyProtection="1">
      <protection locked="0"/>
    </xf>
    <xf numFmtId="194" fontId="107" fillId="4" borderId="0" xfId="10" applyNumberFormat="1" applyFont="1" applyFill="1" applyBorder="1" applyAlignment="1" applyProtection="1">
      <alignment horizontal="right"/>
      <protection locked="0"/>
    </xf>
    <xf numFmtId="193" fontId="107" fillId="4" borderId="27" xfId="10" applyNumberFormat="1" applyFont="1" applyFill="1" applyBorder="1" applyAlignment="1" applyProtection="1">
      <alignment horizontal="right"/>
      <protection locked="0"/>
    </xf>
    <xf numFmtId="170" fontId="96" fillId="4" borderId="2" xfId="13" applyNumberFormat="1" applyFont="1" applyFill="1" applyBorder="1"/>
    <xf numFmtId="193" fontId="109" fillId="4" borderId="28" xfId="10" applyNumberFormat="1" applyFont="1" applyFill="1" applyBorder="1" applyAlignment="1" applyProtection="1">
      <alignment horizontal="right"/>
      <protection locked="0"/>
    </xf>
    <xf numFmtId="179" fontId="96" fillId="0" borderId="0" xfId="9" applyNumberFormat="1" applyFont="1" applyProtection="1">
      <protection locked="0"/>
    </xf>
    <xf numFmtId="165" fontId="96" fillId="0" borderId="0" xfId="13" applyFont="1" applyFill="1" applyProtection="1">
      <protection locked="0"/>
    </xf>
    <xf numFmtId="170" fontId="96" fillId="0" borderId="0" xfId="7" applyNumberFormat="1" applyFont="1" applyAlignment="1">
      <alignment horizontal="center"/>
    </xf>
    <xf numFmtId="0" fontId="96" fillId="0" borderId="0" xfId="4" applyFont="1" applyAlignment="1">
      <alignment horizontal="left"/>
    </xf>
    <xf numFmtId="200" fontId="107" fillId="0" borderId="43" xfId="0" applyNumberFormat="1" applyFont="1" applyBorder="1" applyAlignment="1">
      <alignment horizontal="center"/>
    </xf>
    <xf numFmtId="4" fontId="96" fillId="0" borderId="0" xfId="7" applyNumberFormat="1" applyFont="1"/>
    <xf numFmtId="170" fontId="106" fillId="0" borderId="38" xfId="7" applyNumberFormat="1" applyFont="1" applyBorder="1" applyAlignment="1">
      <alignment horizontal="left"/>
    </xf>
    <xf numFmtId="37" fontId="97" fillId="3" borderId="0" xfId="7" applyNumberFormat="1" applyFont="1" applyFill="1" applyAlignment="1">
      <alignment vertical="center"/>
    </xf>
    <xf numFmtId="37" fontId="103" fillId="3" borderId="0" xfId="7" applyNumberFormat="1" applyFont="1" applyFill="1" applyAlignment="1">
      <alignment vertical="center"/>
    </xf>
    <xf numFmtId="168" fontId="97" fillId="3" borderId="0" xfId="7" applyNumberFormat="1" applyFont="1" applyFill="1" applyAlignment="1">
      <alignment horizontal="right"/>
    </xf>
    <xf numFmtId="170" fontId="133" fillId="0" borderId="0" xfId="9" applyNumberFormat="1" applyFont="1" applyFill="1" applyProtection="1">
      <protection locked="0"/>
    </xf>
    <xf numFmtId="170" fontId="108" fillId="0" borderId="0" xfId="9" applyNumberFormat="1" applyFont="1" applyFill="1" applyProtection="1">
      <protection locked="0"/>
    </xf>
    <xf numFmtId="0" fontId="115" fillId="0" borderId="0" xfId="7" applyFont="1" applyAlignment="1">
      <alignment horizontal="center"/>
    </xf>
    <xf numFmtId="197" fontId="133" fillId="0" borderId="0" xfId="9" applyNumberFormat="1" applyFont="1" applyFill="1" applyBorder="1" applyProtection="1">
      <protection locked="0"/>
    </xf>
    <xf numFmtId="170" fontId="133" fillId="0" borderId="0" xfId="9" applyNumberFormat="1" applyFont="1" applyFill="1" applyBorder="1" applyProtection="1">
      <protection locked="0"/>
    </xf>
    <xf numFmtId="197" fontId="107" fillId="0" borderId="0" xfId="9" applyNumberFormat="1" applyFont="1" applyFill="1" applyBorder="1" applyProtection="1">
      <protection locked="0"/>
    </xf>
    <xf numFmtId="170" fontId="96" fillId="4" borderId="0" xfId="9" applyNumberFormat="1" applyFont="1" applyFill="1" applyAlignment="1" applyProtection="1">
      <alignment horizontal="right"/>
      <protection locked="0"/>
    </xf>
    <xf numFmtId="170" fontId="96" fillId="4" borderId="8" xfId="7" applyNumberFormat="1" applyFont="1" applyFill="1" applyBorder="1"/>
    <xf numFmtId="0" fontId="107" fillId="0" borderId="0" xfId="7" applyFont="1"/>
    <xf numFmtId="170" fontId="133" fillId="0" borderId="0" xfId="13" applyNumberFormat="1" applyFont="1"/>
    <xf numFmtId="0" fontId="96" fillId="0" borderId="0" xfId="7" applyFont="1" applyAlignment="1">
      <alignment horizontal="left" indent="1"/>
    </xf>
    <xf numFmtId="170" fontId="133" fillId="0" borderId="0" xfId="7" applyNumberFormat="1" applyFont="1"/>
    <xf numFmtId="170" fontId="133" fillId="0" borderId="0" xfId="13" applyNumberFormat="1" applyFont="1" applyBorder="1"/>
    <xf numFmtId="170" fontId="133" fillId="0" borderId="2" xfId="13" applyNumberFormat="1" applyFont="1" applyBorder="1"/>
    <xf numFmtId="170" fontId="96" fillId="4" borderId="8" xfId="9" applyNumberFormat="1" applyFont="1" applyFill="1" applyBorder="1" applyProtection="1">
      <protection locked="0"/>
    </xf>
    <xf numFmtId="175" fontId="96" fillId="4" borderId="0" xfId="9" applyNumberFormat="1" applyFont="1" applyFill="1" applyBorder="1" applyAlignment="1" applyProtection="1">
      <alignment horizontal="right"/>
      <protection locked="0"/>
    </xf>
    <xf numFmtId="173" fontId="133" fillId="0" borderId="0" xfId="1" applyNumberFormat="1" applyFont="1" applyBorder="1" applyAlignment="1">
      <alignment horizontal="right"/>
    </xf>
    <xf numFmtId="0" fontId="106" fillId="0" borderId="37" xfId="0" applyFont="1" applyBorder="1"/>
    <xf numFmtId="0" fontId="99" fillId="0" borderId="37" xfId="0" applyFont="1" applyBorder="1"/>
    <xf numFmtId="175" fontId="133" fillId="0" borderId="2" xfId="9" applyNumberFormat="1" applyFont="1" applyBorder="1" applyAlignment="1" applyProtection="1">
      <alignment horizontal="right"/>
      <protection locked="0"/>
    </xf>
    <xf numFmtId="0" fontId="107" fillId="0" borderId="0" xfId="0" applyFont="1" applyAlignment="1">
      <alignment horizontal="left" vertical="center" indent="1"/>
    </xf>
    <xf numFmtId="179" fontId="133" fillId="0" borderId="0" xfId="1" applyNumberFormat="1" applyFont="1" applyFill="1" applyBorder="1" applyAlignment="1">
      <alignment vertical="center"/>
    </xf>
    <xf numFmtId="173" fontId="96" fillId="4" borderId="0" xfId="1" applyNumberFormat="1" applyFont="1" applyFill="1" applyBorder="1" applyProtection="1">
      <protection locked="0"/>
    </xf>
    <xf numFmtId="196" fontId="99" fillId="0" borderId="0" xfId="2" applyNumberFormat="1" applyFont="1" applyFill="1" applyBorder="1" applyAlignment="1" applyProtection="1">
      <alignment horizontal="right" vertical="center"/>
      <protection locked="0"/>
    </xf>
    <xf numFmtId="173" fontId="96" fillId="0" borderId="0" xfId="1" applyNumberFormat="1" applyFont="1" applyFill="1" applyBorder="1" applyProtection="1">
      <protection locked="0"/>
    </xf>
    <xf numFmtId="175" fontId="133" fillId="0" borderId="0" xfId="16" applyNumberFormat="1" applyFont="1" applyFill="1" applyBorder="1" applyAlignment="1">
      <alignment vertical="center"/>
    </xf>
    <xf numFmtId="190" fontId="108" fillId="0" borderId="0" xfId="0" applyNumberFormat="1" applyFont="1" applyAlignment="1">
      <alignment horizontal="right" vertical="center"/>
    </xf>
    <xf numFmtId="167" fontId="115" fillId="0" borderId="0" xfId="14" applyNumberFormat="1" applyFont="1" applyFill="1" applyBorder="1" applyAlignment="1">
      <alignment horizontal="right" vertical="center"/>
    </xf>
    <xf numFmtId="173" fontId="133" fillId="0" borderId="0" xfId="1" applyNumberFormat="1" applyFont="1" applyFill="1" applyBorder="1" applyAlignment="1">
      <alignment vertical="center"/>
    </xf>
    <xf numFmtId="0" fontId="105" fillId="0" borderId="0" xfId="7" applyFont="1"/>
    <xf numFmtId="215" fontId="133" fillId="0" borderId="0" xfId="7" applyNumberFormat="1" applyFont="1"/>
    <xf numFmtId="0" fontId="96" fillId="0" borderId="37" xfId="7" applyFont="1" applyBorder="1" applyAlignment="1">
      <alignment horizontal="left" indent="1"/>
    </xf>
    <xf numFmtId="0" fontId="96" fillId="0" borderId="37" xfId="7" applyFont="1" applyBorder="1"/>
    <xf numFmtId="183" fontId="96" fillId="0" borderId="0" xfId="7" applyNumberFormat="1" applyFont="1" applyAlignment="1">
      <alignment horizontal="right"/>
    </xf>
    <xf numFmtId="184" fontId="96" fillId="0" borderId="0" xfId="7" applyNumberFormat="1" applyFont="1" applyAlignment="1">
      <alignment horizontal="right"/>
    </xf>
    <xf numFmtId="202" fontId="96" fillId="0" borderId="0" xfId="7" applyNumberFormat="1" applyFont="1" applyAlignment="1">
      <alignment horizontal="right"/>
    </xf>
    <xf numFmtId="203" fontId="96" fillId="0" borderId="0" xfId="7" applyNumberFormat="1" applyFont="1" applyAlignment="1">
      <alignment horizontal="right"/>
    </xf>
    <xf numFmtId="205" fontId="96" fillId="0" borderId="0" xfId="7" applyNumberFormat="1" applyFont="1" applyAlignment="1">
      <alignment horizontal="right"/>
    </xf>
    <xf numFmtId="207" fontId="96" fillId="0" borderId="0" xfId="7" applyNumberFormat="1" applyFont="1" applyAlignment="1">
      <alignment horizontal="right"/>
    </xf>
    <xf numFmtId="167" fontId="96" fillId="0" borderId="2" xfId="9" applyNumberFormat="1" applyFont="1" applyBorder="1" applyProtection="1">
      <protection locked="0"/>
    </xf>
    <xf numFmtId="164" fontId="96" fillId="0" borderId="2" xfId="7" applyNumberFormat="1" applyFont="1" applyBorder="1"/>
    <xf numFmtId="167" fontId="96" fillId="0" borderId="0" xfId="9" applyNumberFormat="1" applyFont="1" applyBorder="1" applyProtection="1">
      <protection locked="0"/>
    </xf>
    <xf numFmtId="170" fontId="96" fillId="0" borderId="0" xfId="9" applyNumberFormat="1" applyFont="1" applyFill="1" applyBorder="1" applyProtection="1">
      <protection locked="0"/>
    </xf>
    <xf numFmtId="174" fontId="107" fillId="0" borderId="0" xfId="1" applyNumberFormat="1" applyFont="1" applyFill="1" applyBorder="1" applyAlignment="1"/>
    <xf numFmtId="192" fontId="107" fillId="0" borderId="0" xfId="7" applyNumberFormat="1" applyFont="1"/>
    <xf numFmtId="168" fontId="103" fillId="0" borderId="0" xfId="7" applyNumberFormat="1" applyFont="1" applyAlignment="1">
      <alignment horizontal="right"/>
    </xf>
    <xf numFmtId="168" fontId="96" fillId="0" borderId="0" xfId="7" applyNumberFormat="1" applyFont="1" applyAlignment="1">
      <alignment horizontal="right"/>
    </xf>
    <xf numFmtId="0" fontId="106" fillId="0" borderId="0" xfId="9" applyNumberFormat="1" applyFont="1" applyFill="1" applyBorder="1" applyAlignment="1" applyProtection="1">
      <alignment horizontal="right"/>
      <protection locked="0"/>
    </xf>
    <xf numFmtId="0" fontId="107" fillId="0" borderId="0" xfId="7" applyFont="1" applyAlignment="1">
      <alignment horizontal="left"/>
    </xf>
    <xf numFmtId="167" fontId="106" fillId="0" borderId="0" xfId="9" applyNumberFormat="1" applyFont="1" applyProtection="1">
      <protection locked="0"/>
    </xf>
    <xf numFmtId="5" fontId="106" fillId="0" borderId="0" xfId="9" applyNumberFormat="1" applyFont="1" applyAlignment="1" applyProtection="1">
      <alignment horizontal="right"/>
      <protection locked="0"/>
    </xf>
    <xf numFmtId="167" fontId="106" fillId="0" borderId="0" xfId="9" applyNumberFormat="1" applyFont="1" applyAlignment="1" applyProtection="1">
      <alignment horizontal="right"/>
      <protection locked="0"/>
    </xf>
    <xf numFmtId="0" fontId="106" fillId="0" borderId="0" xfId="9" applyNumberFormat="1" applyFont="1" applyFill="1" applyBorder="1" applyAlignment="1" applyProtection="1">
      <alignment horizontal="center"/>
      <protection locked="0"/>
    </xf>
    <xf numFmtId="0" fontId="106" fillId="0" borderId="38" xfId="9" applyNumberFormat="1" applyFont="1" applyBorder="1" applyProtection="1">
      <protection locked="0"/>
    </xf>
    <xf numFmtId="0" fontId="106" fillId="0" borderId="38" xfId="9" applyNumberFormat="1" applyFont="1" applyBorder="1" applyAlignment="1" applyProtection="1">
      <alignment horizontal="right"/>
      <protection locked="0"/>
    </xf>
    <xf numFmtId="0" fontId="106" fillId="0" borderId="38" xfId="9" applyNumberFormat="1" applyFont="1" applyFill="1" applyBorder="1" applyAlignment="1" applyProtection="1">
      <alignment horizontal="center"/>
      <protection locked="0"/>
    </xf>
    <xf numFmtId="0" fontId="107" fillId="0" borderId="0" xfId="9" applyNumberFormat="1" applyFont="1" applyBorder="1" applyAlignment="1" applyProtection="1">
      <alignment horizontal="left" indent="1"/>
      <protection locked="0"/>
    </xf>
    <xf numFmtId="170" fontId="96" fillId="4" borderId="0" xfId="9" applyNumberFormat="1" applyFont="1" applyFill="1" applyBorder="1" applyAlignment="1" applyProtection="1">
      <alignment horizontal="right"/>
      <protection locked="0"/>
    </xf>
    <xf numFmtId="173" fontId="96" fillId="4" borderId="0" xfId="10" applyNumberFormat="1" applyFont="1" applyFill="1" applyBorder="1" applyAlignment="1" applyProtection="1">
      <alignment horizontal="right"/>
      <protection locked="0"/>
    </xf>
    <xf numFmtId="173" fontId="133" fillId="0" borderId="0" xfId="10" applyNumberFormat="1" applyFont="1" applyFill="1" applyBorder="1" applyAlignment="1" applyProtection="1">
      <alignment horizontal="center"/>
      <protection locked="0"/>
    </xf>
    <xf numFmtId="0" fontId="107" fillId="0" borderId="0" xfId="9" applyNumberFormat="1" applyFont="1" applyFill="1" applyBorder="1" applyAlignment="1" applyProtection="1">
      <alignment horizontal="left" indent="1"/>
      <protection locked="0"/>
    </xf>
    <xf numFmtId="173" fontId="96" fillId="4" borderId="0" xfId="10" applyNumberFormat="1" applyFont="1" applyFill="1" applyAlignment="1" applyProtection="1">
      <alignment horizontal="right"/>
      <protection locked="0"/>
    </xf>
    <xf numFmtId="170" fontId="133" fillId="0" borderId="0" xfId="9" applyNumberFormat="1" applyFont="1" applyFill="1" applyBorder="1" applyAlignment="1" applyProtection="1">
      <alignment horizontal="center"/>
      <protection locked="0"/>
    </xf>
    <xf numFmtId="173" fontId="133" fillId="0" borderId="0" xfId="10" applyNumberFormat="1" applyFont="1" applyFill="1" applyAlignment="1" applyProtection="1">
      <alignment horizontal="center"/>
      <protection locked="0"/>
    </xf>
    <xf numFmtId="170" fontId="107" fillId="4" borderId="0" xfId="7" applyNumberFormat="1" applyFont="1" applyFill="1" applyAlignment="1">
      <alignment horizontal="center"/>
    </xf>
    <xf numFmtId="206" fontId="133" fillId="0" borderId="0" xfId="1" applyNumberFormat="1" applyFont="1" applyFill="1" applyBorder="1" applyAlignment="1" applyProtection="1">
      <alignment horizontal="center"/>
      <protection locked="0"/>
    </xf>
    <xf numFmtId="208" fontId="133" fillId="0" borderId="0" xfId="7" applyNumberFormat="1" applyFont="1" applyAlignment="1">
      <alignment horizontal="center"/>
    </xf>
    <xf numFmtId="170" fontId="96" fillId="4" borderId="2" xfId="9" applyNumberFormat="1" applyFont="1" applyFill="1" applyBorder="1" applyAlignment="1" applyProtection="1">
      <alignment horizontal="right"/>
      <protection locked="0"/>
    </xf>
    <xf numFmtId="173" fontId="96" fillId="4" borderId="2" xfId="10" applyNumberFormat="1" applyFont="1" applyFill="1" applyBorder="1" applyAlignment="1" applyProtection="1">
      <alignment horizontal="right"/>
      <protection locked="0"/>
    </xf>
    <xf numFmtId="173" fontId="133" fillId="0" borderId="2" xfId="10" applyNumberFormat="1" applyFont="1" applyFill="1" applyBorder="1" applyAlignment="1" applyProtection="1">
      <alignment horizontal="center"/>
      <protection locked="0"/>
    </xf>
    <xf numFmtId="173" fontId="133" fillId="0" borderId="2" xfId="9" applyNumberFormat="1" applyFont="1" applyFill="1" applyBorder="1" applyAlignment="1" applyProtection="1">
      <alignment horizontal="center"/>
      <protection locked="0"/>
    </xf>
    <xf numFmtId="173" fontId="96" fillId="0" borderId="0" xfId="10" applyNumberFormat="1" applyFont="1" applyFill="1" applyBorder="1" applyAlignment="1" applyProtection="1">
      <alignment horizontal="right"/>
      <protection locked="0"/>
    </xf>
    <xf numFmtId="167" fontId="99" fillId="0" borderId="0" xfId="9" applyNumberFormat="1" applyFont="1" applyBorder="1" applyProtection="1">
      <protection locked="0"/>
    </xf>
    <xf numFmtId="169" fontId="96" fillId="0" borderId="0" xfId="7" applyNumberFormat="1" applyFont="1" applyAlignment="1">
      <alignment horizontal="center"/>
    </xf>
    <xf numFmtId="167" fontId="106" fillId="0" borderId="0" xfId="9" applyNumberFormat="1" applyFont="1" applyBorder="1" applyAlignment="1" applyProtection="1">
      <alignment horizontal="center"/>
      <protection locked="0"/>
    </xf>
    <xf numFmtId="170" fontId="98" fillId="0" borderId="0" xfId="7" applyNumberFormat="1" applyFont="1" applyAlignment="1">
      <alignment horizontal="left"/>
    </xf>
    <xf numFmtId="167" fontId="106" fillId="0" borderId="37" xfId="9" applyNumberFormat="1" applyFont="1" applyBorder="1" applyAlignment="1" applyProtection="1">
      <alignment horizontal="centerContinuous"/>
      <protection locked="0"/>
    </xf>
    <xf numFmtId="0" fontId="109" fillId="0" borderId="38" xfId="9" applyNumberFormat="1" applyFont="1" applyFill="1" applyBorder="1" applyAlignment="1" applyProtection="1">
      <alignment horizontal="center"/>
      <protection locked="0"/>
    </xf>
    <xf numFmtId="49" fontId="109" fillId="0" borderId="38" xfId="9" applyNumberFormat="1" applyFont="1" applyFill="1" applyBorder="1" applyAlignment="1" applyProtection="1">
      <alignment horizontal="center"/>
      <protection locked="0"/>
    </xf>
    <xf numFmtId="189" fontId="106" fillId="0" borderId="38" xfId="9" applyNumberFormat="1" applyFont="1" applyFill="1" applyBorder="1" applyAlignment="1" applyProtection="1">
      <alignment horizontal="right"/>
      <protection locked="0"/>
    </xf>
    <xf numFmtId="189" fontId="109" fillId="0" borderId="38" xfId="9" applyNumberFormat="1" applyFont="1" applyFill="1" applyBorder="1" applyAlignment="1" applyProtection="1">
      <alignment horizontal="right"/>
      <protection locked="0"/>
    </xf>
    <xf numFmtId="170" fontId="133" fillId="0" borderId="0" xfId="10" applyNumberFormat="1" applyFont="1" applyFill="1" applyBorder="1" applyAlignment="1" applyProtection="1">
      <alignment horizontal="right"/>
      <protection locked="0"/>
    </xf>
    <xf numFmtId="173" fontId="133" fillId="0" borderId="0" xfId="10" applyNumberFormat="1" applyFont="1" applyFill="1" applyBorder="1" applyAlignment="1" applyProtection="1">
      <alignment horizontal="right"/>
      <protection locked="0"/>
    </xf>
    <xf numFmtId="200" fontId="107" fillId="0" borderId="47" xfId="0" applyNumberFormat="1" applyFont="1" applyBorder="1" applyAlignment="1">
      <alignment horizontal="right"/>
    </xf>
    <xf numFmtId="0" fontId="107" fillId="0" borderId="0" xfId="4" applyFont="1" applyAlignment="1">
      <alignment horizontal="left" indent="1"/>
    </xf>
    <xf numFmtId="200" fontId="107" fillId="0" borderId="43" xfId="0" applyNumberFormat="1" applyFont="1" applyBorder="1" applyAlignment="1">
      <alignment horizontal="right"/>
    </xf>
    <xf numFmtId="200" fontId="107" fillId="0" borderId="48" xfId="0" applyNumberFormat="1" applyFont="1" applyBorder="1" applyAlignment="1">
      <alignment horizontal="right"/>
    </xf>
    <xf numFmtId="173" fontId="133" fillId="0" borderId="0" xfId="9" applyNumberFormat="1" applyFont="1" applyFill="1" applyBorder="1" applyAlignment="1" applyProtection="1">
      <alignment horizontal="center"/>
      <protection locked="0"/>
    </xf>
    <xf numFmtId="170" fontId="133" fillId="0" borderId="0" xfId="9" applyNumberFormat="1" applyFont="1" applyFill="1" applyBorder="1" applyAlignment="1" applyProtection="1">
      <alignment horizontal="right"/>
      <protection locked="0"/>
    </xf>
    <xf numFmtId="0" fontId="105" fillId="0" borderId="0" xfId="7" applyFont="1" applyAlignment="1">
      <alignment horizontal="right"/>
    </xf>
    <xf numFmtId="204" fontId="133" fillId="0" borderId="0" xfId="7" applyNumberFormat="1" applyFont="1" applyAlignment="1">
      <alignment horizontal="right"/>
    </xf>
    <xf numFmtId="37" fontId="107" fillId="0" borderId="0" xfId="7" applyNumberFormat="1" applyFont="1" applyAlignment="1">
      <alignment horizontal="right" vertical="center"/>
    </xf>
    <xf numFmtId="0" fontId="96" fillId="0" borderId="0" xfId="7" applyFont="1" applyAlignment="1">
      <alignment horizontal="right"/>
    </xf>
    <xf numFmtId="49" fontId="107" fillId="0" borderId="0" xfId="0" applyNumberFormat="1" applyFont="1" applyAlignment="1">
      <alignment horizontal="left" indent="1"/>
    </xf>
    <xf numFmtId="193" fontId="133" fillId="0" borderId="0" xfId="9" applyNumberFormat="1" applyFont="1" applyFill="1" applyBorder="1" applyAlignment="1" applyProtection="1">
      <alignment horizontal="right"/>
      <protection locked="0"/>
    </xf>
    <xf numFmtId="0" fontId="96" fillId="0" borderId="0" xfId="0" applyFont="1" applyAlignment="1">
      <alignment horizontal="left" indent="1"/>
    </xf>
    <xf numFmtId="167" fontId="96" fillId="0" borderId="0" xfId="9" applyNumberFormat="1" applyFont="1" applyBorder="1" applyAlignment="1" applyProtection="1">
      <alignment horizontal="center"/>
      <protection locked="0"/>
    </xf>
    <xf numFmtId="195" fontId="107" fillId="0" borderId="0" xfId="1" applyNumberFormat="1" applyFont="1" applyFill="1" applyBorder="1" applyAlignment="1" applyProtection="1">
      <alignment horizontal="center"/>
      <protection locked="0"/>
    </xf>
    <xf numFmtId="49" fontId="96" fillId="0" borderId="0" xfId="7" applyNumberFormat="1" applyFont="1" applyAlignment="1">
      <alignment horizontal="right"/>
    </xf>
    <xf numFmtId="49" fontId="107" fillId="0" borderId="0" xfId="7" applyNumberFormat="1" applyFont="1" applyAlignment="1">
      <alignment horizontal="right"/>
    </xf>
    <xf numFmtId="168" fontId="121" fillId="0" borderId="0" xfId="7" applyNumberFormat="1" applyFont="1"/>
    <xf numFmtId="203" fontId="107" fillId="0" borderId="0" xfId="7" applyNumberFormat="1" applyFont="1" applyAlignment="1">
      <alignment horizontal="right"/>
    </xf>
    <xf numFmtId="37" fontId="97" fillId="6" borderId="0" xfId="7" applyNumberFormat="1" applyFont="1" applyFill="1" applyAlignment="1">
      <alignment vertical="center"/>
    </xf>
    <xf numFmtId="37" fontId="102" fillId="5" borderId="0" xfId="7" applyNumberFormat="1" applyFont="1" applyFill="1" applyAlignment="1">
      <alignment vertical="center"/>
    </xf>
    <xf numFmtId="37" fontId="103" fillId="6" borderId="0" xfId="7" applyNumberFormat="1" applyFont="1" applyFill="1" applyAlignment="1">
      <alignment vertical="center"/>
    </xf>
    <xf numFmtId="168" fontId="97" fillId="6" borderId="0" xfId="7" applyNumberFormat="1" applyFont="1" applyFill="1" applyAlignment="1">
      <alignment horizontal="right"/>
    </xf>
    <xf numFmtId="0" fontId="134" fillId="0" borderId="0" xfId="6" applyFont="1"/>
    <xf numFmtId="0" fontId="86" fillId="0" borderId="0" xfId="7" applyFont="1"/>
    <xf numFmtId="0" fontId="91" fillId="9" borderId="0" xfId="7" applyFont="1" applyFill="1"/>
    <xf numFmtId="0" fontId="87" fillId="9" borderId="0" xfId="2" applyFont="1" applyFill="1" applyAlignment="1">
      <alignment horizontal="centerContinuous" vertical="center"/>
    </xf>
    <xf numFmtId="0" fontId="91" fillId="9" borderId="0" xfId="7" applyFont="1" applyFill="1" applyAlignment="1">
      <alignment horizontal="centerContinuous"/>
    </xf>
    <xf numFmtId="211" fontId="91" fillId="9" borderId="0" xfId="7" applyNumberFormat="1" applyFont="1" applyFill="1" applyAlignment="1">
      <alignment horizontal="centerContinuous"/>
    </xf>
    <xf numFmtId="0" fontId="91" fillId="0" borderId="0" xfId="7" applyFont="1"/>
    <xf numFmtId="167" fontId="86" fillId="0" borderId="0" xfId="8" applyNumberFormat="1" applyFont="1" applyBorder="1" applyProtection="1">
      <protection locked="0"/>
    </xf>
    <xf numFmtId="167" fontId="135" fillId="0" borderId="0" xfId="8" applyNumberFormat="1" applyFont="1" applyBorder="1" applyProtection="1">
      <protection locked="0"/>
    </xf>
    <xf numFmtId="167" fontId="135" fillId="0" borderId="0" xfId="8" applyNumberFormat="1" applyFont="1" applyBorder="1" applyAlignment="1" applyProtection="1">
      <alignment horizontal="center"/>
      <protection locked="0"/>
    </xf>
    <xf numFmtId="167" fontId="135" fillId="0" borderId="0" xfId="8" applyNumberFormat="1" applyFont="1" applyBorder="1" applyAlignment="1">
      <alignment horizontal="right"/>
    </xf>
    <xf numFmtId="167" fontId="86" fillId="0" borderId="0" xfId="8" applyNumberFormat="1" applyFont="1" applyProtection="1">
      <protection locked="0"/>
    </xf>
    <xf numFmtId="0" fontId="88" fillId="7" borderId="0" xfId="7" applyFont="1" applyFill="1" applyAlignment="1">
      <alignment vertical="center"/>
    </xf>
    <xf numFmtId="37" fontId="88" fillId="7" borderId="0" xfId="7" applyNumberFormat="1" applyFont="1" applyFill="1" applyAlignment="1">
      <alignment vertical="center"/>
    </xf>
    <xf numFmtId="0" fontId="136" fillId="8" borderId="0" xfId="7" applyFont="1" applyFill="1"/>
    <xf numFmtId="0" fontId="86" fillId="0" borderId="0" xfId="7" applyFont="1" applyAlignment="1">
      <alignment vertical="center"/>
    </xf>
    <xf numFmtId="168" fontId="92" fillId="0" borderId="38" xfId="7" applyNumberFormat="1" applyFont="1" applyBorder="1" applyAlignment="1">
      <alignment horizontal="left" vertical="center"/>
    </xf>
    <xf numFmtId="168" fontId="92" fillId="0" borderId="38" xfId="7" applyNumberFormat="1" applyFont="1" applyBorder="1" applyAlignment="1">
      <alignment horizontal="right" vertical="center"/>
    </xf>
    <xf numFmtId="0" fontId="86" fillId="0" borderId="38" xfId="7" applyFont="1" applyBorder="1" applyAlignment="1">
      <alignment vertical="center"/>
    </xf>
    <xf numFmtId="0" fontId="91" fillId="0" borderId="0" xfId="9" applyNumberFormat="1" applyFont="1" applyAlignment="1" applyProtection="1">
      <alignment horizontal="left" indent="1"/>
      <protection locked="0"/>
    </xf>
    <xf numFmtId="167" fontId="91" fillId="0" borderId="0" xfId="9" applyNumberFormat="1" applyFont="1" applyProtection="1">
      <protection locked="0"/>
    </xf>
    <xf numFmtId="170" fontId="91" fillId="0" borderId="0" xfId="9" applyNumberFormat="1" applyFont="1" applyProtection="1">
      <protection locked="0"/>
    </xf>
    <xf numFmtId="170" fontId="91" fillId="5" borderId="0" xfId="9" applyNumberFormat="1" applyFont="1" applyFill="1" applyProtection="1">
      <protection locked="0"/>
    </xf>
    <xf numFmtId="0" fontId="91" fillId="0" borderId="0" xfId="4" applyFont="1" applyAlignment="1">
      <alignment horizontal="left" indent="1"/>
    </xf>
    <xf numFmtId="170" fontId="91" fillId="5" borderId="0" xfId="4" applyNumberFormat="1" applyFont="1" applyFill="1"/>
    <xf numFmtId="0" fontId="91" fillId="0" borderId="0" xfId="7" applyFont="1" applyAlignment="1">
      <alignment horizontal="center"/>
    </xf>
    <xf numFmtId="0" fontId="92" fillId="0" borderId="0" xfId="7" applyFont="1"/>
    <xf numFmtId="0" fontId="91" fillId="0" borderId="0" xfId="9" applyNumberFormat="1" applyFont="1" applyFill="1" applyAlignment="1" applyProtection="1">
      <alignment horizontal="left" indent="1"/>
      <protection locked="0"/>
    </xf>
    <xf numFmtId="0" fontId="91" fillId="0" borderId="0" xfId="7" applyFont="1" applyAlignment="1">
      <alignment horizontal="right"/>
    </xf>
    <xf numFmtId="0" fontId="91" fillId="0" borderId="0" xfId="9" applyNumberFormat="1" applyFont="1" applyBorder="1" applyAlignment="1" applyProtection="1">
      <alignment horizontal="left" indent="1"/>
      <protection locked="0"/>
    </xf>
    <xf numFmtId="167" fontId="91" fillId="0" borderId="0" xfId="9" applyNumberFormat="1" applyFont="1" applyBorder="1" applyProtection="1">
      <protection locked="0"/>
    </xf>
    <xf numFmtId="170" fontId="91" fillId="0" borderId="0" xfId="9" applyNumberFormat="1" applyFont="1" applyBorder="1" applyProtection="1">
      <protection locked="0"/>
    </xf>
    <xf numFmtId="170" fontId="91" fillId="5" borderId="0" xfId="9" applyNumberFormat="1" applyFont="1" applyFill="1" applyBorder="1" applyProtection="1">
      <protection locked="0"/>
    </xf>
    <xf numFmtId="0" fontId="137" fillId="0" borderId="0" xfId="9" applyNumberFormat="1" applyFont="1" applyAlignment="1" applyProtection="1">
      <alignment horizontal="left" indent="1"/>
      <protection locked="0"/>
    </xf>
    <xf numFmtId="0" fontId="138" fillId="0" borderId="0" xfId="7" applyFont="1"/>
    <xf numFmtId="0" fontId="92" fillId="0" borderId="0" xfId="9" applyNumberFormat="1" applyFont="1" applyBorder="1" applyAlignment="1" applyProtection="1">
      <alignment horizontal="left" indent="1"/>
      <protection locked="0"/>
    </xf>
    <xf numFmtId="167" fontId="92" fillId="0" borderId="0" xfId="9" applyNumberFormat="1" applyFont="1" applyBorder="1" applyProtection="1">
      <protection locked="0"/>
    </xf>
    <xf numFmtId="170" fontId="92" fillId="0" borderId="0" xfId="7" applyNumberFormat="1" applyFont="1"/>
    <xf numFmtId="170" fontId="92" fillId="5" borderId="8" xfId="7" applyNumberFormat="1" applyFont="1" applyFill="1" applyBorder="1"/>
    <xf numFmtId="164" fontId="86" fillId="0" borderId="0" xfId="7" applyNumberFormat="1" applyFont="1"/>
    <xf numFmtId="0" fontId="92" fillId="0" borderId="0" xfId="4" applyFont="1" applyAlignment="1">
      <alignment horizontal="left" indent="1"/>
    </xf>
    <xf numFmtId="0" fontId="92" fillId="0" borderId="0" xfId="7" applyFont="1" applyAlignment="1">
      <alignment horizontal="right"/>
    </xf>
    <xf numFmtId="170" fontId="139" fillId="5" borderId="8" xfId="7" applyNumberFormat="1" applyFont="1" applyFill="1" applyBorder="1" applyAlignment="1">
      <alignment horizontal="right"/>
    </xf>
    <xf numFmtId="186" fontId="91" fillId="0" borderId="0" xfId="7" applyNumberFormat="1" applyFont="1"/>
    <xf numFmtId="165" fontId="91" fillId="4" borderId="0" xfId="13" applyFont="1" applyFill="1"/>
    <xf numFmtId="174" fontId="91" fillId="0" borderId="0" xfId="10" applyNumberFormat="1" applyFont="1"/>
    <xf numFmtId="173" fontId="91" fillId="4" borderId="0" xfId="10" applyNumberFormat="1" applyFont="1" applyFill="1"/>
    <xf numFmtId="0" fontId="140" fillId="0" borderId="0" xfId="7" applyFont="1" applyAlignment="1">
      <alignment horizontal="right" vertical="center"/>
    </xf>
    <xf numFmtId="185" fontId="91" fillId="0" borderId="0" xfId="7" applyNumberFormat="1" applyFont="1"/>
    <xf numFmtId="37" fontId="141" fillId="0" borderId="0" xfId="7" applyNumberFormat="1" applyFont="1" applyAlignment="1">
      <alignment vertical="center"/>
    </xf>
    <xf numFmtId="187" fontId="92" fillId="0" borderId="0" xfId="7" applyNumberFormat="1" applyFont="1" applyAlignment="1">
      <alignment vertical="center"/>
    </xf>
    <xf numFmtId="166" fontId="140" fillId="0" borderId="0" xfId="0" applyNumberFormat="1" applyFont="1" applyAlignment="1">
      <alignment vertical="center"/>
    </xf>
    <xf numFmtId="0" fontId="92" fillId="0" borderId="38" xfId="7" applyFont="1" applyBorder="1" applyAlignment="1">
      <alignment horizontal="centerContinuous"/>
    </xf>
    <xf numFmtId="168" fontId="92" fillId="0" borderId="38" xfId="7" applyNumberFormat="1" applyFont="1" applyBorder="1" applyAlignment="1">
      <alignment horizontal="centerContinuous"/>
    </xf>
    <xf numFmtId="0" fontId="86" fillId="0" borderId="38" xfId="7" applyFont="1" applyBorder="1" applyAlignment="1">
      <alignment horizontal="centerContinuous"/>
    </xf>
    <xf numFmtId="0" fontId="143" fillId="0" borderId="0" xfId="7" applyFont="1"/>
    <xf numFmtId="0" fontId="91" fillId="0" borderId="0" xfId="7" applyFont="1" applyAlignment="1">
      <alignment horizontal="centerContinuous"/>
    </xf>
    <xf numFmtId="0" fontId="86" fillId="0" borderId="0" xfId="7" applyFont="1" applyAlignment="1">
      <alignment horizontal="centerContinuous"/>
    </xf>
    <xf numFmtId="0" fontId="91" fillId="0" borderId="0" xfId="7" applyFont="1" applyAlignment="1">
      <alignment horizontal="left"/>
    </xf>
    <xf numFmtId="0" fontId="86" fillId="0" borderId="0" xfId="7" applyFont="1" applyAlignment="1">
      <alignment horizontal="left"/>
    </xf>
    <xf numFmtId="214" fontId="92" fillId="7" borderId="0" xfId="7" applyNumberFormat="1" applyFont="1" applyFill="1" applyAlignment="1">
      <alignment horizontal="centerContinuous"/>
    </xf>
    <xf numFmtId="0" fontId="138" fillId="7" borderId="0" xfId="7" applyFont="1" applyFill="1" applyAlignment="1">
      <alignment horizontal="centerContinuous"/>
    </xf>
    <xf numFmtId="0" fontId="86" fillId="7" borderId="0" xfId="7" applyFont="1" applyFill="1" applyAlignment="1">
      <alignment horizontal="centerContinuous"/>
    </xf>
    <xf numFmtId="173" fontId="92" fillId="7" borderId="0" xfId="7" applyNumberFormat="1" applyFont="1" applyFill="1" applyAlignment="1">
      <alignment horizontal="centerContinuous"/>
    </xf>
    <xf numFmtId="194" fontId="92" fillId="7" borderId="0" xfId="7" applyNumberFormat="1" applyFont="1" applyFill="1" applyAlignment="1">
      <alignment horizontal="centerContinuous"/>
    </xf>
    <xf numFmtId="0" fontId="138" fillId="0" borderId="0" xfId="7" applyFont="1" applyAlignment="1">
      <alignment horizontal="left"/>
    </xf>
    <xf numFmtId="168" fontId="87" fillId="0" borderId="37" xfId="7" applyNumberFormat="1" applyFont="1" applyBorder="1" applyAlignment="1">
      <alignment horizontal="right"/>
    </xf>
    <xf numFmtId="0" fontId="92" fillId="0" borderId="38" xfId="4" applyFont="1" applyBorder="1" applyAlignment="1">
      <alignment vertical="center"/>
    </xf>
    <xf numFmtId="0" fontId="92" fillId="0" borderId="38" xfId="4" applyFont="1" applyBorder="1" applyAlignment="1">
      <alignment horizontal="right" vertical="center"/>
    </xf>
    <xf numFmtId="0" fontId="91" fillId="0" borderId="38" xfId="7" applyFont="1" applyBorder="1" applyAlignment="1">
      <alignment vertical="center"/>
    </xf>
    <xf numFmtId="169" fontId="92" fillId="0" borderId="38" xfId="0" applyNumberFormat="1" applyFont="1" applyBorder="1" applyAlignment="1">
      <alignment horizontal="right"/>
    </xf>
    <xf numFmtId="164" fontId="91" fillId="0" borderId="0" xfId="7" applyNumberFormat="1" applyFont="1"/>
    <xf numFmtId="170" fontId="91" fillId="4" borderId="0" xfId="7" applyNumberFormat="1" applyFont="1" applyFill="1"/>
    <xf numFmtId="0" fontId="137" fillId="0" borderId="0" xfId="0" applyFont="1" applyAlignment="1">
      <alignment horizontal="left"/>
    </xf>
    <xf numFmtId="164" fontId="137" fillId="0" borderId="0" xfId="0" applyNumberFormat="1" applyFont="1" applyAlignment="1">
      <alignment horizontal="left"/>
    </xf>
    <xf numFmtId="9" fontId="86" fillId="0" borderId="0" xfId="1" applyFont="1"/>
    <xf numFmtId="170" fontId="86" fillId="0" borderId="0" xfId="7" applyNumberFormat="1" applyFont="1"/>
    <xf numFmtId="183" fontId="137" fillId="0" borderId="0" xfId="7" applyNumberFormat="1" applyFont="1" applyAlignment="1">
      <alignment horizontal="right"/>
    </xf>
    <xf numFmtId="0" fontId="86" fillId="0" borderId="2" xfId="7" applyFont="1" applyBorder="1"/>
    <xf numFmtId="0" fontId="144" fillId="0" borderId="0" xfId="7" applyFont="1"/>
    <xf numFmtId="0" fontId="92" fillId="0" borderId="38" xfId="4" applyFont="1" applyBorder="1"/>
    <xf numFmtId="0" fontId="92" fillId="0" borderId="38" xfId="4" applyFont="1" applyBorder="1" applyAlignment="1">
      <alignment horizontal="right"/>
    </xf>
    <xf numFmtId="0" fontId="92" fillId="0" borderId="0" xfId="4" applyFont="1" applyAlignment="1">
      <alignment horizontal="right"/>
    </xf>
    <xf numFmtId="0" fontId="137" fillId="0" borderId="0" xfId="7" applyFont="1" applyAlignment="1">
      <alignment wrapText="1"/>
    </xf>
    <xf numFmtId="170" fontId="137" fillId="4" borderId="0" xfId="7" applyNumberFormat="1" applyFont="1" applyFill="1" applyAlignment="1">
      <alignment horizontal="right"/>
    </xf>
    <xf numFmtId="170" fontId="137" fillId="0" borderId="0" xfId="7" applyNumberFormat="1" applyFont="1"/>
    <xf numFmtId="0" fontId="137" fillId="0" borderId="0" xfId="7" applyFont="1"/>
    <xf numFmtId="170" fontId="137" fillId="4" borderId="0" xfId="7" applyNumberFormat="1" applyFont="1" applyFill="1"/>
    <xf numFmtId="194" fontId="137" fillId="4" borderId="0" xfId="7" applyNumberFormat="1" applyFont="1" applyFill="1"/>
    <xf numFmtId="0" fontId="139" fillId="0" borderId="0" xfId="7" applyFont="1"/>
    <xf numFmtId="170" fontId="139" fillId="4" borderId="8" xfId="7" applyNumberFormat="1" applyFont="1" applyFill="1" applyBorder="1" applyAlignment="1">
      <alignment horizontal="right"/>
    </xf>
    <xf numFmtId="0" fontId="85" fillId="0" borderId="0" xfId="7" applyFont="1"/>
    <xf numFmtId="170" fontId="139" fillId="0" borderId="0" xfId="7" applyNumberFormat="1" applyFont="1"/>
    <xf numFmtId="170" fontId="145" fillId="0" borderId="0" xfId="7" applyNumberFormat="1" applyFont="1"/>
    <xf numFmtId="200" fontId="137" fillId="0" borderId="0" xfId="0" applyNumberFormat="1" applyFont="1" applyAlignment="1">
      <alignment horizontal="right"/>
    </xf>
    <xf numFmtId="1" fontId="86" fillId="0" borderId="0" xfId="7" applyNumberFormat="1" applyFont="1"/>
    <xf numFmtId="168" fontId="92" fillId="0" borderId="38" xfId="7" applyNumberFormat="1" applyFont="1" applyBorder="1" applyAlignment="1">
      <alignment horizontal="left"/>
    </xf>
    <xf numFmtId="168" fontId="92" fillId="0" borderId="38" xfId="7" applyNumberFormat="1" applyFont="1" applyBorder="1" applyAlignment="1">
      <alignment horizontal="right"/>
    </xf>
    <xf numFmtId="168" fontId="92" fillId="0" borderId="38" xfId="7" applyNumberFormat="1" applyFont="1" applyBorder="1"/>
    <xf numFmtId="209" fontId="86" fillId="0" borderId="0" xfId="7" applyNumberFormat="1" applyFont="1"/>
    <xf numFmtId="199" fontId="91" fillId="0" borderId="0" xfId="0" applyNumberFormat="1" applyFont="1" applyAlignment="1">
      <alignment horizontal="left"/>
    </xf>
    <xf numFmtId="173" fontId="137" fillId="0" borderId="0" xfId="10" applyNumberFormat="1" applyFont="1" applyFill="1" applyBorder="1" applyAlignment="1" applyProtection="1">
      <alignment horizontal="right"/>
      <protection locked="0"/>
    </xf>
    <xf numFmtId="194" fontId="91" fillId="0" borderId="0" xfId="9" applyNumberFormat="1" applyFont="1" applyFill="1" applyAlignment="1" applyProtection="1">
      <alignment horizontal="right"/>
      <protection locked="0"/>
    </xf>
    <xf numFmtId="170" fontId="86" fillId="0" borderId="0" xfId="0" applyNumberFormat="1" applyFont="1"/>
    <xf numFmtId="0" fontId="92" fillId="0" borderId="0" xfId="4" applyFont="1"/>
    <xf numFmtId="166" fontId="135" fillId="0" borderId="0" xfId="7" applyNumberFormat="1" applyFont="1"/>
    <xf numFmtId="0" fontId="146" fillId="0" borderId="0" xfId="7" applyFont="1"/>
    <xf numFmtId="167" fontId="91" fillId="0" borderId="0" xfId="9" applyNumberFormat="1" applyFont="1" applyBorder="1" applyAlignment="1" applyProtection="1">
      <alignment horizontal="centerContinuous"/>
      <protection locked="0"/>
    </xf>
    <xf numFmtId="165" fontId="144" fillId="4" borderId="0" xfId="13" applyFont="1" applyFill="1" applyBorder="1" applyAlignment="1" applyProtection="1">
      <alignment horizontal="right"/>
      <protection locked="0"/>
    </xf>
    <xf numFmtId="213" fontId="137" fillId="4" borderId="22" xfId="13" applyNumberFormat="1" applyFont="1" applyFill="1" applyBorder="1" applyAlignment="1" applyProtection="1">
      <alignment horizontal="right"/>
      <protection locked="0"/>
    </xf>
    <xf numFmtId="213" fontId="89" fillId="4" borderId="22" xfId="13" applyNumberFormat="1" applyFont="1" applyFill="1" applyBorder="1" applyAlignment="1" applyProtection="1">
      <alignment horizontal="right"/>
      <protection locked="0"/>
    </xf>
    <xf numFmtId="212" fontId="92" fillId="7" borderId="0" xfId="7" applyNumberFormat="1" applyFont="1" applyFill="1" applyAlignment="1">
      <alignment horizontal="centerContinuous"/>
    </xf>
    <xf numFmtId="192" fontId="137" fillId="4" borderId="24" xfId="13" applyNumberFormat="1" applyFont="1" applyFill="1" applyBorder="1" applyAlignment="1" applyProtection="1">
      <alignment horizontal="right"/>
      <protection locked="0"/>
    </xf>
    <xf numFmtId="220" fontId="137" fillId="4" borderId="25" xfId="1" applyNumberFormat="1" applyFont="1" applyFill="1" applyBorder="1" applyProtection="1">
      <protection locked="0"/>
    </xf>
    <xf numFmtId="220" fontId="137" fillId="4" borderId="0" xfId="1" applyNumberFormat="1" applyFont="1" applyFill="1" applyBorder="1" applyProtection="1">
      <protection locked="0"/>
    </xf>
    <xf numFmtId="167" fontId="91" fillId="0" borderId="0" xfId="9" applyNumberFormat="1" applyFont="1" applyFill="1" applyProtection="1">
      <protection locked="0"/>
    </xf>
    <xf numFmtId="220" fontId="137" fillId="4" borderId="0" xfId="1" applyNumberFormat="1" applyFont="1" applyFill="1" applyProtection="1">
      <protection locked="0"/>
    </xf>
    <xf numFmtId="0" fontId="91" fillId="0" borderId="0" xfId="9" applyNumberFormat="1" applyFont="1" applyFill="1" applyBorder="1" applyProtection="1">
      <protection locked="0"/>
    </xf>
    <xf numFmtId="164" fontId="91" fillId="0" borderId="0" xfId="9" applyNumberFormat="1" applyFont="1" applyFill="1" applyBorder="1" applyProtection="1">
      <protection locked="0"/>
    </xf>
    <xf numFmtId="193" fontId="91" fillId="4" borderId="0" xfId="10" applyNumberFormat="1" applyFont="1" applyFill="1" applyBorder="1" applyAlignment="1" applyProtection="1">
      <alignment horizontal="right"/>
      <protection locked="0"/>
    </xf>
    <xf numFmtId="192" fontId="89" fillId="4" borderId="24" xfId="13" applyNumberFormat="1" applyFont="1" applyFill="1" applyBorder="1" applyAlignment="1" applyProtection="1">
      <alignment horizontal="right"/>
      <protection locked="0"/>
    </xf>
    <xf numFmtId="220" fontId="139" fillId="4" borderId="16" xfId="1" applyNumberFormat="1" applyFont="1" applyFill="1" applyBorder="1" applyProtection="1">
      <protection locked="0"/>
    </xf>
    <xf numFmtId="0" fontId="91" fillId="0" borderId="0" xfId="9" applyNumberFormat="1" applyFont="1" applyFill="1" applyProtection="1">
      <protection locked="0"/>
    </xf>
    <xf numFmtId="164" fontId="91" fillId="0" borderId="0" xfId="9" applyNumberFormat="1" applyFont="1" applyFill="1" applyProtection="1">
      <protection locked="0"/>
    </xf>
    <xf numFmtId="193" fontId="91" fillId="4" borderId="0" xfId="9" applyNumberFormat="1" applyFont="1" applyFill="1" applyProtection="1">
      <protection locked="0"/>
    </xf>
    <xf numFmtId="3" fontId="92" fillId="7" borderId="0" xfId="7" applyNumberFormat="1" applyFont="1" applyFill="1" applyAlignment="1">
      <alignment horizontal="centerContinuous"/>
    </xf>
    <xf numFmtId="3" fontId="138" fillId="7" borderId="0" xfId="7" applyNumberFormat="1" applyFont="1" applyFill="1" applyAlignment="1">
      <alignment horizontal="centerContinuous"/>
    </xf>
    <xf numFmtId="3" fontId="86" fillId="7" borderId="0" xfId="7" applyNumberFormat="1" applyFont="1" applyFill="1" applyAlignment="1">
      <alignment horizontal="centerContinuous"/>
    </xf>
    <xf numFmtId="167" fontId="91" fillId="0" borderId="0" xfId="9" applyNumberFormat="1" applyFont="1" applyFill="1" applyBorder="1" applyAlignment="1" applyProtection="1">
      <alignment horizontal="centerContinuous"/>
      <protection locked="0"/>
    </xf>
    <xf numFmtId="213" fontId="147" fillId="4" borderId="0" xfId="13" applyNumberFormat="1" applyFont="1" applyFill="1" applyBorder="1" applyAlignment="1" applyProtection="1">
      <alignment horizontal="right"/>
      <protection locked="0"/>
    </xf>
    <xf numFmtId="213" fontId="144" fillId="4" borderId="0" xfId="13" applyNumberFormat="1" applyFont="1" applyFill="1" applyBorder="1" applyAlignment="1" applyProtection="1">
      <alignment horizontal="right"/>
      <protection locked="0"/>
    </xf>
    <xf numFmtId="167" fontId="137" fillId="0" borderId="0" xfId="9" applyNumberFormat="1" applyFont="1" applyFill="1" applyBorder="1" applyAlignment="1" applyProtection="1">
      <protection locked="0"/>
    </xf>
    <xf numFmtId="0" fontId="148" fillId="0" borderId="0" xfId="7" applyFont="1"/>
    <xf numFmtId="219" fontId="92" fillId="7" borderId="0" xfId="7" applyNumberFormat="1" applyFont="1" applyFill="1" applyAlignment="1">
      <alignment horizontal="centerContinuous"/>
    </xf>
    <xf numFmtId="192" fontId="147" fillId="4" borderId="0" xfId="13" applyNumberFormat="1" applyFont="1" applyFill="1" applyProtection="1">
      <protection locked="0"/>
    </xf>
    <xf numFmtId="167" fontId="137" fillId="4" borderId="25" xfId="13" applyNumberFormat="1" applyFont="1" applyFill="1" applyBorder="1" applyProtection="1">
      <protection locked="0"/>
    </xf>
    <xf numFmtId="167" fontId="137" fillId="4" borderId="0" xfId="13" applyNumberFormat="1" applyFont="1" applyFill="1" applyBorder="1" applyProtection="1">
      <protection locked="0"/>
    </xf>
    <xf numFmtId="167" fontId="137" fillId="4" borderId="0" xfId="13" applyNumberFormat="1" applyFont="1" applyFill="1" applyProtection="1">
      <protection locked="0"/>
    </xf>
    <xf numFmtId="170" fontId="91" fillId="0" borderId="0" xfId="0" applyNumberFormat="1" applyFont="1"/>
    <xf numFmtId="167" fontId="139" fillId="4" borderId="16" xfId="13" applyNumberFormat="1" applyFont="1" applyFill="1" applyBorder="1" applyProtection="1">
      <protection locked="0"/>
    </xf>
    <xf numFmtId="174" fontId="94" fillId="0" borderId="0" xfId="1" applyNumberFormat="1" applyFont="1"/>
    <xf numFmtId="216" fontId="92" fillId="7" borderId="0" xfId="7" applyNumberFormat="1" applyFont="1" applyFill="1" applyAlignment="1">
      <alignment horizontal="centerContinuous"/>
    </xf>
    <xf numFmtId="188" fontId="137" fillId="0" borderId="0" xfId="9" applyNumberFormat="1" applyFont="1" applyBorder="1" applyAlignment="1" applyProtection="1">
      <alignment horizontal="right"/>
      <protection locked="0"/>
    </xf>
    <xf numFmtId="174" fontId="137" fillId="0" borderId="0" xfId="10" applyNumberFormat="1" applyFont="1" applyBorder="1" applyProtection="1">
      <protection locked="0"/>
    </xf>
    <xf numFmtId="174" fontId="137" fillId="0" borderId="0" xfId="10" applyNumberFormat="1" applyFont="1" applyProtection="1">
      <protection locked="0"/>
    </xf>
    <xf numFmtId="0" fontId="85" fillId="0" borderId="0" xfId="0" applyFont="1" applyAlignment="1">
      <alignment vertical="top"/>
    </xf>
    <xf numFmtId="0" fontId="86" fillId="0" borderId="0" xfId="0" applyFont="1" applyAlignment="1">
      <alignment vertical="top"/>
    </xf>
    <xf numFmtId="0" fontId="147" fillId="0" borderId="0" xfId="0" applyFont="1" applyAlignment="1">
      <alignment horizontal="right" vertical="top"/>
    </xf>
    <xf numFmtId="41" fontId="91" fillId="0" borderId="0" xfId="0" applyNumberFormat="1" applyFont="1" applyAlignment="1">
      <alignment vertical="top"/>
    </xf>
    <xf numFmtId="41" fontId="92" fillId="0" borderId="0" xfId="0" applyNumberFormat="1" applyFont="1" applyAlignment="1">
      <alignment vertical="top"/>
    </xf>
    <xf numFmtId="37" fontId="87" fillId="0" borderId="0" xfId="0" applyNumberFormat="1" applyFont="1" applyAlignment="1">
      <alignment vertical="center"/>
    </xf>
    <xf numFmtId="37" fontId="144" fillId="0" borderId="0" xfId="0" applyNumberFormat="1" applyFont="1" applyAlignment="1">
      <alignment vertical="center"/>
    </xf>
    <xf numFmtId="0" fontId="139" fillId="0" borderId="0" xfId="0" applyFont="1" applyAlignment="1">
      <alignment horizontal="left" vertical="center" indent="1"/>
    </xf>
    <xf numFmtId="9" fontId="149" fillId="0" borderId="0" xfId="1" applyFont="1" applyAlignment="1">
      <alignment vertical="top"/>
    </xf>
    <xf numFmtId="0" fontId="140" fillId="0" borderId="0" xfId="0" applyFont="1" applyAlignment="1">
      <alignment horizontal="left" vertical="center" indent="1"/>
    </xf>
    <xf numFmtId="168" fontId="92" fillId="0" borderId="0" xfId="0" applyNumberFormat="1" applyFont="1" applyAlignment="1">
      <alignment horizontal="right"/>
    </xf>
    <xf numFmtId="9" fontId="149" fillId="0" borderId="36" xfId="1" applyFont="1" applyBorder="1" applyAlignment="1">
      <alignment vertical="top"/>
    </xf>
    <xf numFmtId="0" fontId="139" fillId="0" borderId="0" xfId="0" applyFont="1" applyAlignment="1">
      <alignment horizontal="left"/>
    </xf>
    <xf numFmtId="0" fontId="86" fillId="0" borderId="0" xfId="0" applyFont="1" applyAlignment="1">
      <alignment vertical="center"/>
    </xf>
    <xf numFmtId="0" fontId="135" fillId="0" borderId="0" xfId="0" applyFont="1" applyAlignment="1">
      <alignment horizontal="right" vertical="center"/>
    </xf>
    <xf numFmtId="190" fontId="147" fillId="0" borderId="0" xfId="0" applyNumberFormat="1" applyFont="1" applyAlignment="1">
      <alignment horizontal="right" vertical="center"/>
    </xf>
    <xf numFmtId="0" fontId="92" fillId="0" borderId="0" xfId="0" applyFont="1"/>
    <xf numFmtId="174" fontId="86" fillId="0" borderId="0" xfId="1" applyNumberFormat="1" applyFont="1"/>
    <xf numFmtId="0" fontId="150" fillId="0" borderId="0" xfId="0" applyFont="1" applyAlignment="1">
      <alignment vertical="top"/>
    </xf>
    <xf numFmtId="217" fontId="92" fillId="11" borderId="0" xfId="13" applyNumberFormat="1" applyFont="1" applyFill="1" applyAlignment="1">
      <alignment horizontal="centerContinuous" vertical="top"/>
    </xf>
    <xf numFmtId="9" fontId="151" fillId="0" borderId="0" xfId="1" applyFont="1" applyAlignment="1">
      <alignment vertical="top"/>
    </xf>
    <xf numFmtId="214" fontId="94" fillId="0" borderId="0" xfId="0" applyNumberFormat="1" applyFont="1" applyAlignment="1">
      <alignment vertical="top"/>
    </xf>
    <xf numFmtId="0" fontId="91" fillId="0" borderId="0" xfId="0" applyFont="1" applyAlignment="1">
      <alignment horizontal="left" indent="1"/>
    </xf>
    <xf numFmtId="170" fontId="91" fillId="4" borderId="0" xfId="0" applyNumberFormat="1" applyFont="1" applyFill="1" applyAlignment="1">
      <alignment horizontal="right"/>
    </xf>
    <xf numFmtId="0" fontId="137" fillId="0" borderId="0" xfId="0" applyFont="1" applyAlignment="1">
      <alignment horizontal="left" vertical="center" indent="1"/>
    </xf>
    <xf numFmtId="9" fontId="92" fillId="11" borderId="0" xfId="1" applyFont="1" applyFill="1" applyAlignment="1">
      <alignment horizontal="centerContinuous" vertical="top"/>
    </xf>
    <xf numFmtId="41" fontId="91" fillId="0" borderId="60" xfId="0" applyNumberFormat="1" applyFont="1" applyBorder="1" applyAlignment="1">
      <alignment vertical="top"/>
    </xf>
    <xf numFmtId="0" fontId="140" fillId="0" borderId="0" xfId="0" applyFont="1" applyAlignment="1">
      <alignment horizontal="left" indent="2"/>
    </xf>
    <xf numFmtId="0" fontId="137" fillId="0" borderId="0" xfId="0" applyFont="1" applyAlignment="1">
      <alignment horizontal="center" vertical="center"/>
    </xf>
    <xf numFmtId="0" fontId="147" fillId="0" borderId="0" xfId="0" applyFont="1" applyAlignment="1">
      <alignment horizontal="right"/>
    </xf>
    <xf numFmtId="41" fontId="91" fillId="0" borderId="0" xfId="0" applyNumberFormat="1" applyFont="1"/>
    <xf numFmtId="192" fontId="92" fillId="11" borderId="0" xfId="13" applyNumberFormat="1" applyFont="1" applyFill="1" applyAlignment="1">
      <alignment horizontal="center" vertical="center"/>
    </xf>
    <xf numFmtId="0" fontId="86" fillId="0" borderId="0" xfId="0" quotePrefix="1" applyFont="1"/>
    <xf numFmtId="0" fontId="152" fillId="0" borderId="0" xfId="0" applyFont="1"/>
    <xf numFmtId="170" fontId="91" fillId="4" borderId="49" xfId="0" applyNumberFormat="1" applyFont="1" applyFill="1" applyBorder="1" applyAlignment="1">
      <alignment horizontal="right"/>
    </xf>
    <xf numFmtId="0" fontId="86" fillId="0" borderId="0" xfId="4" applyFont="1"/>
    <xf numFmtId="0" fontId="86" fillId="0" borderId="39" xfId="4" applyFont="1" applyBorder="1"/>
    <xf numFmtId="0" fontId="86" fillId="0" borderId="41" xfId="4" applyFont="1" applyBorder="1"/>
    <xf numFmtId="0" fontId="86" fillId="0" borderId="40" xfId="4" applyFont="1" applyBorder="1"/>
    <xf numFmtId="0" fontId="153" fillId="0" borderId="0" xfId="0" applyFont="1" applyAlignment="1">
      <alignment horizontal="left"/>
    </xf>
    <xf numFmtId="0" fontId="131" fillId="0" borderId="41" xfId="4" applyFont="1" applyBorder="1"/>
    <xf numFmtId="0" fontId="131" fillId="0" borderId="0" xfId="4" applyFont="1"/>
    <xf numFmtId="0" fontId="132" fillId="0" borderId="0" xfId="4" applyFont="1" applyProtection="1">
      <protection locked="0"/>
    </xf>
    <xf numFmtId="0" fontId="154" fillId="0" borderId="0" xfId="4" applyFont="1" applyProtection="1">
      <protection locked="0"/>
    </xf>
    <xf numFmtId="0" fontId="132" fillId="0" borderId="0" xfId="4" applyFont="1" applyAlignment="1">
      <alignment horizontal="right"/>
    </xf>
    <xf numFmtId="0" fontId="131" fillId="0" borderId="0" xfId="4" applyFont="1" applyProtection="1">
      <protection locked="0"/>
    </xf>
    <xf numFmtId="0" fontId="155" fillId="0" borderId="0" xfId="4" applyFont="1"/>
    <xf numFmtId="0" fontId="132" fillId="0" borderId="22" xfId="4" applyFont="1" applyBorder="1" applyProtection="1">
      <protection locked="0"/>
    </xf>
    <xf numFmtId="0" fontId="156" fillId="0" borderId="22" xfId="4" applyFont="1" applyBorder="1" applyProtection="1">
      <protection locked="0"/>
    </xf>
    <xf numFmtId="0" fontId="156" fillId="0" borderId="0" xfId="4" applyFont="1" applyProtection="1">
      <protection locked="0"/>
    </xf>
    <xf numFmtId="0" fontId="132" fillId="0" borderId="22" xfId="4" applyFont="1" applyBorder="1" applyAlignment="1" applyProtection="1">
      <alignment horizontal="centerContinuous"/>
      <protection locked="0"/>
    </xf>
    <xf numFmtId="0" fontId="157" fillId="0" borderId="22" xfId="4" applyFont="1" applyBorder="1" applyAlignment="1">
      <alignment horizontal="centerContinuous"/>
    </xf>
    <xf numFmtId="0" fontId="158" fillId="0" borderId="0" xfId="2" applyNumberFormat="1" applyFont="1" applyFill="1" applyBorder="1" applyAlignment="1" applyProtection="1">
      <alignment horizontal="left" indent="1"/>
      <protection locked="0"/>
    </xf>
    <xf numFmtId="166" fontId="158" fillId="0" borderId="0" xfId="2" applyNumberFormat="1" applyFont="1" applyFill="1" applyBorder="1" applyProtection="1">
      <protection locked="0"/>
    </xf>
    <xf numFmtId="0" fontId="91" fillId="0" borderId="0" xfId="4" applyFont="1" applyAlignment="1">
      <alignment horizontal="left"/>
    </xf>
    <xf numFmtId="0" fontId="86" fillId="0" borderId="0" xfId="4" applyFont="1" applyAlignment="1">
      <alignment horizontal="left"/>
    </xf>
    <xf numFmtId="200" fontId="137" fillId="4" borderId="0" xfId="0" applyNumberFormat="1" applyFont="1" applyFill="1" applyAlignment="1">
      <alignment horizontal="center"/>
    </xf>
    <xf numFmtId="0" fontId="159" fillId="0" borderId="0" xfId="4" applyFont="1"/>
    <xf numFmtId="0" fontId="137" fillId="0" borderId="0" xfId="4" applyFont="1"/>
    <xf numFmtId="0" fontId="160" fillId="0" borderId="0" xfId="4" applyFont="1"/>
    <xf numFmtId="1" fontId="86" fillId="0" borderId="0" xfId="4" applyNumberFormat="1" applyFont="1"/>
    <xf numFmtId="0" fontId="159" fillId="0" borderId="0" xfId="0" applyFont="1" applyAlignment="1">
      <alignment horizontal="left"/>
    </xf>
    <xf numFmtId="0" fontId="161" fillId="0" borderId="0" xfId="3" applyFont="1" applyFill="1" applyBorder="1" applyProtection="1">
      <protection locked="0"/>
    </xf>
    <xf numFmtId="0" fontId="92" fillId="4" borderId="32" xfId="4" applyFont="1" applyFill="1" applyBorder="1" applyAlignment="1">
      <alignment horizontal="center"/>
    </xf>
    <xf numFmtId="0" fontId="162" fillId="0" borderId="22" xfId="4" applyFont="1" applyBorder="1" applyProtection="1">
      <protection locked="0"/>
    </xf>
    <xf numFmtId="0" fontId="162" fillId="0" borderId="0" xfId="4" applyFont="1" applyProtection="1">
      <protection locked="0"/>
    </xf>
    <xf numFmtId="0" fontId="92" fillId="4" borderId="31" xfId="4" applyFont="1" applyFill="1" applyBorder="1" applyAlignment="1">
      <alignment horizontal="center"/>
    </xf>
    <xf numFmtId="0" fontId="163" fillId="0" borderId="0" xfId="4" applyFont="1" applyAlignment="1">
      <alignment horizontal="center"/>
    </xf>
    <xf numFmtId="0" fontId="92" fillId="4" borderId="29" xfId="4" applyFont="1" applyFill="1" applyBorder="1" applyAlignment="1">
      <alignment horizontal="center"/>
    </xf>
    <xf numFmtId="0" fontId="86" fillId="4" borderId="30" xfId="4" applyFont="1" applyFill="1" applyBorder="1" applyAlignment="1">
      <alignment horizontal="center"/>
    </xf>
    <xf numFmtId="0" fontId="86" fillId="4" borderId="31" xfId="4" applyFont="1" applyFill="1" applyBorder="1" applyAlignment="1">
      <alignment horizontal="center"/>
    </xf>
    <xf numFmtId="0" fontId="86" fillId="0" borderId="0" xfId="4" applyFont="1" applyAlignment="1">
      <alignment horizontal="center"/>
    </xf>
    <xf numFmtId="0" fontId="164" fillId="0" borderId="0" xfId="4" applyFont="1"/>
    <xf numFmtId="166" fontId="165" fillId="0" borderId="0" xfId="3" applyNumberFormat="1" applyFont="1" applyFill="1" applyBorder="1"/>
    <xf numFmtId="0" fontId="159" fillId="0" borderId="0" xfId="3" applyFont="1" applyFill="1" applyBorder="1"/>
    <xf numFmtId="0" fontId="86" fillId="0" borderId="0" xfId="3" applyFont="1" applyFill="1" applyBorder="1"/>
    <xf numFmtId="0" fontId="87" fillId="10" borderId="0" xfId="4" applyFont="1" applyFill="1"/>
    <xf numFmtId="0" fontId="86" fillId="10" borderId="0" xfId="4" applyFont="1" applyFill="1"/>
    <xf numFmtId="166" fontId="144" fillId="10" borderId="0" xfId="4" applyNumberFormat="1" applyFont="1" applyFill="1"/>
    <xf numFmtId="0" fontId="144" fillId="10" borderId="0" xfId="4" applyFont="1" applyFill="1"/>
    <xf numFmtId="0" fontId="86" fillId="0" borderId="42" xfId="4" applyFont="1" applyBorder="1"/>
    <xf numFmtId="192" fontId="92" fillId="14" borderId="0" xfId="13" applyNumberFormat="1" applyFont="1" applyFill="1"/>
    <xf numFmtId="213" fontId="92" fillId="14" borderId="0" xfId="0" applyNumberFormat="1" applyFont="1" applyFill="1"/>
    <xf numFmtId="0" fontId="166" fillId="0" borderId="0" xfId="25" applyFont="1"/>
    <xf numFmtId="192" fontId="94" fillId="0" borderId="0" xfId="0" applyNumberFormat="1" applyFont="1"/>
    <xf numFmtId="175" fontId="107" fillId="0" borderId="28" xfId="0" applyNumberFormat="1" applyFont="1" applyBorder="1" applyAlignment="1">
      <alignment vertical="center"/>
    </xf>
    <xf numFmtId="175" fontId="109" fillId="0" borderId="28" xfId="0" applyNumberFormat="1" applyFont="1" applyBorder="1" applyAlignment="1">
      <alignment vertical="center"/>
    </xf>
    <xf numFmtId="175" fontId="133" fillId="0" borderId="0" xfId="0" applyNumberFormat="1" applyFont="1" applyAlignment="1">
      <alignment vertical="center"/>
    </xf>
    <xf numFmtId="232" fontId="108" fillId="0" borderId="7" xfId="0" applyNumberFormat="1" applyFont="1" applyBorder="1" applyAlignment="1">
      <alignment horizontal="right" vertical="center"/>
    </xf>
    <xf numFmtId="232" fontId="108" fillId="0" borderId="8" xfId="0" applyNumberFormat="1" applyFont="1" applyBorder="1" applyAlignment="1">
      <alignment horizontal="right" vertical="center"/>
    </xf>
    <xf numFmtId="232" fontId="108" fillId="0" borderId="9" xfId="0" applyNumberFormat="1" applyFont="1" applyBorder="1" applyAlignment="1">
      <alignment horizontal="right" vertical="center"/>
    </xf>
    <xf numFmtId="232" fontId="108" fillId="0" borderId="10" xfId="0" applyNumberFormat="1" applyFont="1" applyBorder="1" applyAlignment="1">
      <alignment horizontal="right" vertical="center"/>
    </xf>
    <xf numFmtId="232" fontId="108" fillId="0" borderId="0" xfId="0" applyNumberFormat="1" applyFont="1" applyAlignment="1">
      <alignment horizontal="right" vertical="center"/>
    </xf>
    <xf numFmtId="232" fontId="108" fillId="0" borderId="11" xfId="0" applyNumberFormat="1" applyFont="1" applyBorder="1" applyAlignment="1">
      <alignment horizontal="right" vertical="center"/>
    </xf>
    <xf numFmtId="233" fontId="99" fillId="0" borderId="0" xfId="0" applyNumberFormat="1" applyFont="1" applyAlignment="1">
      <alignment vertical="center"/>
    </xf>
    <xf numFmtId="0" fontId="86" fillId="0" borderId="0" xfId="4" applyFont="1" applyAlignment="1">
      <alignment horizontal="left" indent="1"/>
    </xf>
    <xf numFmtId="0" fontId="85" fillId="0" borderId="0" xfId="4" applyFont="1"/>
    <xf numFmtId="0" fontId="91" fillId="0" borderId="0" xfId="7" applyFont="1" applyAlignment="1">
      <alignment horizontal="right" vertical="center" textRotation="90" wrapText="1"/>
    </xf>
    <xf numFmtId="0" fontId="91" fillId="0" borderId="0" xfId="7" applyFont="1" applyAlignment="1">
      <alignment horizontal="right" vertical="center" textRotation="90"/>
    </xf>
    <xf numFmtId="228" fontId="79" fillId="0" borderId="78" xfId="0" applyNumberFormat="1" applyFont="1" applyBorder="1" applyAlignment="1">
      <alignment horizontal="center" vertical="center"/>
    </xf>
    <xf numFmtId="228" fontId="79" fillId="0" borderId="79" xfId="0" applyNumberFormat="1" applyFont="1" applyBorder="1" applyAlignment="1">
      <alignment horizontal="center" vertical="center"/>
    </xf>
    <xf numFmtId="228" fontId="79" fillId="0" borderId="80" xfId="0" applyNumberFormat="1" applyFont="1" applyBorder="1" applyAlignment="1">
      <alignment horizontal="center" vertical="center"/>
    </xf>
    <xf numFmtId="228" fontId="79" fillId="0" borderId="111" xfId="0" applyNumberFormat="1" applyFont="1" applyBorder="1" applyAlignment="1">
      <alignment horizontal="center" vertical="center"/>
    </xf>
    <xf numFmtId="0" fontId="78" fillId="13" borderId="86" xfId="0" applyFont="1" applyFill="1" applyBorder="1" applyAlignment="1">
      <alignment horizontal="left" vertical="center"/>
    </xf>
    <xf numFmtId="0" fontId="78" fillId="13" borderId="87" xfId="0" applyFont="1" applyFill="1" applyBorder="1" applyAlignment="1">
      <alignment horizontal="left" vertical="center"/>
    </xf>
    <xf numFmtId="0" fontId="79" fillId="0" borderId="78" xfId="0" applyFont="1" applyBorder="1" applyAlignment="1">
      <alignment horizontal="center" vertical="center"/>
    </xf>
    <xf numFmtId="0" fontId="79" fillId="0" borderId="79" xfId="0" applyFont="1" applyBorder="1" applyAlignment="1">
      <alignment horizontal="center" vertical="center"/>
    </xf>
    <xf numFmtId="0" fontId="79" fillId="0" borderId="80" xfId="0" applyFont="1" applyBorder="1" applyAlignment="1">
      <alignment horizontal="center" vertical="center"/>
    </xf>
    <xf numFmtId="0" fontId="79" fillId="0" borderId="111" xfId="0" applyFont="1" applyBorder="1" applyAlignment="1">
      <alignment horizontal="center" vertical="center"/>
    </xf>
    <xf numFmtId="227" fontId="79" fillId="0" borderId="81" xfId="0" applyNumberFormat="1" applyFont="1" applyBorder="1" applyAlignment="1" applyProtection="1">
      <alignment horizontal="center" vertical="center" shrinkToFit="1"/>
      <protection locked="0"/>
    </xf>
    <xf numFmtId="0" fontId="77" fillId="0" borderId="0" xfId="0" applyFont="1" applyAlignment="1" applyProtection="1">
      <alignment horizontal="center" vertical="center"/>
      <protection locked="0"/>
    </xf>
    <xf numFmtId="227" fontId="83" fillId="0" borderId="77" xfId="0" applyNumberFormat="1" applyFont="1" applyBorder="1" applyAlignment="1" applyProtection="1">
      <alignment horizontal="center" vertical="center" shrinkToFit="1"/>
      <protection locked="0"/>
    </xf>
    <xf numFmtId="0" fontId="72" fillId="5" borderId="0" xfId="0" applyFont="1" applyFill="1" applyAlignment="1">
      <alignment horizontal="center" vertical="center"/>
    </xf>
    <xf numFmtId="0" fontId="1" fillId="0" borderId="0" xfId="0" applyFont="1" applyAlignment="1">
      <alignment horizontal="right" vertical="center" textRotation="90"/>
    </xf>
  </cellXfs>
  <cellStyles count="26">
    <cellStyle name="Comma" xfId="13" builtinId="3"/>
    <cellStyle name="Comma 2" xfId="5" xr:uid="{00000000-0005-0000-0000-000001000000}"/>
    <cellStyle name="Comma 2 2" xfId="8" xr:uid="{00000000-0005-0000-0000-000002000000}"/>
    <cellStyle name="Comma 2 2 2" xfId="14" xr:uid="{00000000-0005-0000-0000-000003000000}"/>
    <cellStyle name="Comma 3" xfId="9" xr:uid="{00000000-0005-0000-0000-000004000000}"/>
    <cellStyle name="Comma 3 2" xfId="15" xr:uid="{00000000-0005-0000-0000-000005000000}"/>
    <cellStyle name="Comma 4" xfId="11" xr:uid="{00000000-0005-0000-0000-000006000000}"/>
    <cellStyle name="Comma 5" xfId="16" xr:uid="{00000000-0005-0000-0000-000007000000}"/>
    <cellStyle name="Currency 2" xfId="23" xr:uid="{F613FCED-E621-44AF-AF22-2F06ADB535C9}"/>
    <cellStyle name="Hyperlink" xfId="25" builtinId="8"/>
    <cellStyle name="Hyperlink 2" xfId="2" xr:uid="{00000000-0005-0000-0000-000008000000}"/>
    <cellStyle name="Hyperlink 2 2" xfId="3" xr:uid="{00000000-0005-0000-0000-000009000000}"/>
    <cellStyle name="Hyperlink 3" xfId="24" xr:uid="{E7B8AF50-FFBE-4A5D-B757-D776FC4F48CE}"/>
    <cellStyle name="Normal" xfId="0" builtinId="0"/>
    <cellStyle name="Normal 2" xfId="7" xr:uid="{00000000-0005-0000-0000-00000B000000}"/>
    <cellStyle name="Normal 2 2 2" xfId="4" xr:uid="{00000000-0005-0000-0000-00000C000000}"/>
    <cellStyle name="Normal 3" xfId="12" xr:uid="{00000000-0005-0000-0000-00000D000000}"/>
    <cellStyle name="Normal 4" xfId="17" xr:uid="{00000000-0005-0000-0000-00000E000000}"/>
    <cellStyle name="Normal 4 2" xfId="19" xr:uid="{00000000-0005-0000-0000-00000F000000}"/>
    <cellStyle name="Normal 5" xfId="21" xr:uid="{00000000-0005-0000-0000-000010000000}"/>
    <cellStyle name="Normal_Master Junior Database v2" xfId="22" xr:uid="{B7F5681B-CABE-48C6-8B15-2828A7FAB1A4}"/>
    <cellStyle name="Percent" xfId="1" builtinId="5"/>
    <cellStyle name="Percent 2" xfId="10" xr:uid="{00000000-0005-0000-0000-000012000000}"/>
    <cellStyle name="Percent 3" xfId="18" xr:uid="{00000000-0005-0000-0000-000013000000}"/>
    <cellStyle name="Percent 3 2" xfId="20" xr:uid="{00000000-0005-0000-0000-000014000000}"/>
    <cellStyle name="TitleNormal" xfId="6" xr:uid="{00000000-0005-0000-0000-000015000000}"/>
  </cellStyles>
  <dxfs count="56">
    <dxf>
      <font>
        <color rgb="FFC00000"/>
      </font>
      <fill>
        <patternFill>
          <bgColor theme="9" tint="0.79998168889431442"/>
        </patternFill>
      </fill>
    </dxf>
    <dxf>
      <font>
        <color rgb="FFC00000"/>
      </font>
      <fill>
        <patternFill>
          <bgColor theme="9" tint="0.79998168889431442"/>
        </patternFill>
      </fill>
    </dxf>
    <dxf>
      <font>
        <b/>
        <i val="0"/>
        <color rgb="FF00B050"/>
      </font>
      <fill>
        <patternFill>
          <bgColor theme="9" tint="0.79998168889431442"/>
        </patternFill>
      </fill>
    </dxf>
    <dxf>
      <font>
        <b/>
        <i val="0"/>
        <color rgb="FF00B050"/>
      </font>
      <fill>
        <patternFill>
          <bgColor theme="9" tint="0.79998168889431442"/>
        </patternFill>
      </fill>
    </dxf>
    <dxf>
      <fill>
        <patternFill>
          <bgColor rgb="FF0070C0"/>
        </patternFill>
      </fill>
    </dxf>
    <dxf>
      <fill>
        <patternFill>
          <bgColor theme="0" tint="-0.499984740745262"/>
        </patternFill>
      </fill>
    </dxf>
    <dxf>
      <border>
        <left style="thin">
          <color rgb="FFC00000"/>
        </left>
        <right style="thin">
          <color rgb="FFC00000"/>
        </right>
        <vertical/>
        <horizontal/>
      </border>
    </dxf>
    <dxf>
      <font>
        <color theme="0"/>
      </font>
      <fill>
        <patternFill>
          <bgColor theme="5"/>
        </patternFill>
      </fill>
    </dxf>
    <dxf>
      <font>
        <color rgb="FF9C0006"/>
      </font>
      <fill>
        <patternFill>
          <bgColor rgb="FFFFC7CE"/>
        </patternFill>
      </fill>
    </dxf>
    <dxf>
      <font>
        <color rgb="FF006100"/>
      </font>
      <fill>
        <patternFill patternType="none">
          <bgColor auto="1"/>
        </patternFill>
      </fill>
    </dxf>
    <dxf>
      <font>
        <b/>
        <i val="0"/>
        <color theme="0"/>
      </font>
      <fill>
        <patternFill>
          <bgColor theme="6" tint="-0.499984740745262"/>
        </patternFill>
      </fill>
    </dxf>
    <dxf>
      <font>
        <b/>
        <i val="0"/>
        <color theme="0"/>
      </font>
      <fill>
        <patternFill>
          <bgColor theme="6" tint="-0.499984740745262"/>
        </patternFill>
      </fill>
    </dxf>
    <dxf>
      <font>
        <b/>
        <i val="0"/>
        <color theme="0"/>
      </font>
      <fill>
        <patternFill patternType="solid">
          <bgColor theme="6" tint="-0.499984740745262"/>
        </patternFill>
      </fill>
    </dxf>
    <dxf>
      <font>
        <b/>
        <i val="0"/>
        <color theme="0"/>
      </font>
      <fill>
        <patternFill>
          <bgColor rgb="FFFA621C"/>
        </patternFill>
      </fill>
    </dxf>
    <dxf>
      <font>
        <b/>
        <i val="0"/>
        <color theme="0"/>
      </font>
      <fill>
        <patternFill patternType="solid">
          <bgColor theme="6" tint="-0.499984740745262"/>
        </patternFill>
      </fill>
    </dxf>
    <dxf>
      <font>
        <color rgb="FF9C0006"/>
      </font>
      <fill>
        <patternFill>
          <bgColor rgb="FFFFC7CE"/>
        </patternFill>
      </fill>
    </dxf>
    <dxf>
      <font>
        <color rgb="FF006100"/>
      </font>
      <fill>
        <patternFill patternType="none">
          <bgColor auto="1"/>
        </patternFill>
      </fill>
    </dxf>
    <dxf>
      <font>
        <b/>
        <i val="0"/>
        <color theme="0"/>
      </font>
      <fill>
        <patternFill patternType="solid">
          <bgColor rgb="FFFA621C"/>
        </patternFill>
      </fill>
    </dxf>
    <dxf>
      <font>
        <color rgb="FF9C0006"/>
      </font>
      <fill>
        <patternFill>
          <bgColor rgb="FFFFC7CE"/>
        </patternFill>
      </fill>
    </dxf>
    <dxf>
      <font>
        <color rgb="FF006100"/>
      </font>
      <fill>
        <patternFill patternType="none">
          <bgColor indexed="65"/>
        </patternFill>
      </fill>
    </dxf>
    <dxf>
      <font>
        <color rgb="FF9C0006"/>
      </font>
      <fill>
        <patternFill>
          <bgColor rgb="FFFFC7CE"/>
        </patternFill>
      </fill>
    </dxf>
    <dxf>
      <font>
        <color rgb="FF006100"/>
      </font>
      <fill>
        <patternFill patternType="none">
          <bgColor indexed="65"/>
        </patternFill>
      </fill>
    </dxf>
    <dxf>
      <font>
        <color rgb="FF9C0006"/>
      </font>
      <fill>
        <patternFill>
          <bgColor rgb="FFFFC7CE"/>
        </patternFill>
      </fill>
    </dxf>
    <dxf>
      <font>
        <color rgb="FF006100"/>
      </font>
      <fill>
        <patternFill patternType="none">
          <bgColor indexed="65"/>
        </patternFill>
      </fill>
    </dxf>
    <dxf>
      <font>
        <color rgb="FF9C0006"/>
      </font>
      <fill>
        <patternFill>
          <bgColor rgb="FFFFC7CE"/>
        </patternFill>
      </fill>
    </dxf>
    <dxf>
      <font>
        <color rgb="FF006100"/>
      </font>
      <fill>
        <patternFill patternType="none">
          <bgColor indexed="65"/>
        </patternFill>
      </fill>
    </dxf>
    <dxf>
      <font>
        <color rgb="FF9C0006"/>
      </font>
      <fill>
        <patternFill>
          <bgColor rgb="FFFFC7CE"/>
        </patternFill>
      </fill>
    </dxf>
    <dxf>
      <font>
        <color rgb="FF006100"/>
      </font>
      <fill>
        <patternFill patternType="none">
          <bgColor indexed="65"/>
        </patternFill>
      </fill>
    </dxf>
    <dxf>
      <font>
        <color rgb="FF006100"/>
      </font>
      <fill>
        <patternFill patternType="none">
          <bgColor indexed="65"/>
        </patternFill>
      </fill>
    </dxf>
    <dxf>
      <font>
        <color rgb="FF9C0006"/>
      </font>
      <fill>
        <patternFill>
          <bgColor rgb="FFFFC7CE"/>
        </patternFill>
      </fill>
    </dxf>
    <dxf>
      <font>
        <color rgb="FF006100"/>
      </font>
      <fill>
        <patternFill patternType="none">
          <bgColor indexed="65"/>
        </patternFill>
      </fill>
    </dxf>
    <dxf>
      <font>
        <color rgb="FF9C0006"/>
      </font>
      <fill>
        <patternFill>
          <bgColor rgb="FFFFC7CE"/>
        </patternFill>
      </fill>
    </dxf>
    <dxf>
      <font>
        <color rgb="FF9C0006"/>
      </font>
      <fill>
        <patternFill>
          <bgColor rgb="FFFFC7CE"/>
        </patternFill>
      </fill>
    </dxf>
    <dxf>
      <font>
        <color rgb="FF006100"/>
      </font>
      <fill>
        <patternFill patternType="none">
          <bgColor indexed="65"/>
        </patternFill>
      </fill>
    </dxf>
    <dxf>
      <font>
        <color rgb="FF9C0006"/>
      </font>
      <fill>
        <patternFill>
          <bgColor rgb="FFFFC7CE"/>
        </patternFill>
      </fill>
    </dxf>
    <dxf>
      <font>
        <color rgb="FF006100"/>
      </font>
      <fill>
        <patternFill patternType="none">
          <bgColor indexed="65"/>
        </patternFill>
      </fill>
    </dxf>
    <dxf>
      <font>
        <color rgb="FF9C0006"/>
      </font>
      <fill>
        <patternFill>
          <bgColor rgb="FFFFC7CE"/>
        </patternFill>
      </fill>
    </dxf>
    <dxf>
      <font>
        <color rgb="FF006100"/>
      </font>
      <fill>
        <patternFill patternType="none">
          <bgColor indexed="65"/>
        </patternFill>
      </fill>
    </dxf>
    <dxf>
      <font>
        <color rgb="FF9C0006"/>
      </font>
      <fill>
        <patternFill>
          <bgColor rgb="FFFFC7CE"/>
        </patternFill>
      </fill>
    </dxf>
    <dxf>
      <font>
        <color rgb="FF006100"/>
      </font>
      <fill>
        <patternFill patternType="none">
          <bgColor indexed="65"/>
        </patternFill>
      </fill>
    </dxf>
    <dxf>
      <font>
        <color rgb="FF006100"/>
      </font>
      <fill>
        <patternFill patternType="none">
          <bgColor indexed="65"/>
        </patternFill>
      </fill>
    </dxf>
    <dxf>
      <font>
        <color rgb="FF9C0006"/>
      </font>
      <fill>
        <patternFill>
          <bgColor rgb="FFFFC7CE"/>
        </patternFill>
      </fill>
    </dxf>
    <dxf>
      <font>
        <b/>
        <i val="0"/>
        <color theme="0"/>
      </font>
      <fill>
        <patternFill patternType="solid">
          <bgColor rgb="FFFA621C"/>
        </patternFill>
      </fill>
    </dxf>
    <dxf>
      <font>
        <color rgb="FF9C0006"/>
      </font>
      <fill>
        <patternFill>
          <bgColor rgb="FFFFC7CE"/>
        </patternFill>
      </fill>
    </dxf>
    <dxf>
      <font>
        <color rgb="FF006100"/>
      </font>
      <fill>
        <patternFill patternType="none">
          <bgColor indexed="65"/>
        </patternFill>
      </fill>
    </dxf>
    <dxf>
      <font>
        <color rgb="FF9C0006"/>
      </font>
      <fill>
        <patternFill>
          <bgColor rgb="FFFFC7CE"/>
        </patternFill>
      </fill>
    </dxf>
    <dxf>
      <font>
        <color rgb="FF006100"/>
      </font>
      <fill>
        <patternFill patternType="none">
          <bgColor indexed="65"/>
        </patternFill>
      </fill>
    </dxf>
    <dxf>
      <font>
        <b/>
        <i val="0"/>
        <color theme="0"/>
      </font>
      <fill>
        <patternFill patternType="solid">
          <bgColor rgb="FFFA621C"/>
        </patternFill>
      </fill>
    </dxf>
    <dxf>
      <font>
        <color rgb="FF9C0006"/>
      </font>
      <fill>
        <patternFill>
          <bgColor rgb="FFFFC7CE"/>
        </patternFill>
      </fill>
    </dxf>
    <dxf>
      <font>
        <color rgb="FF006100"/>
      </font>
      <fill>
        <patternFill patternType="none">
          <bgColor indexed="65"/>
        </patternFill>
      </fill>
    </dxf>
    <dxf>
      <font>
        <b/>
        <i val="0"/>
        <color theme="0"/>
      </font>
      <fill>
        <patternFill>
          <bgColor theme="6" tint="-0.499984740745262"/>
        </patternFill>
      </fill>
    </dxf>
    <dxf>
      <font>
        <color rgb="FF9C0006"/>
      </font>
      <fill>
        <patternFill>
          <bgColor rgb="FFFFC7CE"/>
        </patternFill>
      </fill>
    </dxf>
    <dxf>
      <font>
        <color rgb="FF006100"/>
      </font>
      <fill>
        <patternFill patternType="none">
          <bgColor indexed="65"/>
        </patternFill>
      </fill>
    </dxf>
    <dxf>
      <font>
        <color rgb="FF9C0006"/>
      </font>
      <fill>
        <patternFill>
          <bgColor rgb="FFFFC7CE"/>
        </patternFill>
      </fill>
    </dxf>
    <dxf>
      <font>
        <color rgb="FF006100"/>
      </font>
      <fill>
        <patternFill patternType="none">
          <bgColor indexed="65"/>
        </patternFill>
      </fill>
    </dxf>
    <dxf>
      <font>
        <b/>
        <i val="0"/>
        <color theme="0"/>
      </font>
      <fill>
        <patternFill>
          <bgColor theme="6" tint="-0.499984740745262"/>
        </patternFill>
      </fill>
    </dxf>
  </dxfs>
  <tableStyles count="0" defaultTableStyle="TableStyleMedium2" defaultPivotStyle="PivotStyleLight16"/>
  <colors>
    <mruColors>
      <color rgb="FFA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1"/>
          <c:tx>
            <c:strRef>
              <c:f>Outputs!$U$64</c:f>
              <c:strCache>
                <c:ptCount val="1"/>
                <c:pt idx="0">
                  <c:v>IRR</c:v>
                </c:pt>
              </c:strCache>
            </c:strRef>
          </c:tx>
          <c:spPr>
            <a:solidFill>
              <a:schemeClr val="bg1">
                <a:lumMod val="75000"/>
              </a:schemeClr>
            </a:solidFill>
            <a:ln>
              <a:noFill/>
            </a:ln>
            <a:effectLst/>
          </c:spPr>
          <c:invertIfNegative val="0"/>
          <c:cat>
            <c:numRef>
              <c:f>Outputs!$T$65:$T$69</c:f>
              <c:numCache>
                <c:formatCode>0"-Year Horizon"</c:formatCode>
                <c:ptCount val="5"/>
                <c:pt idx="0">
                  <c:v>1</c:v>
                </c:pt>
                <c:pt idx="1">
                  <c:v>2</c:v>
                </c:pt>
                <c:pt idx="2">
                  <c:v>3</c:v>
                </c:pt>
                <c:pt idx="3">
                  <c:v>4</c:v>
                </c:pt>
                <c:pt idx="4">
                  <c:v>5</c:v>
                </c:pt>
              </c:numCache>
            </c:numRef>
          </c:cat>
          <c:val>
            <c:numRef>
              <c:f>Outputs!$U$65:$U$69</c:f>
              <c:numCache>
                <c:formatCode>_(#,##0.0%_);\(#,##0.0%\);_("–"_)_%;_(@_)_%</c:formatCode>
                <c:ptCount val="5"/>
                <c:pt idx="0">
                  <c:v>40.268180465698251</c:v>
                </c:pt>
                <c:pt idx="1">
                  <c:v>44.273748397827163</c:v>
                </c:pt>
                <c:pt idx="2">
                  <c:v>5.9536582469940189</c:v>
                </c:pt>
                <c:pt idx="3">
                  <c:v>6.1607122898101805</c:v>
                </c:pt>
                <c:pt idx="4">
                  <c:v>2.7734127283096317</c:v>
                </c:pt>
              </c:numCache>
            </c:numRef>
          </c:val>
          <c:extLst>
            <c:ext xmlns:c16="http://schemas.microsoft.com/office/drawing/2014/chart" uri="{C3380CC4-5D6E-409C-BE32-E72D297353CC}">
              <c16:uniqueId val="{00000000-3ABE-4C1A-8763-BBF925DEE6AA}"/>
            </c:ext>
          </c:extLst>
        </c:ser>
        <c:dLbls>
          <c:showLegendKey val="0"/>
          <c:showVal val="0"/>
          <c:showCatName val="0"/>
          <c:showSerName val="0"/>
          <c:showPercent val="0"/>
          <c:showBubbleSize val="0"/>
        </c:dLbls>
        <c:gapWidth val="50"/>
        <c:axId val="255667375"/>
        <c:axId val="255670735"/>
      </c:barChart>
      <c:lineChart>
        <c:grouping val="standard"/>
        <c:varyColors val="0"/>
        <c:ser>
          <c:idx val="1"/>
          <c:order val="0"/>
          <c:tx>
            <c:strRef>
              <c:f>Outputs!$V$64</c:f>
              <c:strCache>
                <c:ptCount val="1"/>
                <c:pt idx="0">
                  <c:v>Cash-on-Cash</c:v>
                </c:pt>
              </c:strCache>
            </c:strRef>
          </c:tx>
          <c:spPr>
            <a:ln w="22225" cap="rnd">
              <a:solidFill>
                <a:srgbClr val="C00000"/>
              </a:solidFill>
              <a:round/>
            </a:ln>
            <a:effectLst/>
          </c:spPr>
          <c:marker>
            <c:symbol val="diamond"/>
            <c:size val="7"/>
            <c:spPr>
              <a:solidFill>
                <a:srgbClr val="C00000"/>
              </a:solidFill>
              <a:ln w="9525">
                <a:noFill/>
              </a:ln>
              <a:effectLst/>
            </c:spPr>
          </c:marker>
          <c:cat>
            <c:numRef>
              <c:f>Outputs!$T$65:$T$69</c:f>
              <c:numCache>
                <c:formatCode>0"-Year Horizon"</c:formatCode>
                <c:ptCount val="5"/>
                <c:pt idx="0">
                  <c:v>1</c:v>
                </c:pt>
                <c:pt idx="1">
                  <c:v>2</c:v>
                </c:pt>
                <c:pt idx="2">
                  <c:v>3</c:v>
                </c:pt>
                <c:pt idx="3">
                  <c:v>4</c:v>
                </c:pt>
                <c:pt idx="4">
                  <c:v>5</c:v>
                </c:pt>
              </c:numCache>
            </c:numRef>
          </c:cat>
          <c:val>
            <c:numRef>
              <c:f>Outputs!$V$65:$V$69</c:f>
              <c:numCache>
                <c:formatCode>_(0.0\x_);\(0.0\x\);_("–"_);_(@_)</c:formatCode>
                <c:ptCount val="5"/>
                <c:pt idx="0">
                  <c:v>41.268180825270264</c:v>
                </c:pt>
                <c:pt idx="1">
                  <c:v>45.273748531448774</c:v>
                </c:pt>
                <c:pt idx="2">
                  <c:v>48.353362523043224</c:v>
                </c:pt>
                <c:pt idx="3">
                  <c:v>51.275800266785048</c:v>
                </c:pt>
                <c:pt idx="4">
                  <c:v>53.728278691298257</c:v>
                </c:pt>
              </c:numCache>
            </c:numRef>
          </c:val>
          <c:smooth val="0"/>
          <c:extLst>
            <c:ext xmlns:c16="http://schemas.microsoft.com/office/drawing/2014/chart" uri="{C3380CC4-5D6E-409C-BE32-E72D297353CC}">
              <c16:uniqueId val="{00000001-3ABE-4C1A-8763-BBF925DEE6AA}"/>
            </c:ext>
          </c:extLst>
        </c:ser>
        <c:dLbls>
          <c:showLegendKey val="0"/>
          <c:showVal val="0"/>
          <c:showCatName val="0"/>
          <c:showSerName val="0"/>
          <c:showPercent val="0"/>
          <c:showBubbleSize val="0"/>
        </c:dLbls>
        <c:marker val="1"/>
        <c:smooth val="0"/>
        <c:axId val="255666415"/>
        <c:axId val="255687535"/>
      </c:lineChart>
      <c:catAx>
        <c:axId val="255667375"/>
        <c:scaling>
          <c:orientation val="minMax"/>
        </c:scaling>
        <c:delete val="0"/>
        <c:axPos val="b"/>
        <c:numFmt formatCode="0&quot;-Year Horizon&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yanmar Text" panose="020B0502040204020203" pitchFamily="34" charset="0"/>
                <a:ea typeface="+mn-ea"/>
                <a:cs typeface="Myanmar Text" panose="020B0502040204020203" pitchFamily="34" charset="0"/>
              </a:defRPr>
            </a:pPr>
            <a:endParaRPr lang="en-US"/>
          </a:p>
        </c:txPr>
        <c:crossAx val="255670735"/>
        <c:crosses val="autoZero"/>
        <c:auto val="1"/>
        <c:lblAlgn val="ctr"/>
        <c:lblOffset val="100"/>
        <c:noMultiLvlLbl val="0"/>
      </c:catAx>
      <c:valAx>
        <c:axId val="255670735"/>
        <c:scaling>
          <c:orientation val="minMax"/>
        </c:scaling>
        <c:delete val="0"/>
        <c:axPos val="l"/>
        <c:majorGridlines>
          <c:spPr>
            <a:ln w="9525" cap="flat" cmpd="sng" algn="ctr">
              <a:solidFill>
                <a:schemeClr val="tx1">
                  <a:lumMod val="15000"/>
                  <a:lumOff val="85000"/>
                </a:schemeClr>
              </a:solidFill>
              <a:round/>
            </a:ln>
            <a:effectLst/>
          </c:spPr>
        </c:majorGridlines>
        <c:numFmt formatCode="_(#,##0.0%_);\(#,##0.0%\);_(&quot;–&quot;_)_%;_(@_)_%"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yanmar Text" panose="020B0502040204020203" pitchFamily="34" charset="0"/>
                <a:ea typeface="+mn-ea"/>
                <a:cs typeface="Myanmar Text" panose="020B0502040204020203" pitchFamily="34" charset="0"/>
              </a:defRPr>
            </a:pPr>
            <a:endParaRPr lang="en-US"/>
          </a:p>
        </c:txPr>
        <c:crossAx val="255667375"/>
        <c:crosses val="autoZero"/>
        <c:crossBetween val="between"/>
      </c:valAx>
      <c:valAx>
        <c:axId val="255687535"/>
        <c:scaling>
          <c:orientation val="minMax"/>
        </c:scaling>
        <c:delete val="0"/>
        <c:axPos val="r"/>
        <c:numFmt formatCode="_(0.0\x_);\(0.0\x\);_(&quot;–&quot;_);_(@_)"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yanmar Text" panose="020B0502040204020203" pitchFamily="34" charset="0"/>
                <a:ea typeface="+mn-ea"/>
                <a:cs typeface="Myanmar Text" panose="020B0502040204020203" pitchFamily="34" charset="0"/>
              </a:defRPr>
            </a:pPr>
            <a:endParaRPr lang="en-US"/>
          </a:p>
        </c:txPr>
        <c:crossAx val="255666415"/>
        <c:crosses val="max"/>
        <c:crossBetween val="between"/>
      </c:valAx>
      <c:catAx>
        <c:axId val="255666415"/>
        <c:scaling>
          <c:orientation val="minMax"/>
        </c:scaling>
        <c:delete val="1"/>
        <c:axPos val="b"/>
        <c:numFmt formatCode="0&quot;-Year Horizon&quot;" sourceLinked="1"/>
        <c:majorTickMark val="out"/>
        <c:minorTickMark val="none"/>
        <c:tickLblPos val="nextTo"/>
        <c:crossAx val="255687535"/>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yanmar Text" panose="020B0502040204020203" pitchFamily="34" charset="0"/>
              <a:ea typeface="+mn-ea"/>
              <a:cs typeface="Myanmar Text" panose="020B05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Outputs!$C$99</c:f>
              <c:strCache>
                <c:ptCount val="1"/>
                <c:pt idx="0">
                  <c:v>Revenue</c:v>
                </c:pt>
              </c:strCache>
            </c:strRef>
          </c:tx>
          <c:spPr>
            <a:solidFill>
              <a:schemeClr val="accent6">
                <a:lumMod val="75000"/>
                <a:alpha val="24000"/>
              </a:schemeClr>
            </a:solidFill>
            <a:ln>
              <a:solidFill>
                <a:schemeClr val="accent4">
                  <a:lumMod val="50000"/>
                </a:schemeClr>
              </a:solidFill>
            </a:ln>
            <a:effectLst/>
          </c:spPr>
          <c:invertIfNegative val="0"/>
          <c:cat>
            <c:numRef>
              <c:f>Outputs!$M$96:$Q$96</c:f>
              <c:numCache>
                <c:formatCode>0"F"</c:formatCode>
                <c:ptCount val="5"/>
                <c:pt idx="0">
                  <c:v>2024</c:v>
                </c:pt>
                <c:pt idx="1">
                  <c:v>2025</c:v>
                </c:pt>
                <c:pt idx="2">
                  <c:v>2026</c:v>
                </c:pt>
                <c:pt idx="3">
                  <c:v>2027</c:v>
                </c:pt>
                <c:pt idx="4">
                  <c:v>2028</c:v>
                </c:pt>
              </c:numCache>
            </c:numRef>
          </c:cat>
          <c:val>
            <c:numRef>
              <c:f>Outputs!$M$99:$Q$99</c:f>
              <c:numCache>
                <c:formatCode>_(#,##0_);\(#,##0\);_("–"_);_(@_)</c:formatCode>
                <c:ptCount val="5"/>
                <c:pt idx="0">
                  <c:v>138000</c:v>
                </c:pt>
                <c:pt idx="1">
                  <c:v>159984</c:v>
                </c:pt>
                <c:pt idx="2">
                  <c:v>181800</c:v>
                </c:pt>
                <c:pt idx="3">
                  <c:v>204828.00000000003</c:v>
                </c:pt>
                <c:pt idx="4">
                  <c:v>229068.00000000003</c:v>
                </c:pt>
              </c:numCache>
            </c:numRef>
          </c:val>
          <c:extLst>
            <c:ext xmlns:c16="http://schemas.microsoft.com/office/drawing/2014/chart" uri="{C3380CC4-5D6E-409C-BE32-E72D297353CC}">
              <c16:uniqueId val="{00000000-6319-4E21-9AED-8C0BFD7DDEAB}"/>
            </c:ext>
          </c:extLst>
        </c:ser>
        <c:dLbls>
          <c:showLegendKey val="0"/>
          <c:showVal val="0"/>
          <c:showCatName val="0"/>
          <c:showSerName val="0"/>
          <c:showPercent val="0"/>
          <c:showBubbleSize val="0"/>
        </c:dLbls>
        <c:gapWidth val="50"/>
        <c:overlap val="-27"/>
        <c:axId val="2115553408"/>
        <c:axId val="2115552928"/>
      </c:barChart>
      <c:lineChart>
        <c:grouping val="standard"/>
        <c:varyColors val="0"/>
        <c:ser>
          <c:idx val="1"/>
          <c:order val="1"/>
          <c:tx>
            <c:strRef>
              <c:f>Outputs!$C$101</c:f>
              <c:strCache>
                <c:ptCount val="1"/>
                <c:pt idx="0">
                  <c:v>EBITDA Margin</c:v>
                </c:pt>
              </c:strCache>
            </c:strRef>
          </c:tx>
          <c:spPr>
            <a:ln w="19050" cap="rnd">
              <a:solidFill>
                <a:schemeClr val="accent3">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yanmar Text" panose="020B0502040204020203" pitchFamily="34" charset="0"/>
                    <a:ea typeface="+mn-ea"/>
                    <a:cs typeface="Myanmar Text" panose="020B0502040204020203" pitchFamily="34" charset="0"/>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Outputs!$M$101:$Q$101</c:f>
              <c:numCache>
                <c:formatCode>0.0%</c:formatCode>
                <c:ptCount val="5"/>
                <c:pt idx="0">
                  <c:v>0.69531759510869562</c:v>
                </c:pt>
                <c:pt idx="1">
                  <c:v>0.71094116247562256</c:v>
                </c:pt>
                <c:pt idx="2">
                  <c:v>0.72322493811881194</c:v>
                </c:pt>
                <c:pt idx="3">
                  <c:v>0.73740827212344029</c:v>
                </c:pt>
                <c:pt idx="4">
                  <c:v>0.75061186972863958</c:v>
                </c:pt>
              </c:numCache>
            </c:numRef>
          </c:val>
          <c:smooth val="0"/>
          <c:extLst>
            <c:ext xmlns:c16="http://schemas.microsoft.com/office/drawing/2014/chart" uri="{C3380CC4-5D6E-409C-BE32-E72D297353CC}">
              <c16:uniqueId val="{00000001-6319-4E21-9AED-8C0BFD7DDEAB}"/>
            </c:ext>
          </c:extLst>
        </c:ser>
        <c:ser>
          <c:idx val="2"/>
          <c:order val="2"/>
          <c:tx>
            <c:strRef>
              <c:f>Outputs!$C$103</c:f>
              <c:strCache>
                <c:ptCount val="1"/>
                <c:pt idx="0">
                  <c:v>Net Income Margin</c:v>
                </c:pt>
              </c:strCache>
            </c:strRef>
          </c:tx>
          <c:spPr>
            <a:ln w="25400" cap="rnd">
              <a:solidFill>
                <a:srgbClr val="C00000"/>
              </a:solidFill>
              <a:prstDash val="sysDot"/>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yanmar Text" panose="020B0502040204020203" pitchFamily="34" charset="0"/>
                    <a:ea typeface="+mn-ea"/>
                    <a:cs typeface="Myanmar Text" panose="020B0502040204020203" pitchFamily="34" charset="0"/>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5"/>
              <c:pt idx="0">
                <c:v>2024</c:v>
              </c:pt>
              <c:pt idx="1">
                <c:v>2025</c:v>
              </c:pt>
              <c:pt idx="2">
                <c:v>2026</c:v>
              </c:pt>
              <c:pt idx="3">
                <c:v>2027</c:v>
              </c:pt>
              <c:pt idx="4">
                <c:v>2028</c:v>
              </c:pt>
            </c:numLit>
          </c:cat>
          <c:val>
            <c:numRef>
              <c:f>Outputs!$M$103:$Q$103</c:f>
              <c:numCache>
                <c:formatCode>0.0%</c:formatCode>
                <c:ptCount val="5"/>
                <c:pt idx="0">
                  <c:v>0.46971803821757246</c:v>
                </c:pt>
                <c:pt idx="1">
                  <c:v>0.4896781204600858</c:v>
                </c:pt>
                <c:pt idx="2">
                  <c:v>0.50823158604914154</c:v>
                </c:pt>
                <c:pt idx="3">
                  <c:v>0.52884248833546221</c:v>
                </c:pt>
                <c:pt idx="4">
                  <c:v>0.54939136730541471</c:v>
                </c:pt>
              </c:numCache>
            </c:numRef>
          </c:val>
          <c:smooth val="0"/>
          <c:extLst>
            <c:ext xmlns:c16="http://schemas.microsoft.com/office/drawing/2014/chart" uri="{C3380CC4-5D6E-409C-BE32-E72D297353CC}">
              <c16:uniqueId val="{00000002-6319-4E21-9AED-8C0BFD7DDEAB}"/>
            </c:ext>
          </c:extLst>
        </c:ser>
        <c:dLbls>
          <c:showLegendKey val="0"/>
          <c:showVal val="0"/>
          <c:showCatName val="0"/>
          <c:showSerName val="0"/>
          <c:showPercent val="0"/>
          <c:showBubbleSize val="0"/>
        </c:dLbls>
        <c:marker val="1"/>
        <c:smooth val="0"/>
        <c:axId val="209512528"/>
        <c:axId val="209519728"/>
      </c:lineChart>
      <c:catAx>
        <c:axId val="2115553408"/>
        <c:scaling>
          <c:orientation val="minMax"/>
        </c:scaling>
        <c:delete val="0"/>
        <c:axPos val="b"/>
        <c:numFmt formatCode="0&quot;F&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yanmar Text" panose="020B0502040204020203" pitchFamily="34" charset="0"/>
                <a:ea typeface="+mn-ea"/>
                <a:cs typeface="Myanmar Text" panose="020B0502040204020203" pitchFamily="34" charset="0"/>
              </a:defRPr>
            </a:pPr>
            <a:endParaRPr lang="en-US"/>
          </a:p>
        </c:txPr>
        <c:crossAx val="2115552928"/>
        <c:crosses val="autoZero"/>
        <c:auto val="1"/>
        <c:lblAlgn val="ctr"/>
        <c:lblOffset val="100"/>
        <c:noMultiLvlLbl val="0"/>
      </c:catAx>
      <c:valAx>
        <c:axId val="2115552928"/>
        <c:scaling>
          <c:orientation val="minMax"/>
        </c:scaling>
        <c:delete val="0"/>
        <c:axPos val="l"/>
        <c:numFmt formatCode="_(#,##0_);\(#,##0\);_(&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553408"/>
        <c:crosses val="autoZero"/>
        <c:crossBetween val="between"/>
      </c:valAx>
      <c:valAx>
        <c:axId val="209519728"/>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yanmar Text" panose="020B0502040204020203" pitchFamily="34" charset="0"/>
                <a:ea typeface="+mn-ea"/>
                <a:cs typeface="Myanmar Text" panose="020B0502040204020203" pitchFamily="34" charset="0"/>
              </a:defRPr>
            </a:pPr>
            <a:endParaRPr lang="en-US"/>
          </a:p>
        </c:txPr>
        <c:crossAx val="209512528"/>
        <c:crosses val="max"/>
        <c:crossBetween val="between"/>
      </c:valAx>
      <c:catAx>
        <c:axId val="209512528"/>
        <c:scaling>
          <c:orientation val="minMax"/>
        </c:scaling>
        <c:delete val="1"/>
        <c:axPos val="b"/>
        <c:numFmt formatCode="0&quot;F&quot;" sourceLinked="1"/>
        <c:majorTickMark val="out"/>
        <c:minorTickMark val="none"/>
        <c:tickLblPos val="nextTo"/>
        <c:crossAx val="209519728"/>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yanmar Text" panose="020B0502040204020203" pitchFamily="34" charset="0"/>
              <a:ea typeface="+mn-ea"/>
              <a:cs typeface="Myanmar Text" panose="020B05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Outputs!$C$106</c:f>
              <c:strCache>
                <c:ptCount val="1"/>
                <c:pt idx="0">
                  <c:v>Operating</c:v>
                </c:pt>
              </c:strCache>
            </c:strRef>
          </c:tx>
          <c:spPr>
            <a:solidFill>
              <a:schemeClr val="accent3">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5"/>
              <c:pt idx="0">
                <c:v>2024</c:v>
              </c:pt>
              <c:pt idx="1">
                <c:v>2025</c:v>
              </c:pt>
              <c:pt idx="2">
                <c:v>2026</c:v>
              </c:pt>
              <c:pt idx="3">
                <c:v>2027</c:v>
              </c:pt>
              <c:pt idx="4">
                <c:v>2028</c:v>
              </c:pt>
            </c:numLit>
          </c:cat>
          <c:val>
            <c:numRef>
              <c:f>Outputs!$M$106:$Q$106</c:f>
              <c:numCache>
                <c:formatCode>_(#,##0_);\(#,##0\);_("–"_);_(@_)</c:formatCode>
                <c:ptCount val="5"/>
                <c:pt idx="0">
                  <c:v>59342.717861009325</c:v>
                </c:pt>
                <c:pt idx="1">
                  <c:v>82210.391945139927</c:v>
                </c:pt>
                <c:pt idx="2">
                  <c:v>97739.468230712708</c:v>
                </c:pt>
                <c:pt idx="3">
                  <c:v>114964.77701249304</c:v>
                </c:pt>
                <c:pt idx="4">
                  <c:v>133736.01233738268</c:v>
                </c:pt>
              </c:numCache>
            </c:numRef>
          </c:val>
          <c:extLst>
            <c:ext xmlns:c16="http://schemas.microsoft.com/office/drawing/2014/chart" uri="{C3380CC4-5D6E-409C-BE32-E72D297353CC}">
              <c16:uniqueId val="{00000000-5C08-43FF-974A-97A155756D06}"/>
            </c:ext>
          </c:extLst>
        </c:ser>
        <c:ser>
          <c:idx val="1"/>
          <c:order val="1"/>
          <c:tx>
            <c:strRef>
              <c:f>Outputs!$C$107</c:f>
              <c:strCache>
                <c:ptCount val="1"/>
                <c:pt idx="0">
                  <c:v>Investing</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5"/>
              <c:pt idx="0">
                <c:v>2024</c:v>
              </c:pt>
              <c:pt idx="1">
                <c:v>2025</c:v>
              </c:pt>
              <c:pt idx="2">
                <c:v>2026</c:v>
              </c:pt>
              <c:pt idx="3">
                <c:v>2027</c:v>
              </c:pt>
              <c:pt idx="4">
                <c:v>2028</c:v>
              </c:pt>
            </c:numLit>
          </c:cat>
          <c:val>
            <c:numRef>
              <c:f>Outputs!$M$107:$Q$107</c:f>
              <c:numCache>
                <c:formatCode>_(#,##0_);\(#,##0\);_("–"_);_(@_)</c:formatCode>
                <c:ptCount val="5"/>
                <c:pt idx="0">
                  <c:v>-17136.360096249999</c:v>
                </c:pt>
                <c:pt idx="1">
                  <c:v>-8568.1800481249993</c:v>
                </c:pt>
                <c:pt idx="2">
                  <c:v>-8568.1800481249993</c:v>
                </c:pt>
                <c:pt idx="3">
                  <c:v>-8568.1800481249993</c:v>
                </c:pt>
                <c:pt idx="4">
                  <c:v>-8568.1800481249993</c:v>
                </c:pt>
              </c:numCache>
            </c:numRef>
          </c:val>
          <c:extLst>
            <c:ext xmlns:c16="http://schemas.microsoft.com/office/drawing/2014/chart" uri="{C3380CC4-5D6E-409C-BE32-E72D297353CC}">
              <c16:uniqueId val="{00000001-5C08-43FF-974A-97A155756D06}"/>
            </c:ext>
          </c:extLst>
        </c:ser>
        <c:ser>
          <c:idx val="2"/>
          <c:order val="2"/>
          <c:tx>
            <c:strRef>
              <c:f>Outputs!$C$108</c:f>
              <c:strCache>
                <c:ptCount val="1"/>
                <c:pt idx="0">
                  <c:v>Financing</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5"/>
              <c:pt idx="0">
                <c:v>2024</c:v>
              </c:pt>
              <c:pt idx="1">
                <c:v>2025</c:v>
              </c:pt>
              <c:pt idx="2">
                <c:v>2026</c:v>
              </c:pt>
              <c:pt idx="3">
                <c:v>2027</c:v>
              </c:pt>
              <c:pt idx="4">
                <c:v>2028</c:v>
              </c:pt>
            </c:numLit>
          </c:cat>
          <c:val>
            <c:numRef>
              <c:f>Outputs!$M$108:$Q$108</c:f>
              <c:numCache>
                <c:formatCode>_(#,##0_);\(#,##0\);_("–"_);_(@_)</c:formatCode>
                <c:ptCount val="5"/>
                <c:pt idx="0">
                  <c:v>16737.860096249999</c:v>
                </c:pt>
                <c:pt idx="1">
                  <c:v>0</c:v>
                </c:pt>
                <c:pt idx="2">
                  <c:v>0</c:v>
                </c:pt>
                <c:pt idx="3">
                  <c:v>0</c:v>
                </c:pt>
                <c:pt idx="4">
                  <c:v>0</c:v>
                </c:pt>
              </c:numCache>
            </c:numRef>
          </c:val>
          <c:extLst>
            <c:ext xmlns:c16="http://schemas.microsoft.com/office/drawing/2014/chart" uri="{C3380CC4-5D6E-409C-BE32-E72D297353CC}">
              <c16:uniqueId val="{00000002-5C08-43FF-974A-97A155756D06}"/>
            </c:ext>
          </c:extLst>
        </c:ser>
        <c:dLbls>
          <c:showLegendKey val="0"/>
          <c:showVal val="0"/>
          <c:showCatName val="0"/>
          <c:showSerName val="0"/>
          <c:showPercent val="0"/>
          <c:showBubbleSize val="0"/>
        </c:dLbls>
        <c:gapWidth val="50"/>
        <c:overlap val="100"/>
        <c:axId val="222424256"/>
        <c:axId val="222421856"/>
      </c:barChart>
      <c:lineChart>
        <c:grouping val="standard"/>
        <c:varyColors val="0"/>
        <c:ser>
          <c:idx val="3"/>
          <c:order val="3"/>
          <c:tx>
            <c:strRef>
              <c:f>Outputs!$C$109</c:f>
              <c:strCache>
                <c:ptCount val="1"/>
                <c:pt idx="0">
                  <c:v>Change in Cash</c:v>
                </c:pt>
              </c:strCache>
            </c:strRef>
          </c:tx>
          <c:spPr>
            <a:ln w="15875" cap="rnd">
              <a:solidFill>
                <a:srgbClr val="00B050"/>
              </a:solidFill>
              <a:prstDash val="solid"/>
              <a:round/>
            </a:ln>
            <a:effectLst/>
          </c:spPr>
          <c:marker>
            <c:symbol val="plus"/>
            <c:size val="5"/>
            <c:spPr>
              <a:solidFill>
                <a:srgbClr val="00B050"/>
              </a:solidFill>
              <a:ln w="9525">
                <a:noFill/>
              </a:ln>
              <a:effectLst/>
            </c:spPr>
          </c:marker>
          <c:cat>
            <c:numRef>
              <c:f>Outputs!$M$96:$Q$96</c:f>
              <c:numCache>
                <c:formatCode>0"F"</c:formatCode>
                <c:ptCount val="5"/>
                <c:pt idx="0">
                  <c:v>2024</c:v>
                </c:pt>
                <c:pt idx="1">
                  <c:v>2025</c:v>
                </c:pt>
                <c:pt idx="2">
                  <c:v>2026</c:v>
                </c:pt>
                <c:pt idx="3">
                  <c:v>2027</c:v>
                </c:pt>
                <c:pt idx="4">
                  <c:v>2028</c:v>
                </c:pt>
              </c:numCache>
            </c:numRef>
          </c:cat>
          <c:val>
            <c:numRef>
              <c:f>Outputs!$M$109:$Q$109</c:f>
              <c:numCache>
                <c:formatCode>_(#,##0_);\(#,##0\);_("–"_);_(@_)</c:formatCode>
                <c:ptCount val="5"/>
                <c:pt idx="0">
                  <c:v>58944.217861009325</c:v>
                </c:pt>
                <c:pt idx="1">
                  <c:v>73642.211897014931</c:v>
                </c:pt>
                <c:pt idx="2">
                  <c:v>89171.288182587712</c:v>
                </c:pt>
                <c:pt idx="3">
                  <c:v>106396.59696436804</c:v>
                </c:pt>
                <c:pt idx="4">
                  <c:v>125167.83228925768</c:v>
                </c:pt>
              </c:numCache>
            </c:numRef>
          </c:val>
          <c:smooth val="0"/>
          <c:extLst>
            <c:ext xmlns:c16="http://schemas.microsoft.com/office/drawing/2014/chart" uri="{C3380CC4-5D6E-409C-BE32-E72D297353CC}">
              <c16:uniqueId val="{00000003-5C08-43FF-974A-97A155756D06}"/>
            </c:ext>
          </c:extLst>
        </c:ser>
        <c:dLbls>
          <c:showLegendKey val="0"/>
          <c:showVal val="0"/>
          <c:showCatName val="0"/>
          <c:showSerName val="0"/>
          <c:showPercent val="0"/>
          <c:showBubbleSize val="0"/>
        </c:dLbls>
        <c:marker val="1"/>
        <c:smooth val="0"/>
        <c:axId val="222424256"/>
        <c:axId val="222421856"/>
      </c:lineChart>
      <c:catAx>
        <c:axId val="222424256"/>
        <c:scaling>
          <c:orientation val="minMax"/>
        </c:scaling>
        <c:delete val="0"/>
        <c:axPos val="b"/>
        <c:numFmt formatCode="General" sourceLinked="1"/>
        <c:majorTickMark val="none"/>
        <c:minorTickMark val="none"/>
        <c:tickLblPos val="low"/>
        <c:spPr>
          <a:noFill/>
          <a:ln w="15875" cap="flat" cmpd="sng" algn="ctr">
            <a:solidFill>
              <a:srgbClr val="C00000"/>
            </a:solidFill>
            <a:prstDash val="sysDash"/>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yanmar Text" panose="020B0502040204020203" pitchFamily="34" charset="0"/>
                <a:ea typeface="+mn-ea"/>
                <a:cs typeface="Myanmar Text" panose="020B0502040204020203" pitchFamily="34" charset="0"/>
              </a:defRPr>
            </a:pPr>
            <a:endParaRPr lang="en-US"/>
          </a:p>
        </c:txPr>
        <c:crossAx val="222421856"/>
        <c:crosses val="autoZero"/>
        <c:auto val="1"/>
        <c:lblAlgn val="ctr"/>
        <c:lblOffset val="100"/>
        <c:noMultiLvlLbl val="0"/>
      </c:catAx>
      <c:valAx>
        <c:axId val="222421856"/>
        <c:scaling>
          <c:orientation val="minMax"/>
        </c:scaling>
        <c:delete val="0"/>
        <c:axPos val="l"/>
        <c:numFmt formatCode="_(#,##0_);\(#,##0\);_(&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yanmar Text" panose="020B0502040204020203" pitchFamily="34" charset="0"/>
                <a:ea typeface="+mn-ea"/>
                <a:cs typeface="Myanmar Text" panose="020B0502040204020203" pitchFamily="34" charset="0"/>
              </a:defRPr>
            </a:pPr>
            <a:endParaRPr lang="en-US"/>
          </a:p>
        </c:txPr>
        <c:crossAx val="22242425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yanmar Text" panose="020B0502040204020203" pitchFamily="34" charset="0"/>
              <a:ea typeface="+mn-ea"/>
              <a:cs typeface="Myanmar Text" panose="020B05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0"/>
          <c:tx>
            <c:strRef>
              <c:f>Outputs!$T$27</c:f>
              <c:strCache>
                <c:ptCount val="1"/>
                <c:pt idx="0">
                  <c:v>Orders Placed (Units per month)</c:v>
                </c:pt>
              </c:strCache>
            </c:strRef>
          </c:tx>
          <c:spPr>
            <a:solidFill>
              <a:schemeClr val="bg1">
                <a:lumMod val="65000"/>
                <a:alpha val="4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5"/>
              <c:pt idx="0">
                <c:v>2024</c:v>
              </c:pt>
              <c:pt idx="1">
                <c:v>2025</c:v>
              </c:pt>
              <c:pt idx="2">
                <c:v>2026</c:v>
              </c:pt>
              <c:pt idx="3">
                <c:v>2027</c:v>
              </c:pt>
              <c:pt idx="4">
                <c:v>2028</c:v>
              </c:pt>
            </c:numLit>
          </c:cat>
          <c:val>
            <c:numRef>
              <c:f>Outputs!$W$27:$AA$27</c:f>
              <c:numCache>
                <c:formatCode>_(#,##0_);\(#,##0\);_("–"_);_(@_)</c:formatCode>
                <c:ptCount val="5"/>
                <c:pt idx="0">
                  <c:v>5000000</c:v>
                </c:pt>
                <c:pt idx="1">
                  <c:v>5500000</c:v>
                </c:pt>
                <c:pt idx="2">
                  <c:v>6000000</c:v>
                </c:pt>
                <c:pt idx="3">
                  <c:v>6500000</c:v>
                </c:pt>
                <c:pt idx="4">
                  <c:v>7000000</c:v>
                </c:pt>
              </c:numCache>
            </c:numRef>
          </c:val>
          <c:extLst>
            <c:ext xmlns:c16="http://schemas.microsoft.com/office/drawing/2014/chart" uri="{C3380CC4-5D6E-409C-BE32-E72D297353CC}">
              <c16:uniqueId val="{00000000-F5B9-45DA-87F7-2474B432C268}"/>
            </c:ext>
          </c:extLst>
        </c:ser>
        <c:dLbls>
          <c:showLegendKey val="0"/>
          <c:showVal val="0"/>
          <c:showCatName val="0"/>
          <c:showSerName val="0"/>
          <c:showPercent val="0"/>
          <c:showBubbleSize val="0"/>
        </c:dLbls>
        <c:gapWidth val="40"/>
        <c:overlap val="100"/>
        <c:axId val="27584767"/>
        <c:axId val="27589087"/>
      </c:barChart>
      <c:lineChart>
        <c:grouping val="standard"/>
        <c:varyColors val="0"/>
        <c:ser>
          <c:idx val="0"/>
          <c:order val="1"/>
          <c:tx>
            <c:strRef>
              <c:f>Outputs!$T$26</c:f>
              <c:strCache>
                <c:ptCount val="1"/>
                <c:pt idx="0">
                  <c:v>EBITDA</c:v>
                </c:pt>
              </c:strCache>
            </c:strRef>
          </c:tx>
          <c:spPr>
            <a:ln w="28575" cap="rnd">
              <a:solidFill>
                <a:schemeClr val="accent3">
                  <a:lumMod val="50000"/>
                </a:schemeClr>
              </a:solidFill>
              <a:prstDash val="sysDash"/>
              <a:round/>
            </a:ln>
            <a:effectLst/>
          </c:spPr>
          <c:marker>
            <c:symbol val="circle"/>
            <c:size val="9"/>
            <c:spPr>
              <a:solidFill>
                <a:schemeClr val="accent3">
                  <a:lumMod val="50000"/>
                </a:schemeClr>
              </a:solidFill>
              <a:ln w="9525">
                <a:solidFill>
                  <a:schemeClr val="accent6"/>
                </a:solidFill>
              </a:ln>
              <a:effectLst/>
            </c:spPr>
          </c:marker>
          <c:cat>
            <c:numRef>
              <c:f>Outputs!$W$24:$AA$24</c:f>
              <c:numCache>
                <c:formatCode>0"F"</c:formatCode>
                <c:ptCount val="5"/>
                <c:pt idx="0">
                  <c:v>2025</c:v>
                </c:pt>
                <c:pt idx="1">
                  <c:v>2026</c:v>
                </c:pt>
                <c:pt idx="2">
                  <c:v>2027</c:v>
                </c:pt>
                <c:pt idx="3">
                  <c:v>2028</c:v>
                </c:pt>
                <c:pt idx="4">
                  <c:v>2029</c:v>
                </c:pt>
              </c:numCache>
            </c:numRef>
          </c:cat>
          <c:val>
            <c:numRef>
              <c:f>Outputs!$W$26:$AA$26</c:f>
              <c:numCache>
                <c:formatCode>_(#,##0_);\(#,##0\);_("–"_);_(@_)</c:formatCode>
                <c:ptCount val="5"/>
                <c:pt idx="0">
                  <c:v>64821.089274024998</c:v>
                </c:pt>
                <c:pt idx="1">
                  <c:v>113739.2109375</c:v>
                </c:pt>
                <c:pt idx="2">
                  <c:v>131482.29375000001</c:v>
                </c:pt>
                <c:pt idx="3">
                  <c:v>151041.86156250004</c:v>
                </c:pt>
                <c:pt idx="4">
                  <c:v>171941.15977500004</c:v>
                </c:pt>
              </c:numCache>
            </c:numRef>
          </c:val>
          <c:smooth val="0"/>
          <c:extLst>
            <c:ext xmlns:c16="http://schemas.microsoft.com/office/drawing/2014/chart" uri="{C3380CC4-5D6E-409C-BE32-E72D297353CC}">
              <c16:uniqueId val="{00000001-F5B9-45DA-87F7-2474B432C268}"/>
            </c:ext>
          </c:extLst>
        </c:ser>
        <c:dLbls>
          <c:showLegendKey val="0"/>
          <c:showVal val="0"/>
          <c:showCatName val="0"/>
          <c:showSerName val="0"/>
          <c:showPercent val="0"/>
          <c:showBubbleSize val="0"/>
        </c:dLbls>
        <c:marker val="1"/>
        <c:smooth val="0"/>
        <c:axId val="209523568"/>
        <c:axId val="209511568"/>
      </c:lineChart>
      <c:catAx>
        <c:axId val="2758476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yanmar Text" panose="020B0502040204020203" pitchFamily="34" charset="0"/>
                <a:ea typeface="+mn-ea"/>
                <a:cs typeface="Myanmar Text" panose="020B0502040204020203" pitchFamily="34" charset="0"/>
              </a:defRPr>
            </a:pPr>
            <a:endParaRPr lang="en-US"/>
          </a:p>
        </c:txPr>
        <c:crossAx val="27589087"/>
        <c:crosses val="autoZero"/>
        <c:auto val="1"/>
        <c:lblAlgn val="ctr"/>
        <c:lblOffset val="100"/>
        <c:noMultiLvlLbl val="0"/>
      </c:catAx>
      <c:valAx>
        <c:axId val="27589087"/>
        <c:scaling>
          <c:orientation val="minMax"/>
          <c:min val="4000000"/>
        </c:scaling>
        <c:delete val="0"/>
        <c:axPos val="l"/>
        <c:numFmt formatCode="_(#,##0_);\(#,##0\);_(&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yanmar Text" panose="020B0502040204020203" pitchFamily="34" charset="0"/>
                <a:ea typeface="+mn-ea"/>
                <a:cs typeface="Myanmar Text" panose="020B0502040204020203" pitchFamily="34" charset="0"/>
              </a:defRPr>
            </a:pPr>
            <a:endParaRPr lang="en-US"/>
          </a:p>
        </c:txPr>
        <c:crossAx val="27584767"/>
        <c:crosses val="autoZero"/>
        <c:crossBetween val="between"/>
      </c:valAx>
      <c:valAx>
        <c:axId val="209511568"/>
        <c:scaling>
          <c:orientation val="minMax"/>
        </c:scaling>
        <c:delete val="1"/>
        <c:axPos val="r"/>
        <c:numFmt formatCode="_(#,##0_);\(#,##0\);_(&quot;–&quot;_);_(@_)" sourceLinked="1"/>
        <c:majorTickMark val="out"/>
        <c:minorTickMark val="none"/>
        <c:tickLblPos val="nextTo"/>
        <c:crossAx val="209523568"/>
        <c:crosses val="max"/>
        <c:crossBetween val="between"/>
      </c:valAx>
      <c:catAx>
        <c:axId val="209523568"/>
        <c:scaling>
          <c:orientation val="minMax"/>
        </c:scaling>
        <c:delete val="1"/>
        <c:axPos val="b"/>
        <c:numFmt formatCode="0&quot;F&quot;" sourceLinked="1"/>
        <c:majorTickMark val="out"/>
        <c:minorTickMark val="none"/>
        <c:tickLblPos val="nextTo"/>
        <c:crossAx val="209511568"/>
        <c:crosses val="autoZero"/>
        <c:auto val="1"/>
        <c:lblAlgn val="ctr"/>
        <c:lblOffset val="100"/>
        <c:noMultiLvlLbl val="0"/>
      </c:catAx>
      <c:spPr>
        <a:noFill/>
        <a:ln>
          <a:noFill/>
        </a:ln>
        <a:effectLst/>
      </c:spPr>
    </c:plotArea>
    <c:legend>
      <c:legendPos val="t"/>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1"/>
          <c:tx>
            <c:strRef>
              <c:f>Outputs!$T$29</c:f>
              <c:strCache>
                <c:ptCount val="1"/>
                <c:pt idx="0">
                  <c:v>Unlevered Free Cash Flow </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yanmar Text" panose="020B0502040204020203" pitchFamily="34" charset="0"/>
                    <a:ea typeface="+mn-ea"/>
                    <a:cs typeface="Myanmar Text"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Outputs!$W$29:$AA$29</c:f>
              <c:numCache>
                <c:formatCode>_(#,##0_);\(#,##0\);_("–"_);_(@_)</c:formatCode>
                <c:ptCount val="5"/>
                <c:pt idx="0">
                  <c:v>42538.403166203083</c:v>
                </c:pt>
                <c:pt idx="1">
                  <c:v>76804.916638504204</c:v>
                </c:pt>
                <c:pt idx="2">
                  <c:v>96636.219071827683</c:v>
                </c:pt>
                <c:pt idx="3">
                  <c:v>119096.50908990699</c:v>
                </c:pt>
                <c:pt idx="4">
                  <c:v>144105.17675908277</c:v>
                </c:pt>
              </c:numCache>
            </c:numRef>
          </c:val>
          <c:extLst>
            <c:ext xmlns:c16="http://schemas.microsoft.com/office/drawing/2014/chart" uri="{C3380CC4-5D6E-409C-BE32-E72D297353CC}">
              <c16:uniqueId val="{00000000-3D74-4C7F-BBAA-7E24316DAB24}"/>
            </c:ext>
          </c:extLst>
        </c:ser>
        <c:dLbls>
          <c:showLegendKey val="0"/>
          <c:showVal val="0"/>
          <c:showCatName val="0"/>
          <c:showSerName val="0"/>
          <c:showPercent val="0"/>
          <c:showBubbleSize val="0"/>
        </c:dLbls>
        <c:gapWidth val="50"/>
        <c:axId val="-2068371008"/>
        <c:axId val="-2068411168"/>
      </c:barChart>
      <c:lineChart>
        <c:grouping val="standard"/>
        <c:varyColors val="0"/>
        <c:ser>
          <c:idx val="2"/>
          <c:order val="0"/>
          <c:tx>
            <c:strRef>
              <c:f>Outputs!$T$30</c:f>
              <c:strCache>
                <c:ptCount val="1"/>
                <c:pt idx="0">
                  <c:v>Cumulative Cash Flow </c:v>
                </c:pt>
              </c:strCache>
            </c:strRef>
          </c:tx>
          <c:spPr>
            <a:ln w="15875" cap="rnd">
              <a:solidFill>
                <a:srgbClr val="00B050"/>
              </a:solidFill>
              <a:round/>
            </a:ln>
            <a:effectLst/>
          </c:spPr>
          <c:marker>
            <c:symbol val="square"/>
            <c:size val="5"/>
            <c:spPr>
              <a:solidFill>
                <a:srgbClr val="00B050"/>
              </a:solidFill>
              <a:ln w="9525">
                <a:noFill/>
              </a:ln>
              <a:effectLst/>
            </c:spPr>
          </c:marker>
          <c:cat>
            <c:numRef>
              <c:f>Outputs!$M$96:$Q$96</c:f>
              <c:numCache>
                <c:formatCode>0"F"</c:formatCode>
                <c:ptCount val="5"/>
                <c:pt idx="0">
                  <c:v>2024</c:v>
                </c:pt>
                <c:pt idx="1">
                  <c:v>2025</c:v>
                </c:pt>
                <c:pt idx="2">
                  <c:v>2026</c:v>
                </c:pt>
                <c:pt idx="3">
                  <c:v>2027</c:v>
                </c:pt>
                <c:pt idx="4">
                  <c:v>2028</c:v>
                </c:pt>
              </c:numCache>
            </c:numRef>
          </c:cat>
          <c:val>
            <c:numRef>
              <c:f>Outputs!$W$30:$AA$30</c:f>
              <c:numCache>
                <c:formatCode>_(#,##0_);\(#,##0\);_("–"_);_(@_)</c:formatCode>
                <c:ptCount val="5"/>
                <c:pt idx="0">
                  <c:v>42538.403166203083</c:v>
                </c:pt>
                <c:pt idx="1">
                  <c:v>119343.31980470728</c:v>
                </c:pt>
                <c:pt idx="2">
                  <c:v>173441.1357103319</c:v>
                </c:pt>
                <c:pt idx="3">
                  <c:v>215732.72816173467</c:v>
                </c:pt>
                <c:pt idx="4">
                  <c:v>263201.68584898976</c:v>
                </c:pt>
              </c:numCache>
            </c:numRef>
          </c:val>
          <c:smooth val="0"/>
          <c:extLst>
            <c:ext xmlns:c16="http://schemas.microsoft.com/office/drawing/2014/chart" uri="{C3380CC4-5D6E-409C-BE32-E72D297353CC}">
              <c16:uniqueId val="{00000001-3D74-4C7F-BBAA-7E24316DAB24}"/>
            </c:ext>
          </c:extLst>
        </c:ser>
        <c:dLbls>
          <c:showLegendKey val="0"/>
          <c:showVal val="0"/>
          <c:showCatName val="0"/>
          <c:showSerName val="0"/>
          <c:showPercent val="0"/>
          <c:showBubbleSize val="0"/>
        </c:dLbls>
        <c:marker val="1"/>
        <c:smooth val="0"/>
        <c:axId val="-2068371008"/>
        <c:axId val="-2068411168"/>
      </c:lineChart>
      <c:catAx>
        <c:axId val="-2068371008"/>
        <c:scaling>
          <c:orientation val="minMax"/>
        </c:scaling>
        <c:delete val="0"/>
        <c:axPos val="b"/>
        <c:numFmt formatCode="0&quot;E&quot;" sourceLinked="1"/>
        <c:majorTickMark val="none"/>
        <c:minorTickMark val="none"/>
        <c:tickLblPos val="low"/>
        <c:spPr>
          <a:noFill/>
          <a:ln w="9525" cap="flat" cmpd="sng" algn="ctr">
            <a:solidFill>
              <a:srgbClr val="AC0000"/>
            </a:solidFill>
            <a:prstDash val="dash"/>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yanmar Text" panose="020B0502040204020203" pitchFamily="34" charset="0"/>
                <a:ea typeface="+mn-ea"/>
                <a:cs typeface="Myanmar Text" panose="020B0502040204020203" pitchFamily="34" charset="0"/>
              </a:defRPr>
            </a:pPr>
            <a:endParaRPr lang="en-US"/>
          </a:p>
        </c:txPr>
        <c:crossAx val="-2068411168"/>
        <c:crosses val="autoZero"/>
        <c:auto val="1"/>
        <c:lblAlgn val="ctr"/>
        <c:lblOffset val="100"/>
        <c:noMultiLvlLbl val="0"/>
      </c:catAx>
      <c:valAx>
        <c:axId val="-2068411168"/>
        <c:scaling>
          <c:orientation val="minMax"/>
        </c:scaling>
        <c:delete val="0"/>
        <c:axPos val="l"/>
        <c:numFmt formatCode="_(#,##0_);\(#,##0\);_(&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83710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barChart>
        <c:barDir val="col"/>
        <c:grouping val="clustered"/>
        <c:varyColors val="0"/>
        <c:ser>
          <c:idx val="0"/>
          <c:order val="0"/>
          <c:tx>
            <c:strRef>
              <c:f>Outputs!$C$99</c:f>
              <c:strCache>
                <c:ptCount val="1"/>
                <c:pt idx="0">
                  <c:v>Revenue</c:v>
                </c:pt>
              </c:strCache>
            </c:strRef>
          </c:tx>
          <c:spPr>
            <a:solidFill>
              <a:schemeClr val="accent2">
                <a:tint val="5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Outputs!$M$96:$Q$96</c:f>
              <c:numCache>
                <c:formatCode>0"F"</c:formatCode>
                <c:ptCount val="5"/>
                <c:pt idx="0">
                  <c:v>2024</c:v>
                </c:pt>
                <c:pt idx="1">
                  <c:v>2025</c:v>
                </c:pt>
                <c:pt idx="2">
                  <c:v>2026</c:v>
                </c:pt>
                <c:pt idx="3">
                  <c:v>2027</c:v>
                </c:pt>
                <c:pt idx="4">
                  <c:v>2028</c:v>
                </c:pt>
              </c:numCache>
            </c:numRef>
          </c:cat>
          <c:val>
            <c:numRef>
              <c:f>Outputs!$M$99:$Q$99</c:f>
              <c:numCache>
                <c:formatCode>_(#,##0_);\(#,##0\);_("–"_);_(@_)</c:formatCode>
                <c:ptCount val="5"/>
                <c:pt idx="0">
                  <c:v>138000</c:v>
                </c:pt>
                <c:pt idx="1">
                  <c:v>159984</c:v>
                </c:pt>
                <c:pt idx="2">
                  <c:v>181800</c:v>
                </c:pt>
                <c:pt idx="3">
                  <c:v>204828.00000000003</c:v>
                </c:pt>
                <c:pt idx="4">
                  <c:v>229068.00000000003</c:v>
                </c:pt>
              </c:numCache>
            </c:numRef>
          </c:val>
          <c:extLst>
            <c:ext xmlns:c16="http://schemas.microsoft.com/office/drawing/2014/chart" uri="{C3380CC4-5D6E-409C-BE32-E72D297353CC}">
              <c16:uniqueId val="{00000000-39DC-4DA2-A837-ECDA65B8FE0E}"/>
            </c:ext>
          </c:extLst>
        </c:ser>
        <c:ser>
          <c:idx val="1"/>
          <c:order val="1"/>
          <c:tx>
            <c:strRef>
              <c:f>Outputs!$C$100</c:f>
              <c:strCache>
                <c:ptCount val="1"/>
                <c:pt idx="0">
                  <c:v>EBITDA</c:v>
                </c:pt>
              </c:strCache>
            </c:strRef>
          </c:tx>
          <c:spPr>
            <a:solidFill>
              <a:schemeClr val="accent2">
                <a:tint val="8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Outputs!$M$96:$Q$96</c:f>
              <c:numCache>
                <c:formatCode>0"F"</c:formatCode>
                <c:ptCount val="5"/>
                <c:pt idx="0">
                  <c:v>2024</c:v>
                </c:pt>
                <c:pt idx="1">
                  <c:v>2025</c:v>
                </c:pt>
                <c:pt idx="2">
                  <c:v>2026</c:v>
                </c:pt>
                <c:pt idx="3">
                  <c:v>2027</c:v>
                </c:pt>
                <c:pt idx="4">
                  <c:v>2028</c:v>
                </c:pt>
              </c:numCache>
            </c:numRef>
          </c:cat>
          <c:val>
            <c:numRef>
              <c:f>Outputs!$M$100:$Q$100</c:f>
              <c:numCache>
                <c:formatCode>_(#,##0_);\(#,##0\);_("–"_);_(@_)</c:formatCode>
                <c:ptCount val="5"/>
                <c:pt idx="0">
                  <c:v>95953.828125</c:v>
                </c:pt>
                <c:pt idx="1">
                  <c:v>113739.2109375</c:v>
                </c:pt>
                <c:pt idx="2">
                  <c:v>131482.29375000001</c:v>
                </c:pt>
                <c:pt idx="3">
                  <c:v>151041.86156250004</c:v>
                </c:pt>
                <c:pt idx="4">
                  <c:v>171941.15977500004</c:v>
                </c:pt>
              </c:numCache>
            </c:numRef>
          </c:val>
          <c:extLst>
            <c:ext xmlns:c16="http://schemas.microsoft.com/office/drawing/2014/chart" uri="{C3380CC4-5D6E-409C-BE32-E72D297353CC}">
              <c16:uniqueId val="{00000001-39DC-4DA2-A837-ECDA65B8FE0E}"/>
            </c:ext>
          </c:extLst>
        </c:ser>
        <c:ser>
          <c:idx val="2"/>
          <c:order val="2"/>
          <c:tx>
            <c:strRef>
              <c:f>Outputs!$C$102</c:f>
              <c:strCache>
                <c:ptCount val="1"/>
                <c:pt idx="0">
                  <c:v>Net Income</c:v>
                </c:pt>
              </c:strCache>
            </c:strRef>
          </c:tx>
          <c:spPr>
            <a:solidFill>
              <a:srgbClr val="002060"/>
            </a:solidFill>
            <a:ln>
              <a:solidFill>
                <a:srgbClr val="00206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Outputs!$M$96:$Q$96</c:f>
              <c:numCache>
                <c:formatCode>0"F"</c:formatCode>
                <c:ptCount val="5"/>
                <c:pt idx="0">
                  <c:v>2024</c:v>
                </c:pt>
                <c:pt idx="1">
                  <c:v>2025</c:v>
                </c:pt>
                <c:pt idx="2">
                  <c:v>2026</c:v>
                </c:pt>
                <c:pt idx="3">
                  <c:v>2027</c:v>
                </c:pt>
                <c:pt idx="4">
                  <c:v>2028</c:v>
                </c:pt>
              </c:numCache>
            </c:numRef>
          </c:cat>
          <c:val>
            <c:numRef>
              <c:f>Outputs!$M$102:$Q$102</c:f>
              <c:numCache>
                <c:formatCode>_(#,##0_);\(#,##0\);_("–"_);_(@_)</c:formatCode>
                <c:ptCount val="5"/>
                <c:pt idx="0">
                  <c:v>64821.089274024998</c:v>
                </c:pt>
                <c:pt idx="1">
                  <c:v>78340.664423686365</c:v>
                </c:pt>
                <c:pt idx="2">
                  <c:v>92396.502343733941</c:v>
                </c:pt>
                <c:pt idx="3">
                  <c:v>108321.74920077607</c:v>
                </c:pt>
                <c:pt idx="4">
                  <c:v>125847.98172591676</c:v>
                </c:pt>
              </c:numCache>
            </c:numRef>
          </c:val>
          <c:extLst>
            <c:ext xmlns:c16="http://schemas.microsoft.com/office/drawing/2014/chart" uri="{C3380CC4-5D6E-409C-BE32-E72D297353CC}">
              <c16:uniqueId val="{00000002-39DC-4DA2-A837-ECDA65B8FE0E}"/>
            </c:ext>
          </c:extLst>
        </c:ser>
        <c:dLbls>
          <c:showLegendKey val="0"/>
          <c:showVal val="0"/>
          <c:showCatName val="0"/>
          <c:showSerName val="0"/>
          <c:showPercent val="0"/>
          <c:showBubbleSize val="0"/>
        </c:dLbls>
        <c:gapWidth val="50"/>
        <c:axId val="2115553408"/>
        <c:axId val="2115552928"/>
      </c:barChart>
      <c:lineChart>
        <c:grouping val="stacked"/>
        <c:varyColors val="0"/>
        <c:ser>
          <c:idx val="3"/>
          <c:order val="3"/>
          <c:tx>
            <c:v>Growth rate</c:v>
          </c:tx>
          <c:spPr>
            <a:ln w="15875" cap="rnd">
              <a:solidFill>
                <a:srgbClr val="00B050"/>
              </a:solidFill>
              <a:round/>
            </a:ln>
            <a:effectLst/>
          </c:spPr>
          <c:marker>
            <c:symbol val="circle"/>
            <c:size val="5"/>
            <c:spPr>
              <a:solidFill>
                <a:schemeClr val="accent2">
                  <a:shade val="58000"/>
                </a:schemeClr>
              </a:solidFill>
              <a:ln w="9525">
                <a:solidFill>
                  <a:schemeClr val="accent2">
                    <a:shade val="58000"/>
                  </a:schemeClr>
                </a:solidFill>
              </a:ln>
              <a:effectLst/>
            </c:spPr>
          </c:marker>
          <c:val>
            <c:numRef>
              <c:f>Outputs!$M$98:$Q$98</c:f>
              <c:numCache>
                <c:formatCode>0.0%</c:formatCode>
                <c:ptCount val="5"/>
                <c:pt idx="1">
                  <c:v>0.15930434782608693</c:v>
                </c:pt>
                <c:pt idx="2">
                  <c:v>0.13636363636363646</c:v>
                </c:pt>
                <c:pt idx="3">
                  <c:v>0.12666666666666693</c:v>
                </c:pt>
                <c:pt idx="4">
                  <c:v>0.11834319526627213</c:v>
                </c:pt>
              </c:numCache>
            </c:numRef>
          </c:val>
          <c:smooth val="0"/>
          <c:extLst>
            <c:ext xmlns:c16="http://schemas.microsoft.com/office/drawing/2014/chart" uri="{C3380CC4-5D6E-409C-BE32-E72D297353CC}">
              <c16:uniqueId val="{00000004-39DC-4DA2-A837-ECDA65B8FE0E}"/>
            </c:ext>
          </c:extLst>
        </c:ser>
        <c:dLbls>
          <c:showLegendKey val="0"/>
          <c:showVal val="0"/>
          <c:showCatName val="0"/>
          <c:showSerName val="0"/>
          <c:showPercent val="0"/>
          <c:showBubbleSize val="0"/>
        </c:dLbls>
        <c:marker val="1"/>
        <c:smooth val="0"/>
        <c:axId val="263198479"/>
        <c:axId val="261151279"/>
      </c:lineChart>
      <c:catAx>
        <c:axId val="2115553408"/>
        <c:scaling>
          <c:orientation val="minMax"/>
        </c:scaling>
        <c:delete val="0"/>
        <c:axPos val="b"/>
        <c:numFmt formatCode="0&quot;F&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yanmar Text" panose="020B0502040204020203" pitchFamily="34" charset="0"/>
                <a:ea typeface="+mn-ea"/>
                <a:cs typeface="Myanmar Text" panose="020B0502040204020203" pitchFamily="34" charset="0"/>
              </a:defRPr>
            </a:pPr>
            <a:endParaRPr lang="en-US"/>
          </a:p>
        </c:txPr>
        <c:crossAx val="2115552928"/>
        <c:crosses val="autoZero"/>
        <c:auto val="1"/>
        <c:lblAlgn val="ctr"/>
        <c:lblOffset val="100"/>
        <c:noMultiLvlLbl val="0"/>
      </c:catAx>
      <c:valAx>
        <c:axId val="2115552928"/>
        <c:scaling>
          <c:orientation val="minMax"/>
          <c:min val="100000"/>
        </c:scaling>
        <c:delete val="0"/>
        <c:axPos val="l"/>
        <c:numFmt formatCode="_(#,##0_);\(#,##0\);_(&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553408"/>
        <c:crosses val="autoZero"/>
        <c:crossBetween val="between"/>
      </c:valAx>
      <c:valAx>
        <c:axId val="261151279"/>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198479"/>
        <c:crosses val="max"/>
        <c:crossBetween val="between"/>
      </c:valAx>
      <c:catAx>
        <c:axId val="263198479"/>
        <c:scaling>
          <c:orientation val="minMax"/>
        </c:scaling>
        <c:delete val="1"/>
        <c:axPos val="b"/>
        <c:majorTickMark val="out"/>
        <c:minorTickMark val="none"/>
        <c:tickLblPos val="nextTo"/>
        <c:crossAx val="261151279"/>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yanmar Text" panose="020B0502040204020203" pitchFamily="34" charset="0"/>
              <a:ea typeface="+mn-ea"/>
              <a:cs typeface="Myanmar Text" panose="020B05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Verdana" panose="020B0604030504040204" pitchFamily="34" charset="0"/>
                <a:ea typeface="Verdana" panose="020B0604030504040204" pitchFamily="34" charset="0"/>
                <a:cs typeface="+mn-cs"/>
              </a:defRPr>
            </a:pPr>
            <a:r>
              <a:rPr lang="en-US" sz="1200"/>
              <a:t>Unlevered Free Cash Flow</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Verdana" panose="020B0604030504040204" pitchFamily="34" charset="0"/>
              <a:ea typeface="Verdana" panose="020B0604030504040204" pitchFamily="34" charset="0"/>
              <a:cs typeface="+mn-cs"/>
            </a:defRPr>
          </a:pPr>
          <a:endParaRPr lang="en-US"/>
        </a:p>
      </c:txPr>
    </c:title>
    <c:autoTitleDeleted val="0"/>
    <c:plotArea>
      <c:layout/>
      <c:barChart>
        <c:barDir val="col"/>
        <c:grouping val="clustered"/>
        <c:varyColors val="0"/>
        <c:ser>
          <c:idx val="0"/>
          <c:order val="0"/>
          <c:tx>
            <c:v>UFCF</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25000"/>
                      </a:schemeClr>
                    </a:solidFill>
                    <a:latin typeface="Verdana" panose="020B0604030504040204" pitchFamily="34" charset="0"/>
                    <a:ea typeface="Verdana" panose="020B0604030504040204"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'DCF Valuation'!$J$25:$O$25</c:f>
              <c:numCache>
                <c:formatCode>0"F"</c:formatCode>
                <c:ptCount val="6"/>
                <c:pt idx="0" formatCode="0&quot;A&quot;">
                  <c:v>2024</c:v>
                </c:pt>
                <c:pt idx="1">
                  <c:v>2025</c:v>
                </c:pt>
                <c:pt idx="2">
                  <c:v>2026</c:v>
                </c:pt>
                <c:pt idx="3">
                  <c:v>2027</c:v>
                </c:pt>
                <c:pt idx="4">
                  <c:v>2028</c:v>
                </c:pt>
                <c:pt idx="5">
                  <c:v>2029</c:v>
                </c:pt>
              </c:numCache>
            </c:numRef>
          </c:cat>
          <c:val>
            <c:numRef>
              <c:f>'DCF Valuation'!$J$33:$O$33</c:f>
              <c:numCache>
                <c:formatCode>#,##0_);\(#,##0\);\-</c:formatCode>
                <c:ptCount val="6"/>
                <c:pt idx="0" formatCode="_(#,##0_);\(#,##0\);_(&quot;–&quot;_);_(@_)">
                  <c:v>-17136.360096249999</c:v>
                </c:pt>
                <c:pt idx="1">
                  <c:v>50979.083214328086</c:v>
                </c:pt>
                <c:pt idx="2">
                  <c:v>71166.13226849983</c:v>
                </c:pt>
                <c:pt idx="3">
                  <c:v>84111.887889452424</c:v>
                </c:pt>
                <c:pt idx="4">
                  <c:v>98234.66246245979</c:v>
                </c:pt>
                <c:pt idx="5">
                  <c:v>113295.24831546715</c:v>
                </c:pt>
              </c:numCache>
            </c:numRef>
          </c:val>
          <c:extLst>
            <c:ext xmlns:c16="http://schemas.microsoft.com/office/drawing/2014/chart" uri="{C3380CC4-5D6E-409C-BE32-E72D297353CC}">
              <c16:uniqueId val="{00000000-3FA3-489B-B919-E9117CE6BAB0}"/>
            </c:ext>
          </c:extLst>
        </c:ser>
        <c:dLbls>
          <c:showLegendKey val="0"/>
          <c:showVal val="0"/>
          <c:showCatName val="0"/>
          <c:showSerName val="0"/>
          <c:showPercent val="0"/>
          <c:showBubbleSize val="0"/>
        </c:dLbls>
        <c:gapWidth val="50"/>
        <c:overlap val="-27"/>
        <c:axId val="25884480"/>
        <c:axId val="17593568"/>
      </c:barChart>
      <c:catAx>
        <c:axId val="25884480"/>
        <c:scaling>
          <c:orientation val="minMax"/>
        </c:scaling>
        <c:delete val="0"/>
        <c:axPos val="b"/>
        <c:numFmt formatCode="0&quot;A&quot;"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Verdana" panose="020B0604030504040204" pitchFamily="34" charset="0"/>
                <a:ea typeface="Verdana" panose="020B0604030504040204" pitchFamily="34" charset="0"/>
                <a:cs typeface="+mn-cs"/>
              </a:defRPr>
            </a:pPr>
            <a:endParaRPr lang="en-US"/>
          </a:p>
        </c:txPr>
        <c:crossAx val="17593568"/>
        <c:crosses val="autoZero"/>
        <c:auto val="1"/>
        <c:lblAlgn val="ctr"/>
        <c:lblOffset val="100"/>
        <c:noMultiLvlLbl val="0"/>
      </c:catAx>
      <c:valAx>
        <c:axId val="17593568"/>
        <c:scaling>
          <c:orientation val="minMax"/>
        </c:scaling>
        <c:delete val="0"/>
        <c:axPos val="l"/>
        <c:numFmt formatCode="_(#,##0_);\(#,##0\);_(&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Verdana" panose="020B0604030504040204" pitchFamily="34" charset="0"/>
                <a:ea typeface="Verdana" panose="020B0604030504040204" pitchFamily="34" charset="0"/>
                <a:cs typeface="+mn-cs"/>
              </a:defRPr>
            </a:pPr>
            <a:endParaRPr lang="en-US"/>
          </a:p>
        </c:txPr>
        <c:crossAx val="25884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Verdana" panose="020B0604030504040204" pitchFamily="34" charset="0"/>
          <a:ea typeface="Verdana" panose="020B060403050404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noFill/>
            <a:ln>
              <a:noFill/>
            </a:ln>
            <a:effectLst/>
          </c:spPr>
          <c:invertIfNegative val="0"/>
          <c:dLbls>
            <c:numFmt formatCode="[$KES]\ #,##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Chart'!$D$37:$D$41</c:f>
              <c:strCache>
                <c:ptCount val="5"/>
                <c:pt idx="0">
                  <c:v>Comparable Companies</c:v>
                </c:pt>
                <c:pt idx="1">
                  <c:v>Precedent Transactions</c:v>
                </c:pt>
                <c:pt idx="2">
                  <c:v>DCF - Perpetuity Growth</c:v>
                </c:pt>
                <c:pt idx="3">
                  <c:v>DCF - Terminal Multiple</c:v>
                </c:pt>
                <c:pt idx="4">
                  <c:v>52 Week High/Low</c:v>
                </c:pt>
              </c:strCache>
            </c:strRef>
          </c:cat>
          <c:val>
            <c:numRef>
              <c:f>'Football Field Chart'!$E$37:$E$41</c:f>
              <c:numCache>
                <c:formatCode>_(#,##0.00_);\(#,##0.00\);_("–"_);_(@_)</c:formatCode>
                <c:ptCount val="5"/>
                <c:pt idx="0">
                  <c:v>0</c:v>
                </c:pt>
                <c:pt idx="1">
                  <c:v>0.15</c:v>
                </c:pt>
                <c:pt idx="2">
                  <c:v>47.119863718951635</c:v>
                </c:pt>
                <c:pt idx="3">
                  <c:v>42.451156609603196</c:v>
                </c:pt>
                <c:pt idx="4">
                  <c:v>150</c:v>
                </c:pt>
              </c:numCache>
            </c:numRef>
          </c:val>
          <c:extLst>
            <c:ext xmlns:c16="http://schemas.microsoft.com/office/drawing/2014/chart" uri="{C3380CC4-5D6E-409C-BE32-E72D297353CC}">
              <c16:uniqueId val="{00000000-C09C-4D46-93B2-51886A33AC83}"/>
            </c:ext>
          </c:extLst>
        </c:ser>
        <c:ser>
          <c:idx val="1"/>
          <c:order val="1"/>
          <c:spPr>
            <a:solidFill>
              <a:srgbClr val="AC0000"/>
            </a:solidFill>
            <a:ln>
              <a:noFill/>
            </a:ln>
            <a:effectLst/>
          </c:spPr>
          <c:invertIfNegative val="0"/>
          <c:cat>
            <c:strRef>
              <c:f>'Football Field Chart'!$D$37:$D$41</c:f>
              <c:strCache>
                <c:ptCount val="5"/>
                <c:pt idx="0">
                  <c:v>Comparable Companies</c:v>
                </c:pt>
                <c:pt idx="1">
                  <c:v>Precedent Transactions</c:v>
                </c:pt>
                <c:pt idx="2">
                  <c:v>DCF - Perpetuity Growth</c:v>
                </c:pt>
                <c:pt idx="3">
                  <c:v>DCF - Terminal Multiple</c:v>
                </c:pt>
                <c:pt idx="4">
                  <c:v>52 Week High/Low</c:v>
                </c:pt>
              </c:strCache>
            </c:strRef>
          </c:cat>
          <c:val>
            <c:numRef>
              <c:f>'Football Field Chart'!$F$37:$F$41</c:f>
              <c:numCache>
                <c:formatCode>_(#,##0.00_);\(#,##0.00\);_("–"_);_(@_)</c:formatCode>
                <c:ptCount val="5"/>
                <c:pt idx="0">
                  <c:v>95.476143756310719</c:v>
                </c:pt>
                <c:pt idx="1">
                  <c:v>123.19501370175031</c:v>
                </c:pt>
                <c:pt idx="2">
                  <c:v>20.270210900862992</c:v>
                </c:pt>
                <c:pt idx="3">
                  <c:v>31.122202296367767</c:v>
                </c:pt>
                <c:pt idx="4">
                  <c:v>130</c:v>
                </c:pt>
              </c:numCache>
            </c:numRef>
          </c:val>
          <c:extLst>
            <c:ext xmlns:c16="http://schemas.microsoft.com/office/drawing/2014/chart" uri="{C3380CC4-5D6E-409C-BE32-E72D297353CC}">
              <c16:uniqueId val="{00000001-C09C-4D46-93B2-51886A33AC83}"/>
            </c:ext>
          </c:extLst>
        </c:ser>
        <c:ser>
          <c:idx val="2"/>
          <c:order val="2"/>
          <c:spPr>
            <a:noFill/>
            <a:ln>
              <a:noFill/>
            </a:ln>
            <a:effectLst/>
          </c:spPr>
          <c:invertIfNegative val="0"/>
          <c:dLbls>
            <c:dLbl>
              <c:idx val="3"/>
              <c:layout>
                <c:manualLayout>
                  <c:x val="1.2656960862917675E-4"/>
                  <c:y val="6.783293789883593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09C-4D46-93B2-51886A33AC83}"/>
                </c:ext>
              </c:extLst>
            </c:dLbl>
            <c:numFmt formatCode="[$KES]\ #,##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Chart'!$D$37:$D$41</c:f>
              <c:strCache>
                <c:ptCount val="5"/>
                <c:pt idx="0">
                  <c:v>Comparable Companies</c:v>
                </c:pt>
                <c:pt idx="1">
                  <c:v>Precedent Transactions</c:v>
                </c:pt>
                <c:pt idx="2">
                  <c:v>DCF - Perpetuity Growth</c:v>
                </c:pt>
                <c:pt idx="3">
                  <c:v>DCF - Terminal Multiple</c:v>
                </c:pt>
                <c:pt idx="4">
                  <c:v>52 Week High/Low</c:v>
                </c:pt>
              </c:strCache>
            </c:strRef>
          </c:cat>
          <c:val>
            <c:numRef>
              <c:f>'Football Field Chart'!$G$37:$G$41</c:f>
              <c:numCache>
                <c:formatCode>_(#,##0.00_);\(#,##0.00\);_("–"_);_(@_)</c:formatCode>
                <c:ptCount val="5"/>
                <c:pt idx="0">
                  <c:v>95.476143756310719</c:v>
                </c:pt>
                <c:pt idx="1">
                  <c:v>123.34501370175032</c:v>
                </c:pt>
                <c:pt idx="2">
                  <c:v>67.390074619814627</c:v>
                </c:pt>
                <c:pt idx="3">
                  <c:v>73.573358905970963</c:v>
                </c:pt>
                <c:pt idx="4">
                  <c:v>280</c:v>
                </c:pt>
              </c:numCache>
            </c:numRef>
          </c:val>
          <c:extLst>
            <c:ext xmlns:c16="http://schemas.microsoft.com/office/drawing/2014/chart" uri="{C3380CC4-5D6E-409C-BE32-E72D297353CC}">
              <c16:uniqueId val="{00000003-C09C-4D46-93B2-51886A33AC83}"/>
            </c:ext>
          </c:extLst>
        </c:ser>
        <c:dLbls>
          <c:showLegendKey val="0"/>
          <c:showVal val="0"/>
          <c:showCatName val="0"/>
          <c:showSerName val="0"/>
          <c:showPercent val="0"/>
          <c:showBubbleSize val="0"/>
        </c:dLbls>
        <c:gapWidth val="150"/>
        <c:overlap val="100"/>
        <c:axId val="981352351"/>
        <c:axId val="981360255"/>
      </c:barChart>
      <c:catAx>
        <c:axId val="98135235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981360255"/>
        <c:crosses val="autoZero"/>
        <c:auto val="1"/>
        <c:lblAlgn val="ctr"/>
        <c:lblOffset val="100"/>
        <c:noMultiLvlLbl val="0"/>
      </c:catAx>
      <c:valAx>
        <c:axId val="981360255"/>
        <c:scaling>
          <c:orientation val="minMax"/>
          <c:max val="350"/>
        </c:scaling>
        <c:delete val="0"/>
        <c:axPos val="l"/>
        <c:numFmt formatCode="[$KES]\ #,##0.0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9813523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_xlchart.v5.0</cx:f>
      </cx:strDim>
      <cx:numDim type="val">
        <cx:f>_xlchart.v5.1</cx:f>
      </cx:numDim>
    </cx:data>
  </cx:chartData>
  <cx:chart>
    <cx:plotArea>
      <cx:plotAreaRegion>
        <cx:series layoutId="waterfall" uniqueId="{E7D9173B-641B-46A4-A76B-F91E3D00179E}" formatIdx="0">
          <cx:dataLabels pos="outEnd">
            <cx:spPr>
              <a:ln>
                <a:noFill/>
              </a:ln>
            </cx:spPr>
            <cx:txPr>
              <a:bodyPr spcFirstLastPara="1" vertOverflow="ellipsis" horzOverflow="overflow" wrap="square" lIns="0" tIns="0" rIns="0" bIns="0" anchor="ctr" anchorCtr="1"/>
              <a:lstStyle/>
              <a:p>
                <a:pPr algn="ctr" rtl="0">
                  <a:defRPr sz="800" b="1">
                    <a:solidFill>
                      <a:sysClr val="windowText" lastClr="000000"/>
                    </a:solidFill>
                    <a:latin typeface="Myanmar Text" panose="020B0502040204020203" pitchFamily="34" charset="0"/>
                    <a:ea typeface="Myanmar Text" panose="020B0502040204020203" pitchFamily="34" charset="0"/>
                    <a:cs typeface="Myanmar Text" panose="020B0502040204020203" pitchFamily="34" charset="0"/>
                  </a:defRPr>
                </a:pPr>
                <a:endParaRPr lang="en-US" sz="800" b="1" i="0" u="none" strike="noStrike" baseline="0">
                  <a:solidFill>
                    <a:sysClr val="windowText" lastClr="000000"/>
                  </a:solidFill>
                  <a:latin typeface="Myanmar Text" panose="020B0502040204020203" pitchFamily="34" charset="0"/>
                  <a:cs typeface="Myanmar Text" panose="020B0502040204020203" pitchFamily="34" charset="0"/>
                </a:endParaRPr>
              </a:p>
            </cx:txPr>
            <cx:visibility seriesName="0" categoryName="0" value="1"/>
          </cx:dataLabels>
          <cx:dataId val="0"/>
          <cx:layoutPr>
            <cx:subtotals>
              <cx:idx val="5"/>
            </cx:subtotals>
          </cx:layoutPr>
        </cx:series>
      </cx:plotAreaRegion>
      <cx:axis id="0">
        <cx:catScaling gapWidth="0.400000006"/>
        <cx:tickLabels/>
        <cx:txPr>
          <a:bodyPr spcFirstLastPara="1" vertOverflow="ellipsis" horzOverflow="overflow" wrap="square" lIns="0" tIns="0" rIns="0" bIns="0" anchor="ctr" anchorCtr="1"/>
          <a:lstStyle/>
          <a:p>
            <a:pPr algn="ctr" rtl="0">
              <a:defRPr sz="800">
                <a:latin typeface="Myanmar Text" panose="020B0502040204020203" pitchFamily="34" charset="0"/>
                <a:ea typeface="Myanmar Text" panose="020B0502040204020203" pitchFamily="34" charset="0"/>
                <a:cs typeface="Myanmar Text" panose="020B0502040204020203" pitchFamily="34" charset="0"/>
              </a:defRPr>
            </a:pPr>
            <a:endParaRPr lang="en-US" sz="800" b="0" i="0" u="none" strike="noStrike" baseline="0">
              <a:solidFill>
                <a:sysClr val="windowText" lastClr="000000">
                  <a:lumMod val="65000"/>
                  <a:lumOff val="35000"/>
                </a:sysClr>
              </a:solidFill>
              <a:latin typeface="Myanmar Text" panose="020B0502040204020203" pitchFamily="34" charset="0"/>
              <a:cs typeface="Myanmar Text" panose="020B0502040204020203" pitchFamily="34" charset="0"/>
            </a:endParaRPr>
          </a:p>
        </cx:txPr>
      </cx:axis>
      <cx:axis id="1">
        <cx:valScaling/>
        <cx:units unit="thousands"/>
        <cx:tickLabels/>
        <cx:txPr>
          <a:bodyPr spcFirstLastPara="1" vertOverflow="ellipsis" horzOverflow="overflow" wrap="square" lIns="0" tIns="0" rIns="0" bIns="0" anchor="ctr" anchorCtr="1"/>
          <a:lstStyle/>
          <a:p>
            <a:pPr algn="ctr" rtl="0">
              <a:defRPr sz="800">
                <a:latin typeface="Myanmar Text" panose="020B0502040204020203" pitchFamily="34" charset="0"/>
                <a:ea typeface="Myanmar Text" panose="020B0502040204020203" pitchFamily="34" charset="0"/>
                <a:cs typeface="Myanmar Text" panose="020B0502040204020203" pitchFamily="34" charset="0"/>
              </a:defRPr>
            </a:pPr>
            <a:endParaRPr lang="en-US" sz="800" b="0" i="0" u="none" strike="noStrike" baseline="0">
              <a:solidFill>
                <a:sysClr val="windowText" lastClr="000000">
                  <a:lumMod val="65000"/>
                  <a:lumOff val="35000"/>
                </a:sysClr>
              </a:solidFill>
              <a:latin typeface="Myanmar Text" panose="020B0502040204020203" pitchFamily="34" charset="0"/>
              <a:cs typeface="Myanmar Text" panose="020B0502040204020203" pitchFamily="34" charset="0"/>
            </a:endParaRPr>
          </a:p>
        </cx:txPr>
      </cx:axis>
    </cx:plotArea>
    <cx:legend pos="t" align="ctr" overlay="0">
      <cx:txPr>
        <a:bodyPr spcFirstLastPara="1" vertOverflow="ellipsis" horzOverflow="overflow" wrap="square" lIns="0" tIns="0" rIns="0" bIns="0" anchor="ctr" anchorCtr="1"/>
        <a:lstStyle/>
        <a:p>
          <a:pPr algn="ctr" rtl="0">
            <a:defRPr sz="800">
              <a:latin typeface="Myanmar Text" panose="020B0502040204020203" pitchFamily="34" charset="0"/>
              <a:ea typeface="Myanmar Text" panose="020B0502040204020203" pitchFamily="34" charset="0"/>
              <a:cs typeface="Myanmar Text" panose="020B0502040204020203" pitchFamily="34" charset="0"/>
            </a:defRPr>
          </a:pPr>
          <a:endParaRPr lang="en-US" sz="800" b="0" i="0" u="none" strike="noStrike" baseline="0">
            <a:solidFill>
              <a:srgbClr val="57595D">
                <a:lumMod val="65000"/>
                <a:lumOff val="35000"/>
              </a:srgbClr>
            </a:solidFill>
            <a:latin typeface="Myanmar Text" panose="020B0502040204020203" pitchFamily="34" charset="0"/>
            <a:cs typeface="Myanmar Text" panose="020B0502040204020203" pitchFamily="34" charset="0"/>
          </a:endParaRPr>
        </a:p>
      </cx:txPr>
    </cx:legend>
  </cx:chart>
  <cx:spPr>
    <a:noFill/>
    <a:ln>
      <a:noFill/>
    </a:ln>
  </cx:spPr>
  <cx:fmtOvrs>
    <cx:fmtOvr idx="2">
      <cx:spPr>
        <a:solidFill>
          <a:srgbClr val="0070C0"/>
        </a:solidFill>
      </cx:spPr>
    </cx:fmtOvr>
    <cx:fmtOvr idx="0">
      <cx:spPr>
        <a:solidFill>
          <a:srgbClr val="002060"/>
        </a:solidFill>
      </cx:spPr>
    </cx:fmtOvr>
    <cx:fmtOvr idx="1">
      <cx:spPr>
        <a:solidFill>
          <a:srgbClr val="C00000"/>
        </a:solidFill>
      </cx:spPr>
    </cx:fmtOvr>
  </cx:fmtOvrs>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2" fmlaLink="$M$22" fmlaRange="$T$24:$T$25" noThreeD="1" sel="2" val="0"/>
</file>

<file path=xl/ctrlProps/ctrlProp2.xml><?xml version="1.0" encoding="utf-8"?>
<formControlPr xmlns="http://schemas.microsoft.com/office/spreadsheetml/2009/9/main" objectType="Drop" dropStyle="combo" dx="22" fmlaLink="$E$7" fmlaRange="$B$10:$B$12" noThreeD="1" sel="2" val="0"/>
</file>

<file path=xl/ctrlProps/ctrlProp3.xml><?xml version="1.0" encoding="utf-8"?>
<formControlPr xmlns="http://schemas.microsoft.com/office/spreadsheetml/2009/9/main" objectType="Drop" dropStyle="combo" dx="22" fmlaLink="$E$87" fmlaRange="$B$91:$B$93" noThreeD="1" sel="2" val="0"/>
</file>

<file path=xl/ctrlProps/ctrlProp4.xml><?xml version="1.0" encoding="utf-8"?>
<formControlPr xmlns="http://schemas.microsoft.com/office/spreadsheetml/2009/9/main" objectType="Drop" dropStyle="combo" dx="22" fmlaLink="$E$7" fmlaRange="$B$10:$B$12" noThreeD="1" sel="2" val="0"/>
</file>

<file path=xl/ctrlProps/ctrlProp5.xml><?xml version="1.0" encoding="utf-8"?>
<formControlPr xmlns="http://schemas.microsoft.com/office/spreadsheetml/2009/9/main" objectType="Drop" dropStyle="combo" dx="22" fmlaLink="$E$7" fmlaRange="$B$10:$B$12" noThreeD="1" sel="2" val="0"/>
</file>

<file path=xl/ctrlProps/ctrlProp6.xml><?xml version="1.0" encoding="utf-8"?>
<formControlPr xmlns="http://schemas.microsoft.com/office/spreadsheetml/2009/9/main" objectType="Scroll" dx="22" fmlaLink="$I$4" horiz="1" max="100" min="1" page="0" val="52"/>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7620</xdr:colOff>
          <xdr:row>20</xdr:row>
          <xdr:rowOff>213360</xdr:rowOff>
        </xdr:from>
        <xdr:to>
          <xdr:col>13</xdr:col>
          <xdr:colOff>7620</xdr:colOff>
          <xdr:row>21</xdr:row>
          <xdr:rowOff>152400</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0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4762</xdr:colOff>
      <xdr:row>52</xdr:row>
      <xdr:rowOff>52387</xdr:rowOff>
    </xdr:from>
    <xdr:to>
      <xdr:col>10</xdr:col>
      <xdr:colOff>419100</xdr:colOff>
      <xdr:row>67</xdr:row>
      <xdr:rowOff>19050</xdr:rowOff>
    </xdr:to>
    <mc:AlternateContent xmlns:mc="http://schemas.openxmlformats.org/markup-compatibility/2006">
      <mc:Choice xmlns:cx4="http://schemas.microsoft.com/office/drawing/2016/5/10/chartex" Requires="cx4">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99222" y="9211627"/>
              <a:ext cx="5839778" cy="275558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299198</xdr:colOff>
      <xdr:row>52</xdr:row>
      <xdr:rowOff>42862</xdr:rowOff>
    </xdr:from>
    <xdr:to>
      <xdr:col>17</xdr:col>
      <xdr:colOff>366432</xdr:colOff>
      <xdr:row>67</xdr:row>
      <xdr:rowOff>9525</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582705</xdr:colOff>
      <xdr:row>112</xdr:row>
      <xdr:rowOff>56028</xdr:rowOff>
    </xdr:from>
    <xdr:to>
      <xdr:col>8</xdr:col>
      <xdr:colOff>627529</xdr:colOff>
      <xdr:row>129</xdr:row>
      <xdr:rowOff>14565</xdr:rowOff>
    </xdr:to>
    <xdr:graphicFrame macro="">
      <xdr:nvGraphicFramePr>
        <xdr:cNvPr id="3" name="Chart 1">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44824</xdr:colOff>
      <xdr:row>112</xdr:row>
      <xdr:rowOff>56028</xdr:rowOff>
    </xdr:from>
    <xdr:to>
      <xdr:col>17</xdr:col>
      <xdr:colOff>89648</xdr:colOff>
      <xdr:row>129</xdr:row>
      <xdr:rowOff>11206</xdr:rowOff>
    </xdr:to>
    <xdr:graphicFrame macro="">
      <xdr:nvGraphicFramePr>
        <xdr:cNvPr id="4" name="Chart 2">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224115</xdr:colOff>
      <xdr:row>24</xdr:row>
      <xdr:rowOff>78441</xdr:rowOff>
    </xdr:from>
    <xdr:to>
      <xdr:col>8</xdr:col>
      <xdr:colOff>661985</xdr:colOff>
      <xdr:row>43</xdr:row>
      <xdr:rowOff>92729</xdr:rowOff>
    </xdr:to>
    <xdr:graphicFrame macro="">
      <xdr:nvGraphicFramePr>
        <xdr:cNvPr id="5" name="Chart 3">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22411</xdr:colOff>
      <xdr:row>24</xdr:row>
      <xdr:rowOff>44823</xdr:rowOff>
    </xdr:from>
    <xdr:to>
      <xdr:col>17</xdr:col>
      <xdr:colOff>47063</xdr:colOff>
      <xdr:row>42</xdr:row>
      <xdr:rowOff>212159</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212912</xdr:colOff>
      <xdr:row>107</xdr:row>
      <xdr:rowOff>100853</xdr:rowOff>
    </xdr:from>
    <xdr:to>
      <xdr:col>27</xdr:col>
      <xdr:colOff>67235</xdr:colOff>
      <xdr:row>124</xdr:row>
      <xdr:rowOff>3361</xdr:rowOff>
    </xdr:to>
    <xdr:graphicFrame macro="">
      <xdr:nvGraphicFramePr>
        <xdr:cNvPr id="9" name="Chart 1">
          <a:extLst>
            <a:ext uri="{FF2B5EF4-FFF2-40B4-BE49-F238E27FC236}">
              <a16:creationId xmlns:a16="http://schemas.microsoft.com/office/drawing/2014/main" id="{00000000-0008-0000-01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449580</xdr:colOff>
          <xdr:row>6</xdr:row>
          <xdr:rowOff>0</xdr:rowOff>
        </xdr:from>
        <xdr:to>
          <xdr:col>5</xdr:col>
          <xdr:colOff>0</xdr:colOff>
          <xdr:row>7</xdr:row>
          <xdr:rowOff>45720</xdr:rowOff>
        </xdr:to>
        <xdr:sp macro="" textlink="">
          <xdr:nvSpPr>
            <xdr:cNvPr id="4144" name="Drop Down 48" hidden="1">
              <a:extLst>
                <a:ext uri="{63B3BB69-23CF-44E3-9099-C40C66FF867C}">
                  <a14:compatExt spid="_x0000_s4144"/>
                </a:ext>
                <a:ext uri="{FF2B5EF4-FFF2-40B4-BE49-F238E27FC236}">
                  <a16:creationId xmlns:a16="http://schemas.microsoft.com/office/drawing/2014/main" id="{00000000-0008-0000-0300-000030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85</xdr:row>
          <xdr:rowOff>190500</xdr:rowOff>
        </xdr:from>
        <xdr:to>
          <xdr:col>4</xdr:col>
          <xdr:colOff>144780</xdr:colOff>
          <xdr:row>87</xdr:row>
          <xdr:rowOff>60960</xdr:rowOff>
        </xdr:to>
        <xdr:sp macro="" textlink="">
          <xdr:nvSpPr>
            <xdr:cNvPr id="4146" name="Drop Down 50" hidden="1">
              <a:extLst>
                <a:ext uri="{63B3BB69-23CF-44E3-9099-C40C66FF867C}">
                  <a14:compatExt spid="_x0000_s4146"/>
                </a:ext>
                <a:ext uri="{FF2B5EF4-FFF2-40B4-BE49-F238E27FC236}">
                  <a16:creationId xmlns:a16="http://schemas.microsoft.com/office/drawing/2014/main" id="{00000000-0008-0000-0300-00003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449580</xdr:colOff>
          <xdr:row>48</xdr:row>
          <xdr:rowOff>0</xdr:rowOff>
        </xdr:from>
        <xdr:to>
          <xdr:col>5</xdr:col>
          <xdr:colOff>0</xdr:colOff>
          <xdr:row>49</xdr:row>
          <xdr:rowOff>45720</xdr:rowOff>
        </xdr:to>
        <xdr:sp macro="" textlink="">
          <xdr:nvSpPr>
            <xdr:cNvPr id="4148" name="Drop Down 52" hidden="1">
              <a:extLst>
                <a:ext uri="{63B3BB69-23CF-44E3-9099-C40C66FF867C}">
                  <a14:compatExt spid="_x0000_s4148"/>
                </a:ext>
                <a:ext uri="{FF2B5EF4-FFF2-40B4-BE49-F238E27FC236}">
                  <a16:creationId xmlns:a16="http://schemas.microsoft.com/office/drawing/2014/main" id="{00000000-0008-0000-0300-00003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449580</xdr:colOff>
          <xdr:row>60</xdr:row>
          <xdr:rowOff>0</xdr:rowOff>
        </xdr:from>
        <xdr:to>
          <xdr:col>5</xdr:col>
          <xdr:colOff>0</xdr:colOff>
          <xdr:row>61</xdr:row>
          <xdr:rowOff>45720</xdr:rowOff>
        </xdr:to>
        <xdr:sp macro="" textlink="">
          <xdr:nvSpPr>
            <xdr:cNvPr id="4150" name="Drop Down 54" hidden="1">
              <a:extLst>
                <a:ext uri="{63B3BB69-23CF-44E3-9099-C40C66FF867C}">
                  <a14:compatExt spid="_x0000_s4150"/>
                </a:ext>
                <a:ext uri="{FF2B5EF4-FFF2-40B4-BE49-F238E27FC236}">
                  <a16:creationId xmlns:a16="http://schemas.microsoft.com/office/drawing/2014/main" id="{00000000-0008-0000-0300-00003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99060</xdr:colOff>
          <xdr:row>1</xdr:row>
          <xdr:rowOff>121920</xdr:rowOff>
        </xdr:from>
        <xdr:to>
          <xdr:col>28</xdr:col>
          <xdr:colOff>106680</xdr:colOff>
          <xdr:row>3</xdr:row>
          <xdr:rowOff>15240</xdr:rowOff>
        </xdr:to>
        <xdr:sp macro="" textlink="">
          <xdr:nvSpPr>
            <xdr:cNvPr id="18433" name="Scroll Bar 1" hidden="1">
              <a:extLst>
                <a:ext uri="{63B3BB69-23CF-44E3-9099-C40C66FF867C}">
                  <a14:compatExt spid="_x0000_s18433"/>
                </a:ext>
                <a:ext uri="{FF2B5EF4-FFF2-40B4-BE49-F238E27FC236}">
                  <a16:creationId xmlns:a16="http://schemas.microsoft.com/office/drawing/2014/main" id="{00000000-0008-0000-0700-00000148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16</xdr:col>
      <xdr:colOff>114299</xdr:colOff>
      <xdr:row>22</xdr:row>
      <xdr:rowOff>19050</xdr:rowOff>
    </xdr:from>
    <xdr:to>
      <xdr:col>23</xdr:col>
      <xdr:colOff>323850</xdr:colOff>
      <xdr:row>32</xdr:row>
      <xdr:rowOff>76200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608479</xdr:colOff>
      <xdr:row>3</xdr:row>
      <xdr:rowOff>18938</xdr:rowOff>
    </xdr:from>
    <xdr:to>
      <xdr:col>13</xdr:col>
      <xdr:colOff>112059</xdr:colOff>
      <xdr:row>27</xdr:row>
      <xdr:rowOff>52842</xdr:rowOff>
    </xdr:to>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813548</xdr:colOff>
      <xdr:row>16</xdr:row>
      <xdr:rowOff>185543</xdr:rowOff>
    </xdr:from>
    <xdr:to>
      <xdr:col>12</xdr:col>
      <xdr:colOff>324970</xdr:colOff>
      <xdr:row>16</xdr:row>
      <xdr:rowOff>185543</xdr:rowOff>
    </xdr:to>
    <xdr:cxnSp macro="">
      <xdr:nvCxnSpPr>
        <xdr:cNvPr id="3" name="Straight Connector 2">
          <a:extLst>
            <a:ext uri="{FF2B5EF4-FFF2-40B4-BE49-F238E27FC236}">
              <a16:creationId xmlns:a16="http://schemas.microsoft.com/office/drawing/2014/main" id="{00000000-0008-0000-0A00-000003000000}"/>
            </a:ext>
          </a:extLst>
        </xdr:cNvPr>
        <xdr:cNvCxnSpPr/>
      </xdr:nvCxnSpPr>
      <xdr:spPr>
        <a:xfrm>
          <a:off x="2595283" y="3838661"/>
          <a:ext cx="5674658" cy="0"/>
        </a:xfrm>
        <a:prstGeom prst="line">
          <a:avLst/>
        </a:prstGeom>
        <a:ln w="22225">
          <a:solidFill>
            <a:srgbClr val="00206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571500</xdr:colOff>
      <xdr:row>15</xdr:row>
      <xdr:rowOff>19876</xdr:rowOff>
    </xdr:from>
    <xdr:to>
      <xdr:col>10</xdr:col>
      <xdr:colOff>217394</xdr:colOff>
      <xdr:row>16</xdr:row>
      <xdr:rowOff>145680</xdr:rowOff>
    </xdr:to>
    <xdr:sp macro="" textlink="$D$42">
      <xdr:nvSpPr>
        <xdr:cNvPr id="4" name="TextBox 3">
          <a:extLst>
            <a:ext uri="{FF2B5EF4-FFF2-40B4-BE49-F238E27FC236}">
              <a16:creationId xmlns:a16="http://schemas.microsoft.com/office/drawing/2014/main" id="{00000000-0008-0000-0A00-000004000000}"/>
            </a:ext>
          </a:extLst>
        </xdr:cNvPr>
        <xdr:cNvSpPr txBox="1"/>
      </xdr:nvSpPr>
      <xdr:spPr>
        <a:xfrm>
          <a:off x="4953000" y="3482494"/>
          <a:ext cx="2021541" cy="316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C7F3C9F-A0B7-4AE9-AB6F-68882A3072D2}" type="TxLink">
            <a:rPr lang="en-US" sz="1000" b="1" i="0" u="none" strike="noStrike">
              <a:solidFill>
                <a:srgbClr val="002060"/>
              </a:solidFill>
              <a:latin typeface="Open Sans"/>
              <a:ea typeface="Open Sans"/>
              <a:cs typeface="Open Sans"/>
            </a:rPr>
            <a:pPr/>
            <a:t>Average Valuation: 56.19</a:t>
          </a:fld>
          <a:endParaRPr lang="en-US" sz="900" b="1">
            <a:solidFill>
              <a:srgbClr val="002060"/>
            </a:solidFill>
            <a:latin typeface="Open Sans" panose="020B0606030504020204" pitchFamily="34" charset="0"/>
            <a:ea typeface="Open Sans" panose="020B0606030504020204" pitchFamily="34" charset="0"/>
            <a:cs typeface="Open Sans" panose="020B0606030504020204" pitchFamily="34" charset="0"/>
          </a:endParaRPr>
        </a:p>
      </xdr:txBody>
    </xdr:sp>
    <xdr:clientData/>
  </xdr:twoCellAnchor>
</xdr:wsDr>
</file>

<file path=xl/theme/theme1.xml><?xml version="1.0" encoding="utf-8"?>
<a:theme xmlns:a="http://schemas.openxmlformats.org/drawingml/2006/main" name="CFI">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3.vml"/><Relationship Id="rId7" Type="http://schemas.openxmlformats.org/officeDocument/2006/relationships/ctrlProp" Target="../ctrlProps/ctrlProp4.xml"/><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zoho.com/us/inventory/pricing-comparison/" TargetMode="External"/><Relationship Id="rId2" Type="http://schemas.openxmlformats.org/officeDocument/2006/relationships/hyperlink" Target="https://jiji.co.ke/viwandani-makadara/store-equipments/pallet-truck-fF1vHWPLcz7dM9B8RDo3LHkY.html?page=1&amp;pos=3&amp;cur_pos=3&amp;ads_per_page=19&amp;ads_count=188&amp;lid=X7_527QwoJIHTXat&amp;indexPosition=2" TargetMode="External"/><Relationship Id="rId1" Type="http://schemas.openxmlformats.org/officeDocument/2006/relationships/hyperlink" Target="https://mac-more.co.ke/product/512gb-24-imac-m3-8c-cpu-10c-gpu-8gb-blue-mqrr3b-a/" TargetMode="External"/><Relationship Id="rId6" Type="http://schemas.openxmlformats.org/officeDocument/2006/relationships/comments" Target="../comments1.xml"/><Relationship Id="rId5" Type="http://schemas.openxmlformats.org/officeDocument/2006/relationships/vmlDrawing" Target="../drawings/vmlDrawing6.v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uvprocess.com/drawdown/1977-drawdown-bars-rods.html" TargetMode="External"/><Relationship Id="rId13" Type="http://schemas.openxmlformats.org/officeDocument/2006/relationships/hyperlink" Target="https://www.jumia.co.ke/generic-stainless-steel-zahn-dip-type-mixed-paint-viscosity-cup-1-aperture-precise-tool-61655011.html?srsltid=AfmBOoocTgE43p8ZvWeOlcyTmcVu3qj8P090OLPzktKZTgxc6MRjpdY1" TargetMode="External"/><Relationship Id="rId18" Type="http://schemas.openxmlformats.org/officeDocument/2006/relationships/printerSettings" Target="../printerSettings/printerSettings7.bin"/><Relationship Id="rId3" Type="http://schemas.openxmlformats.org/officeDocument/2006/relationships/hyperlink" Target="https://favre-kuria.com/?product=dry-powder-fire-extinguisher&amp;gad_source=1&amp;gclid=CjwKCAjw6JS3BhBAEiwAO9waF0lrB-Rx9P2gscOYgdjFESFfDSPGcFoYlGdOH6FeCbtnPkkD0g6xvRoC_OYQAvD_BwE" TargetMode="External"/><Relationship Id="rId7" Type="http://schemas.openxmlformats.org/officeDocument/2006/relationships/hyperlink" Target="https://vohsuppliers.co.ke/product/digital-micrometer-screw-gauge-0-001-mm-tools/?gad_source=1&amp;gclid=CjwKCAjw6JS3BhBAEiwAO9waF26aJIRPM5TIOuPwSuH6WifPkVgyKxtYciGo7BoC7a0sfjfdmQoY7RoCVtwQAvD_BwE" TargetMode="External"/><Relationship Id="rId12" Type="http://schemas.openxmlformats.org/officeDocument/2006/relationships/hyperlink" Target="https://ankoretail.com/products/foldable-magnifying-glass-with-led-light-large-2x-magnification-model-yt80117?gad_source=1&amp;gclid=CjwKCAjw6JS3BhBAEiwAO9waF-j0ibhcXYcESXDvWbtGE3FowDGoPJvaDyrfJ_YxSlsHVN8KOWiEaxoC1SIQAvD_BwE" TargetMode="External"/><Relationship Id="rId17" Type="http://schemas.openxmlformats.org/officeDocument/2006/relationships/hyperlink" Target="https://generationspace.co.ke/product/thermometer-digital-with-spike-50-300-food-thermometer/?gad_source=1&amp;gclid=CjwKCAjw6JS3BhBAEiwAO9waF8Xdu6FsgXkfTlDzLXlzkcgVSkos5CrP1uxIe4tqHbeaTQKVImM3HxoCZwgQAvD_BwE" TargetMode="External"/><Relationship Id="rId2" Type="http://schemas.openxmlformats.org/officeDocument/2006/relationships/hyperlink" Target="https://eregulations.invest.go.ke/media/Single_Business_Permit.2.pdf" TargetMode="External"/><Relationship Id="rId16" Type="http://schemas.openxmlformats.org/officeDocument/2006/relationships/hyperlink" Target="https://ankoretail.com/products/12-pack-flexible-rulers-assorted-colors-transparent-bc-0031?gad_source=1&amp;gclid=CjwKCAjw6JS3BhBAEiwAO9waFzXmrS-3anPOq56vuL63jnO3uiphBvmAJ6tuqQrMpZ9lc72LzIk0SRoCz6IQAvD_BwE" TargetMode="External"/><Relationship Id="rId1" Type="http://schemas.openxmlformats.org/officeDocument/2006/relationships/hyperlink" Target="https://www.stjohnkenya.org/product/occupational-first-aid-kit/" TargetMode="External"/><Relationship Id="rId6" Type="http://schemas.openxmlformats.org/officeDocument/2006/relationships/hyperlink" Target="https://www.kilimall.co.ke/listing/2680144?gad_source=1&amp;gclid=CjwKCAjw6JS3BhBAEiwAO9waF37j58KZyUe_Pu8jpKg0dbllmKQUYwsSye44_osFrJvDnsHWuwI_JhoCnd8QAvD_BwE" TargetMode="External"/><Relationship Id="rId11" Type="http://schemas.openxmlformats.org/officeDocument/2006/relationships/hyperlink" Target="https://alphasurgicals.co.ke/product/drying-oven-kenya/" TargetMode="External"/><Relationship Id="rId5" Type="http://schemas.openxmlformats.org/officeDocument/2006/relationships/hyperlink" Target="https://www.indiamart.com/proddetail/color-matching-cabinet-with-5-lights-13559942362.html" TargetMode="External"/><Relationship Id="rId15" Type="http://schemas.openxmlformats.org/officeDocument/2006/relationships/hyperlink" Target="https://theafrocakery.com/products/long-steel-ruler" TargetMode="External"/><Relationship Id="rId10" Type="http://schemas.openxmlformats.org/officeDocument/2006/relationships/hyperlink" Target="https://www.kilimall.co.ke/listing/1940600?gad_source=1&amp;gclid=CjwKCAjw6JS3BhBAEiwAO9waFy5cysP3ZCyjiiCBoFVCDJm7oWo3d_O5iM0tvR7bxA2SCWGrrQuaVBoCjocQAvD_BwE" TargetMode="External"/><Relationship Id="rId4" Type="http://schemas.openxmlformats.org/officeDocument/2006/relationships/hyperlink" Target="https://vohsuppliers.co.ke/product/jewellery-scale-2kg-digital-0-001g-precision/?gad_source=1&amp;gclid=CjwKCAjw6JS3BhBAEiwAO9waF371gFKnJ5psWxSIjGH8XSki44OP1EwCEnfkyIgpRxiz-jdORYm1UhoCjyAQAvD_BwE" TargetMode="External"/><Relationship Id="rId9" Type="http://schemas.openxmlformats.org/officeDocument/2006/relationships/hyperlink" Target="https://www.indiamart.com/proddetail/paper-gsm-tester-temple-10-10-cm-25213601788.html?pos=1&amp;DualProdscaps" TargetMode="External"/><Relationship Id="rId14" Type="http://schemas.openxmlformats.org/officeDocument/2006/relationships/hyperlink" Target="https://mhenga.com/products/temperature-humidity-meter-lcd-electronic-digital-outdoor-indoor-thermometer-hygrometer-with-clock-time-humidity-monitor-for-home-bedroom-pet-reptile-plant-greenhouse-basement-guitar-htc-2?_pos=1&amp;_psq=htc&amp;_ss=e&amp;_v=1.0&amp;gad_source=1&amp;gclid=CjwKCAjw6JS3BhBAEiwAO9waF45ug6dn5ngwr-2TaWcri6F6mMAHhqA5IR3tc00ZhBkhOAwqfAvj6RoCZh0QAvD_BwE"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8.bin"/><Relationship Id="rId5" Type="http://schemas.openxmlformats.org/officeDocument/2006/relationships/comments" Target="../comments2.xml"/><Relationship Id="rId4" Type="http://schemas.openxmlformats.org/officeDocument/2006/relationships/ctrlProp" Target="../ctrlProps/ctrlProp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5.xml"/><Relationship Id="rId1" Type="http://schemas.openxmlformats.org/officeDocument/2006/relationships/printerSettings" Target="../printerSettings/printerSettings10.bin"/><Relationship Id="rId5" Type="http://schemas.openxmlformats.org/officeDocument/2006/relationships/comments" Target="../comments3.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40"/>
  <sheetViews>
    <sheetView showGridLines="0" tabSelected="1" zoomScale="85" zoomScaleNormal="85" workbookViewId="0">
      <selection activeCell="C12" sqref="C12"/>
    </sheetView>
  </sheetViews>
  <sheetFormatPr defaultColWidth="9.109375" defaultRowHeight="19.5" customHeight="1" outlineLevelCol="1"/>
  <cols>
    <col min="1" max="1" width="4.6640625" style="1356" customWidth="1"/>
    <col min="2" max="2" width="4.88671875" style="1356" customWidth="1"/>
    <col min="3" max="16" width="10.6640625" style="1356" customWidth="1"/>
    <col min="17" max="17" width="4.88671875" style="1356" customWidth="1"/>
    <col min="18" max="18" width="11" style="1356" customWidth="1"/>
    <col min="19" max="19" width="9.109375" style="1356"/>
    <col min="20" max="20" width="11.44140625" style="1356" hidden="1" customWidth="1" outlineLevel="1"/>
    <col min="21" max="21" width="9.109375" style="1356" collapsed="1"/>
    <col min="22" max="16384" width="9.109375" style="1356"/>
  </cols>
  <sheetData>
    <row r="1" spans="1:19" ht="19.5" customHeight="1" thickBot="1">
      <c r="B1" s="1357"/>
      <c r="C1" s="1357"/>
      <c r="D1" s="1357"/>
      <c r="E1" s="1357"/>
      <c r="F1" s="1357"/>
      <c r="G1" s="1357"/>
      <c r="H1" s="1357"/>
      <c r="I1" s="1357"/>
      <c r="J1" s="1357"/>
      <c r="K1" s="1357"/>
      <c r="L1" s="1357"/>
      <c r="M1" s="1357"/>
      <c r="N1" s="1357"/>
      <c r="O1" s="1357"/>
      <c r="P1" s="1357"/>
      <c r="Q1" s="1357"/>
    </row>
    <row r="2" spans="1:19" ht="19.5" customHeight="1" thickTop="1">
      <c r="A2" s="1358"/>
      <c r="Q2" s="1359"/>
    </row>
    <row r="3" spans="1:19" ht="19.5" customHeight="1">
      <c r="A3" s="1358"/>
      <c r="C3" s="1363" t="s">
        <v>827</v>
      </c>
      <c r="K3" s="1362"/>
      <c r="L3" s="1362"/>
      <c r="M3" s="1362"/>
      <c r="N3" s="1362"/>
      <c r="O3" s="1362"/>
      <c r="P3" s="1365" t="s">
        <v>81</v>
      </c>
      <c r="Q3" s="1358"/>
    </row>
    <row r="4" spans="1:19" ht="19.5" customHeight="1">
      <c r="A4" s="1358"/>
      <c r="K4" s="1362"/>
      <c r="L4" s="1362"/>
      <c r="M4" s="1367"/>
      <c r="N4" s="1367"/>
      <c r="O4" s="1367"/>
      <c r="P4" s="1362"/>
      <c r="Q4" s="1358"/>
    </row>
    <row r="5" spans="1:19" ht="19.5" customHeight="1">
      <c r="A5" s="1358"/>
      <c r="C5" s="1356" t="s">
        <v>839</v>
      </c>
      <c r="K5" s="1371" t="s">
        <v>196</v>
      </c>
      <c r="L5" s="1371"/>
      <c r="M5" s="1372"/>
      <c r="N5" s="1372"/>
      <c r="O5" s="1372"/>
      <c r="P5" s="1371"/>
      <c r="Q5" s="1358"/>
    </row>
    <row r="6" spans="1:19" ht="19.5" customHeight="1">
      <c r="A6" s="1358"/>
      <c r="Q6" s="1358"/>
      <c r="S6" s="1360"/>
    </row>
    <row r="7" spans="1:19" ht="19.5" customHeight="1">
      <c r="A7" s="1358"/>
      <c r="C7" s="1417" t="s">
        <v>840</v>
      </c>
      <c r="K7" s="1375" t="s">
        <v>197</v>
      </c>
      <c r="N7" s="1376"/>
      <c r="O7" s="1376"/>
      <c r="P7" s="1377">
        <f>Transaction!J17</f>
        <v>0</v>
      </c>
      <c r="Q7" s="1358"/>
    </row>
    <row r="8" spans="1:19" ht="19.5" customHeight="1">
      <c r="A8" s="1358"/>
      <c r="C8" s="1416" t="s">
        <v>835</v>
      </c>
      <c r="K8" s="1379" t="s">
        <v>247</v>
      </c>
      <c r="P8" s="1377">
        <f>IF(SUM(Transaction!K68:K70)&gt;0,1,0)</f>
        <v>0</v>
      </c>
      <c r="Q8" s="1358"/>
    </row>
    <row r="9" spans="1:19" ht="19.5" customHeight="1">
      <c r="A9" s="1358"/>
      <c r="C9" s="1416" t="s">
        <v>836</v>
      </c>
      <c r="K9" s="1375" t="s">
        <v>194</v>
      </c>
      <c r="P9" s="1377">
        <f>IF(SUM(Model!H33:O33)&gt;0,1,0)</f>
        <v>0</v>
      </c>
      <c r="Q9" s="1358"/>
    </row>
    <row r="10" spans="1:19" ht="19.5" customHeight="1">
      <c r="A10" s="1358"/>
      <c r="C10" s="1416" t="s">
        <v>837</v>
      </c>
      <c r="K10" s="1249" t="s">
        <v>190</v>
      </c>
      <c r="P10" s="1377">
        <f>Model!F318</f>
        <v>0</v>
      </c>
      <c r="Q10" s="1358"/>
    </row>
    <row r="11" spans="1:19" s="1362" customFormat="1" ht="15.6">
      <c r="A11" s="1361"/>
      <c r="C11" s="1416" t="s">
        <v>838</v>
      </c>
      <c r="D11" s="1364"/>
      <c r="E11" s="1364"/>
      <c r="F11" s="1364"/>
      <c r="G11" s="1364"/>
      <c r="K11" s="1375" t="s">
        <v>320</v>
      </c>
      <c r="L11" s="1356"/>
      <c r="M11" s="1356"/>
      <c r="N11" s="1356"/>
      <c r="O11" s="1356"/>
      <c r="P11" s="1377">
        <f>IF(SUM(Model!K390:O390)&gt;0,1,0)</f>
        <v>0</v>
      </c>
      <c r="Q11" s="1361"/>
    </row>
    <row r="12" spans="1:19" s="1362" customFormat="1" ht="19.5" customHeight="1">
      <c r="A12" s="1361"/>
      <c r="C12" s="1416" t="s">
        <v>834</v>
      </c>
      <c r="D12" s="1366"/>
      <c r="E12" s="1366"/>
      <c r="F12" s="1366"/>
      <c r="G12" s="1366"/>
      <c r="K12" s="1375" t="s">
        <v>305</v>
      </c>
      <c r="L12" s="1356"/>
      <c r="M12" s="1356"/>
      <c r="N12" s="1356"/>
      <c r="O12" s="1356"/>
      <c r="P12" s="1377">
        <f>IF(MIN(Model!K556:O556)&lt;0,1,0)</f>
        <v>0</v>
      </c>
      <c r="Q12" s="1361"/>
    </row>
    <row r="13" spans="1:19" s="1362" customFormat="1" ht="19.5" customHeight="1">
      <c r="A13" s="1361"/>
      <c r="C13" s="1416" t="s">
        <v>841</v>
      </c>
      <c r="F13" s="1370"/>
      <c r="G13" s="1370"/>
      <c r="K13" s="1375" t="s">
        <v>304</v>
      </c>
      <c r="L13" s="1356"/>
      <c r="M13" s="1356"/>
      <c r="N13" s="1356"/>
      <c r="O13" s="1356"/>
      <c r="P13" s="1377">
        <f>IF(MIN(Model!K557:O557)&lt;0,1,0)</f>
        <v>0</v>
      </c>
      <c r="Q13" s="1361"/>
    </row>
    <row r="14" spans="1:19" ht="19.5" customHeight="1">
      <c r="A14" s="1358"/>
      <c r="K14" s="1375" t="s">
        <v>239</v>
      </c>
      <c r="P14" s="1377">
        <f>Outputs!U62</f>
        <v>1</v>
      </c>
      <c r="Q14" s="1358"/>
    </row>
    <row r="15" spans="1:19" ht="19.5" customHeight="1">
      <c r="A15" s="1358"/>
      <c r="F15" s="1374"/>
      <c r="G15" s="1374"/>
      <c r="Q15" s="1358"/>
      <c r="S15" s="1378"/>
    </row>
    <row r="16" spans="1:19" ht="19.5" customHeight="1">
      <c r="A16" s="1358"/>
      <c r="F16" s="1374"/>
      <c r="G16" s="1374"/>
      <c r="Q16" s="1358"/>
      <c r="R16" s="1380"/>
    </row>
    <row r="17" spans="1:20" ht="19.5" customHeight="1">
      <c r="A17" s="1358"/>
      <c r="F17" s="1374"/>
      <c r="G17" s="1374"/>
      <c r="Q17" s="1358"/>
    </row>
    <row r="18" spans="1:20" ht="19.5" customHeight="1">
      <c r="A18" s="1358"/>
      <c r="F18" s="1374"/>
      <c r="G18" s="1374"/>
      <c r="H18" s="1381"/>
      <c r="Q18" s="1358"/>
      <c r="S18" s="1382"/>
    </row>
    <row r="19" spans="1:20" ht="19.5" customHeight="1">
      <c r="A19" s="1358"/>
      <c r="Q19" s="1358"/>
    </row>
    <row r="20" spans="1:20" ht="19.5" customHeight="1">
      <c r="A20" s="1358"/>
      <c r="C20" s="1368" t="s">
        <v>82</v>
      </c>
      <c r="D20" s="1369"/>
      <c r="E20" s="1369"/>
      <c r="F20" s="1383"/>
      <c r="I20" s="407"/>
      <c r="J20" s="407"/>
      <c r="K20" s="1368" t="s">
        <v>157</v>
      </c>
      <c r="L20" s="1385"/>
      <c r="M20" s="1385"/>
      <c r="Q20" s="1358"/>
      <c r="T20" s="1384" t="s">
        <v>199</v>
      </c>
    </row>
    <row r="21" spans="1:20" ht="19.5" customHeight="1">
      <c r="A21" s="1358"/>
      <c r="F21" s="1386"/>
      <c r="G21" s="1386"/>
      <c r="I21" s="407"/>
      <c r="J21" s="407"/>
      <c r="Q21" s="1358"/>
      <c r="T21" s="1387" t="s">
        <v>200</v>
      </c>
    </row>
    <row r="22" spans="1:20" ht="19.5" customHeight="1">
      <c r="A22" s="1358"/>
      <c r="C22" s="1373" t="s">
        <v>301</v>
      </c>
      <c r="D22" s="1374"/>
      <c r="E22" s="1374"/>
      <c r="K22" s="1375" t="s">
        <v>157</v>
      </c>
      <c r="L22" s="1375"/>
      <c r="M22" s="1388">
        <v>2</v>
      </c>
      <c r="Q22" s="1358"/>
    </row>
    <row r="23" spans="1:20" ht="19.2" customHeight="1">
      <c r="A23" s="1358"/>
      <c r="C23" s="1373" t="s">
        <v>111</v>
      </c>
      <c r="D23" s="1374"/>
      <c r="E23" s="1374"/>
      <c r="F23" s="1375"/>
      <c r="G23" s="1375"/>
      <c r="Q23" s="1358"/>
      <c r="T23" s="1389" t="s">
        <v>198</v>
      </c>
    </row>
    <row r="24" spans="1:20" ht="19.5" customHeight="1">
      <c r="A24" s="1358"/>
      <c r="C24" s="1373" t="s">
        <v>302</v>
      </c>
      <c r="D24" s="1374"/>
      <c r="E24" s="1374"/>
      <c r="F24" s="1383"/>
      <c r="G24" s="1383"/>
      <c r="Q24" s="1358"/>
      <c r="T24" s="1390" t="s">
        <v>158</v>
      </c>
    </row>
    <row r="25" spans="1:20" ht="19.5" customHeight="1">
      <c r="A25" s="1358"/>
      <c r="C25" s="1373" t="s">
        <v>145</v>
      </c>
      <c r="D25" s="1374"/>
      <c r="E25" s="1374"/>
      <c r="F25" s="1383"/>
      <c r="G25" s="1383"/>
      <c r="Q25" s="1358"/>
      <c r="T25" s="1391" t="s">
        <v>159</v>
      </c>
    </row>
    <row r="26" spans="1:20" ht="19.5" customHeight="1">
      <c r="A26" s="1358"/>
      <c r="Q26" s="1358"/>
      <c r="T26" s="1392"/>
    </row>
    <row r="27" spans="1:20" ht="19.5" customHeight="1">
      <c r="A27" s="1358"/>
      <c r="C27" s="1393" t="str">
        <f>IF($M$22=1,"This model now has the circularity turned on. Please confirm the Excel settings below","")</f>
        <v/>
      </c>
      <c r="D27" s="1394"/>
      <c r="E27" s="1394"/>
      <c r="F27" s="1394"/>
      <c r="G27" s="1394"/>
      <c r="H27" s="1378"/>
      <c r="I27" s="1378"/>
      <c r="J27" s="1378"/>
      <c r="K27" s="1378"/>
      <c r="L27" s="1378"/>
      <c r="M27" s="1378"/>
      <c r="Q27" s="1358"/>
      <c r="S27" s="1382"/>
    </row>
    <row r="28" spans="1:20" ht="19.5" customHeight="1">
      <c r="A28" s="1358"/>
      <c r="C28" s="1393" t="str">
        <f>IF($M$22=1,"PC","")</f>
        <v/>
      </c>
      <c r="D28" s="1378" t="str">
        <f>IF($M$22=1,"File - Options - Formulas - Check the box on the top-right labeled 'Enable iterative calculation'.","")</f>
        <v/>
      </c>
      <c r="E28" s="1395"/>
      <c r="F28" s="1395"/>
      <c r="G28" s="1395"/>
      <c r="H28" s="1378"/>
      <c r="I28" s="1378"/>
      <c r="J28" s="1378"/>
      <c r="K28" s="1378"/>
      <c r="L28" s="1378"/>
      <c r="M28" s="1378"/>
      <c r="Q28" s="1358"/>
      <c r="S28" s="1382"/>
      <c r="T28" s="407"/>
    </row>
    <row r="29" spans="1:20" ht="19.5" customHeight="1">
      <c r="A29" s="1358"/>
      <c r="C29" s="1393" t="str">
        <f>IF($M$22=1,"Mac","")</f>
        <v/>
      </c>
      <c r="D29" s="1378" t="str">
        <f>IF($M$22=1,"Excel - Preferences - Calculation - Check the box near the bottom labeled 'Use iterative calculation'.","")</f>
        <v/>
      </c>
      <c r="E29" s="1395"/>
      <c r="F29" s="1395"/>
      <c r="G29" s="1395"/>
      <c r="H29" s="1378"/>
      <c r="I29" s="1378"/>
      <c r="J29" s="1378"/>
      <c r="K29" s="1378"/>
      <c r="L29" s="1378"/>
      <c r="M29" s="1378"/>
      <c r="Q29" s="1358"/>
      <c r="S29" s="1382"/>
      <c r="T29" s="407"/>
    </row>
    <row r="30" spans="1:20" ht="19.5" customHeight="1">
      <c r="A30" s="1358"/>
      <c r="C30" s="1396"/>
      <c r="D30" s="1396"/>
      <c r="E30" s="1396"/>
      <c r="F30" s="1396"/>
      <c r="G30" s="1396"/>
      <c r="Q30" s="1358"/>
      <c r="T30" s="407"/>
    </row>
    <row r="31" spans="1:20" ht="19.5" customHeight="1">
      <c r="A31" s="1358"/>
      <c r="C31" s="1397"/>
      <c r="D31" s="1397"/>
      <c r="E31" s="1397"/>
      <c r="F31" s="1397"/>
      <c r="G31" s="1397"/>
      <c r="H31" s="1398"/>
      <c r="I31" s="1398"/>
      <c r="J31" s="1398"/>
      <c r="K31" s="1398"/>
      <c r="L31" s="1398"/>
      <c r="M31" s="1398"/>
      <c r="N31" s="1398"/>
      <c r="O31" s="1398"/>
      <c r="P31" s="1398"/>
      <c r="Q31" s="1358"/>
      <c r="T31" s="407"/>
    </row>
    <row r="32" spans="1:20" ht="19.5" customHeight="1">
      <c r="A32" s="1358"/>
      <c r="C32" s="1399"/>
      <c r="D32" s="1399"/>
      <c r="E32" s="1399"/>
      <c r="F32" s="1399"/>
      <c r="G32" s="1399"/>
      <c r="H32" s="1400"/>
      <c r="I32" s="1400"/>
      <c r="J32" s="1400"/>
      <c r="K32" s="1400"/>
      <c r="L32" s="1400"/>
      <c r="M32" s="1400"/>
      <c r="N32" s="1400"/>
      <c r="O32" s="1400"/>
      <c r="P32" s="1400"/>
      <c r="Q32" s="1358"/>
      <c r="T32" s="407"/>
    </row>
    <row r="33" spans="1:20" ht="19.5" customHeight="1">
      <c r="A33" s="1358"/>
      <c r="C33" s="1399"/>
      <c r="D33" s="1399"/>
      <c r="E33" s="1399"/>
      <c r="F33" s="1399"/>
      <c r="G33" s="1399"/>
      <c r="H33" s="1400"/>
      <c r="I33" s="1400"/>
      <c r="J33" s="1400"/>
      <c r="K33" s="1400"/>
      <c r="L33" s="1400"/>
      <c r="M33" s="1400"/>
      <c r="N33" s="1400"/>
      <c r="O33" s="1400"/>
      <c r="P33" s="1400"/>
      <c r="Q33" s="1358"/>
      <c r="T33" s="407"/>
    </row>
    <row r="34" spans="1:20" ht="19.5" customHeight="1">
      <c r="A34" s="1358"/>
      <c r="C34" s="1399"/>
      <c r="D34" s="1399"/>
      <c r="E34" s="1399"/>
      <c r="F34" s="1399"/>
      <c r="G34" s="1399"/>
      <c r="H34" s="1400"/>
      <c r="I34" s="1400"/>
      <c r="J34" s="1400"/>
      <c r="K34" s="1400"/>
      <c r="L34" s="1400"/>
      <c r="M34" s="1400"/>
      <c r="N34" s="1400"/>
      <c r="O34" s="1400"/>
      <c r="P34" s="1400"/>
      <c r="Q34" s="1358"/>
      <c r="T34" s="407"/>
    </row>
    <row r="35" spans="1:20" ht="19.5" customHeight="1">
      <c r="A35" s="1358"/>
      <c r="C35" s="1399"/>
      <c r="D35" s="1399"/>
      <c r="E35" s="1399"/>
      <c r="F35" s="1399"/>
      <c r="G35" s="1399"/>
      <c r="H35" s="1400"/>
      <c r="I35" s="1400"/>
      <c r="J35" s="1400"/>
      <c r="K35" s="1400"/>
      <c r="L35" s="1400"/>
      <c r="M35" s="1400"/>
      <c r="N35" s="1400"/>
      <c r="O35" s="1400"/>
      <c r="P35" s="1400"/>
      <c r="Q35" s="1358"/>
      <c r="T35" s="407"/>
    </row>
    <row r="36" spans="1:20" ht="19.5" customHeight="1">
      <c r="A36" s="1358"/>
      <c r="C36" s="1399"/>
      <c r="D36" s="1399"/>
      <c r="E36" s="1399"/>
      <c r="F36" s="1399"/>
      <c r="G36" s="1399"/>
      <c r="H36" s="1400"/>
      <c r="I36" s="1400"/>
      <c r="J36" s="1400"/>
      <c r="K36" s="1400"/>
      <c r="L36" s="1400"/>
      <c r="M36" s="1400"/>
      <c r="N36" s="1400"/>
      <c r="O36" s="1400"/>
      <c r="P36" s="1400"/>
      <c r="Q36" s="1358"/>
      <c r="T36" s="407"/>
    </row>
    <row r="37" spans="1:20" ht="19.5" customHeight="1">
      <c r="A37" s="1358"/>
      <c r="C37" s="1399"/>
      <c r="D37" s="1399"/>
      <c r="E37" s="1399"/>
      <c r="F37" s="1399"/>
      <c r="G37" s="1399"/>
      <c r="H37" s="1400"/>
      <c r="I37" s="1400"/>
      <c r="J37" s="1400"/>
      <c r="K37" s="1400"/>
      <c r="L37" s="1400"/>
      <c r="M37" s="1400"/>
      <c r="N37" s="1400"/>
      <c r="O37" s="1400"/>
      <c r="P37" s="1400"/>
      <c r="Q37" s="1358"/>
      <c r="T37" s="407"/>
    </row>
    <row r="38" spans="1:20" ht="19.5" customHeight="1">
      <c r="A38" s="1358"/>
      <c r="C38" s="1399"/>
      <c r="D38" s="1399"/>
      <c r="E38" s="1399"/>
      <c r="F38" s="1399"/>
      <c r="G38" s="1399"/>
      <c r="H38" s="1400"/>
      <c r="I38" s="1400"/>
      <c r="J38" s="1400"/>
      <c r="K38" s="1400"/>
      <c r="L38" s="1400"/>
      <c r="M38" s="1400"/>
      <c r="N38" s="1400"/>
      <c r="O38" s="1400"/>
      <c r="P38" s="1400"/>
      <c r="Q38" s="1358"/>
      <c r="T38" s="407"/>
    </row>
    <row r="39" spans="1:20" ht="19.5" customHeight="1" thickBot="1">
      <c r="A39" s="1358"/>
      <c r="B39" s="1357"/>
      <c r="C39" s="1357"/>
      <c r="D39" s="1357"/>
      <c r="E39" s="1357"/>
      <c r="F39" s="1357"/>
      <c r="G39" s="1357"/>
      <c r="H39" s="1357"/>
      <c r="I39" s="1357"/>
      <c r="J39" s="1357"/>
      <c r="K39" s="1357"/>
      <c r="L39" s="1357"/>
      <c r="M39" s="1357"/>
      <c r="N39" s="1357"/>
      <c r="O39" s="1357"/>
      <c r="P39" s="1357"/>
      <c r="Q39" s="1401" t="s">
        <v>80</v>
      </c>
      <c r="T39" s="407"/>
    </row>
    <row r="40" spans="1:20" ht="19.5" customHeight="1" thickTop="1">
      <c r="R40" s="1356" t="s">
        <v>80</v>
      </c>
      <c r="T40" s="407"/>
    </row>
  </sheetData>
  <conditionalFormatting sqref="P7:P14">
    <cfRule type="expression" dxfId="55" priority="1">
      <formula>P7=1</formula>
    </cfRule>
  </conditionalFormatting>
  <hyperlinks>
    <hyperlink ref="C24" location="Drivers!A1" tooltip="Drivers" display="Drivers" xr:uid="{00000000-0004-0000-0000-000000000000}"/>
    <hyperlink ref="C22" location="Dashboard!A1" tooltip="Dashboard" display="Dashboard" xr:uid="{00000000-0004-0000-0000-000001000000}"/>
    <hyperlink ref="C23" location="Transaction!A1" tooltip="Transaction" display="Transaction" xr:uid="{00000000-0004-0000-0000-000002000000}"/>
    <hyperlink ref="C25" location="Model!A1" tooltip="Model" display="Model" xr:uid="{00000000-0004-0000-0000-000003000000}"/>
  </hyperlinks>
  <printOptions horizontalCentered="1"/>
  <pageMargins left="0.118110236220472" right="0.118110236220472" top="0.118110236220472" bottom="0.118110236220472" header="0.118110236220472" footer="0.118110236220472"/>
  <pageSetup scale="73" orientation="landscape" r:id="rId1"/>
  <headerFooter>
    <oddFooter>&amp;L&amp;"Open Sans,Bold"&amp;KC00000Flexxo Labels Financial  Model&amp;C&amp;"Open Sans,Bold"&amp;KC00000Page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5" r:id="rId4" name="Drop Down 1">
              <controlPr defaultSize="0" autoLine="0" autoPict="0">
                <anchor moveWithCells="1">
                  <from>
                    <xdr:col>12</xdr:col>
                    <xdr:colOff>7620</xdr:colOff>
                    <xdr:row>20</xdr:row>
                    <xdr:rowOff>213360</xdr:rowOff>
                  </from>
                  <to>
                    <xdr:col>13</xdr:col>
                    <xdr:colOff>7620</xdr:colOff>
                    <xdr:row>21</xdr:row>
                    <xdr:rowOff>152400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A1:AH153"/>
  <sheetViews>
    <sheetView showGridLines="0" tabSelected="1" zoomScale="79" zoomScaleNormal="79" workbookViewId="0">
      <selection activeCell="C12" sqref="C12"/>
    </sheetView>
  </sheetViews>
  <sheetFormatPr defaultColWidth="9.109375" defaultRowHeight="13.8" outlineLevelRow="1" outlineLevelCol="1"/>
  <cols>
    <col min="1" max="1" width="8.6640625" style="1177" customWidth="1"/>
    <col min="2" max="2" width="3.44140625" style="1177" customWidth="1"/>
    <col min="3" max="3" width="8.21875" style="1177" customWidth="1"/>
    <col min="4" max="4" width="12.109375" style="1177" customWidth="1"/>
    <col min="5" max="5" width="12.21875" style="1177" bestFit="1" customWidth="1"/>
    <col min="6" max="6" width="12.5546875" style="1177" customWidth="1"/>
    <col min="7" max="7" width="12.6640625" style="1177" customWidth="1"/>
    <col min="8" max="8" width="10.6640625" style="1177" customWidth="1"/>
    <col min="9" max="9" width="12.21875" style="1177" bestFit="1" customWidth="1"/>
    <col min="10" max="11" width="6.6640625" style="1177" customWidth="1"/>
    <col min="12" max="17" width="10.6640625" style="1177" customWidth="1"/>
    <col min="18" max="18" width="6.6640625" style="1177" customWidth="1"/>
    <col min="19" max="19" width="10.6640625" style="1177" customWidth="1"/>
    <col min="20" max="20" width="20.5546875" style="1177" customWidth="1" outlineLevel="1"/>
    <col min="21" max="22" width="10.5546875" style="1177" customWidth="1" outlineLevel="1"/>
    <col min="23" max="23" width="11.88671875" style="1177" customWidth="1" outlineLevel="1"/>
    <col min="24" max="25" width="11.21875" style="1177" bestFit="1" customWidth="1" outlineLevel="1"/>
    <col min="26" max="26" width="11.33203125" style="1177" bestFit="1" customWidth="1" outlineLevel="1"/>
    <col min="27" max="27" width="12" style="1177" customWidth="1" outlineLevel="1"/>
    <col min="28" max="28" width="9.109375" style="1177"/>
    <col min="29" max="29" width="14" style="1177" bestFit="1" customWidth="1"/>
    <col min="30" max="30" width="9.21875" style="1177" bestFit="1" customWidth="1"/>
    <col min="31" max="31" width="9.33203125" style="1177" bestFit="1" customWidth="1"/>
    <col min="32" max="32" width="10.44140625" style="1177" bestFit="1" customWidth="1"/>
    <col min="33" max="33" width="9.33203125" style="1177" bestFit="1" customWidth="1"/>
    <col min="34" max="34" width="10.77734375" style="1177" bestFit="1" customWidth="1"/>
    <col min="35" max="16384" width="9.109375" style="1177"/>
  </cols>
  <sheetData>
    <row r="1" spans="1:27" s="1182" customFormat="1">
      <c r="A1" s="1176"/>
      <c r="B1" s="1177"/>
      <c r="C1" s="1178"/>
      <c r="D1" s="1178"/>
      <c r="E1" s="1178"/>
      <c r="F1" s="1179"/>
      <c r="G1" s="1179"/>
      <c r="H1" s="1179"/>
      <c r="I1" s="1180"/>
      <c r="J1" s="1181"/>
      <c r="K1" s="1180"/>
      <c r="L1" s="1180"/>
      <c r="M1" s="1180"/>
      <c r="N1" s="1180"/>
      <c r="O1" s="1180"/>
      <c r="P1" s="1178"/>
      <c r="Q1" s="1178"/>
      <c r="R1" s="1178"/>
      <c r="S1" s="1177"/>
    </row>
    <row r="2" spans="1:27" s="1187" customFormat="1">
      <c r="A2" s="1183"/>
      <c r="B2" s="1177"/>
      <c r="C2" s="1184"/>
      <c r="D2" s="1184"/>
      <c r="E2" s="1185"/>
      <c r="F2" s="1185"/>
      <c r="G2" s="1186"/>
      <c r="H2" s="1186"/>
      <c r="I2" s="1186"/>
      <c r="J2" s="1186"/>
      <c r="K2" s="1183"/>
      <c r="L2" s="1183"/>
      <c r="M2" s="1183"/>
      <c r="N2" s="1183"/>
      <c r="O2" s="1183"/>
      <c r="P2" s="1183"/>
      <c r="Q2" s="1183"/>
      <c r="R2" s="1183"/>
      <c r="S2" s="1177"/>
    </row>
    <row r="3" spans="1:27">
      <c r="A3" s="1177" t="s">
        <v>80</v>
      </c>
      <c r="C3" s="1188" t="s">
        <v>83</v>
      </c>
      <c r="D3" s="1189"/>
      <c r="E3" s="1189"/>
      <c r="F3" s="1189"/>
      <c r="G3" s="1190"/>
      <c r="H3" s="1188" t="s">
        <v>84</v>
      </c>
      <c r="I3" s="1189"/>
      <c r="J3" s="1189"/>
      <c r="K3" s="1189"/>
      <c r="L3" s="1189"/>
      <c r="M3" s="1189"/>
      <c r="N3" s="1189"/>
      <c r="O3" s="1189"/>
      <c r="P3" s="1189"/>
      <c r="Q3" s="1189"/>
      <c r="R3" s="1189"/>
      <c r="T3" s="1187"/>
      <c r="U3" s="1187"/>
      <c r="V3" s="1187"/>
      <c r="W3" s="1187"/>
      <c r="X3" s="1187"/>
    </row>
    <row r="4" spans="1:27" outlineLevel="1">
      <c r="T4" s="1187"/>
      <c r="U4" s="1187"/>
      <c r="V4" s="1187"/>
      <c r="W4" s="1187"/>
      <c r="X4" s="1187"/>
    </row>
    <row r="5" spans="1:27" s="1191" customFormat="1" ht="14.4" outlineLevel="1" thickBot="1">
      <c r="C5" s="1192" t="s">
        <v>92</v>
      </c>
      <c r="D5" s="1193"/>
      <c r="E5" s="1193"/>
      <c r="F5" s="1193"/>
      <c r="H5" s="1192" t="s">
        <v>86</v>
      </c>
      <c r="I5" s="1193"/>
      <c r="J5" s="1194"/>
      <c r="K5" s="1194"/>
      <c r="L5" s="1193"/>
      <c r="N5" s="1192" t="s">
        <v>87</v>
      </c>
      <c r="O5" s="1193"/>
      <c r="P5" s="1194"/>
      <c r="Q5" s="1193"/>
    </row>
    <row r="6" spans="1:27" outlineLevel="1">
      <c r="C6" s="1195" t="s">
        <v>85</v>
      </c>
      <c r="D6" s="1196"/>
      <c r="E6" s="1197"/>
      <c r="F6" s="1198">
        <f>Transaction!C21</f>
        <v>16737.860096249999</v>
      </c>
      <c r="H6" s="1199" t="s">
        <v>88</v>
      </c>
      <c r="I6" s="1182"/>
      <c r="L6" s="1200">
        <f>Transaction!J8</f>
        <v>0</v>
      </c>
      <c r="N6" s="1199" t="s">
        <v>89</v>
      </c>
      <c r="O6" s="1201"/>
      <c r="Q6" s="1200">
        <f>Transaction!N8</f>
        <v>16737.860096249999</v>
      </c>
    </row>
    <row r="7" spans="1:27" outlineLevel="1">
      <c r="C7" s="1195" t="s">
        <v>211</v>
      </c>
      <c r="E7" s="1197"/>
      <c r="F7" s="1198">
        <f>SUM(Transaction!C22:C23)</f>
        <v>0</v>
      </c>
      <c r="H7" s="1199" t="s">
        <v>321</v>
      </c>
      <c r="I7" s="1202"/>
      <c r="L7" s="1200">
        <f>Transaction!J9</f>
        <v>0</v>
      </c>
      <c r="N7" s="1203" t="s">
        <v>322</v>
      </c>
      <c r="O7" s="1204"/>
      <c r="Q7" s="1200">
        <f>Transaction!N9</f>
        <v>0</v>
      </c>
    </row>
    <row r="8" spans="1:27" outlineLevel="1">
      <c r="C8" s="1205" t="s">
        <v>91</v>
      </c>
      <c r="D8" s="1206"/>
      <c r="E8" s="1207"/>
      <c r="F8" s="1208">
        <f>Transaction!C24</f>
        <v>0</v>
      </c>
      <c r="H8" s="1209" t="s">
        <v>282</v>
      </c>
      <c r="I8" s="1182"/>
      <c r="L8" s="1200">
        <f>Transaction!J10</f>
        <v>0</v>
      </c>
      <c r="N8" s="1203" t="s">
        <v>323</v>
      </c>
      <c r="O8" s="1204"/>
      <c r="Q8" s="1200">
        <f>Transaction!N10</f>
        <v>0</v>
      </c>
      <c r="S8" s="1210"/>
      <c r="X8" s="407"/>
      <c r="Y8" s="407"/>
      <c r="Z8" s="407"/>
      <c r="AA8" s="407"/>
    </row>
    <row r="9" spans="1:27" outlineLevel="1">
      <c r="C9" s="1211" t="s">
        <v>92</v>
      </c>
      <c r="D9" s="1212"/>
      <c r="E9" s="1213"/>
      <c r="F9" s="1214">
        <f>SUM(F6:F8)</f>
        <v>16737.860096249999</v>
      </c>
      <c r="H9" s="1209" t="s">
        <v>283</v>
      </c>
      <c r="I9" s="1182"/>
      <c r="L9" s="1200">
        <f>Transaction!J11</f>
        <v>0</v>
      </c>
      <c r="N9" s="1199" t="s">
        <v>96</v>
      </c>
      <c r="O9" s="1204"/>
      <c r="Q9" s="1200">
        <f>Transaction!N11</f>
        <v>398.5</v>
      </c>
      <c r="X9" s="407"/>
      <c r="Y9" s="407"/>
      <c r="Z9" s="407"/>
      <c r="AA9" s="407"/>
    </row>
    <row r="10" spans="1:27" outlineLevel="1">
      <c r="C10" s="1215"/>
      <c r="E10" s="1182"/>
      <c r="F10" s="1182"/>
      <c r="H10" s="1209" t="s">
        <v>284</v>
      </c>
      <c r="I10" s="1182"/>
      <c r="L10" s="1200">
        <f>Transaction!J12</f>
        <v>0</v>
      </c>
      <c r="N10" s="1216" t="s">
        <v>98</v>
      </c>
      <c r="O10" s="1217"/>
      <c r="Q10" s="1218">
        <f>SUM(Q6:Q9)</f>
        <v>17136.360096249999</v>
      </c>
    </row>
    <row r="11" spans="1:27" outlineLevel="1">
      <c r="H11" s="1199" t="s">
        <v>235</v>
      </c>
      <c r="I11" s="1182"/>
      <c r="L11" s="1200">
        <f>Transaction!J13</f>
        <v>0</v>
      </c>
      <c r="O11" s="1210"/>
      <c r="T11" s="407"/>
      <c r="U11" s="407"/>
      <c r="V11" s="407"/>
      <c r="W11" s="407"/>
      <c r="X11" s="407"/>
      <c r="Y11" s="407"/>
      <c r="Z11" s="407"/>
      <c r="AA11" s="407"/>
    </row>
    <row r="12" spans="1:27" outlineLevel="1">
      <c r="C12" s="1195" t="s">
        <v>355</v>
      </c>
      <c r="D12" s="1182"/>
      <c r="E12" s="1219"/>
      <c r="F12" s="1220">
        <f>Transaction!C28</f>
        <v>1.6737860096249999</v>
      </c>
      <c r="H12" s="1199" t="s">
        <v>95</v>
      </c>
      <c r="I12" s="1182"/>
      <c r="L12" s="1200">
        <f>Transaction!J14</f>
        <v>17136.360096249999</v>
      </c>
      <c r="O12" s="1210"/>
      <c r="T12" s="407"/>
      <c r="U12" s="407"/>
      <c r="V12" s="407"/>
      <c r="W12" s="407"/>
      <c r="X12" s="407"/>
      <c r="Y12" s="407"/>
      <c r="Z12" s="407"/>
      <c r="AA12" s="407"/>
    </row>
    <row r="13" spans="1:27" outlineLevel="1">
      <c r="C13" s="1195" t="s">
        <v>94</v>
      </c>
      <c r="D13" s="1202"/>
      <c r="E13" s="1221"/>
      <c r="F13" s="1222"/>
      <c r="H13" s="1216" t="s">
        <v>97</v>
      </c>
      <c r="I13" s="1202"/>
      <c r="L13" s="1218">
        <f>SUM(L6:L12)</f>
        <v>17136.360096249999</v>
      </c>
      <c r="O13" s="1182"/>
      <c r="P13" s="1182"/>
      <c r="Q13" s="1223" t="s">
        <v>353</v>
      </c>
      <c r="R13" s="1182"/>
      <c r="S13" s="1182"/>
      <c r="T13" s="407"/>
      <c r="U13" s="407"/>
      <c r="V13" s="407"/>
      <c r="W13" s="407"/>
      <c r="X13" s="407"/>
      <c r="Y13" s="407"/>
      <c r="Z13" s="407"/>
      <c r="AA13" s="407"/>
    </row>
    <row r="14" spans="1:27" outlineLevel="1">
      <c r="C14" s="1182"/>
      <c r="D14" s="1182"/>
      <c r="E14" s="1182"/>
      <c r="F14" s="1182"/>
      <c r="G14" s="1182"/>
      <c r="H14" s="1182"/>
      <c r="I14" s="1182"/>
      <c r="J14" s="1182"/>
      <c r="K14" s="1182"/>
      <c r="L14" s="1182"/>
      <c r="M14" s="1182"/>
      <c r="N14" s="1182"/>
      <c r="O14" s="1182"/>
      <c r="P14" s="1182"/>
      <c r="Q14" s="1182"/>
      <c r="R14" s="1224"/>
      <c r="S14" s="1182"/>
      <c r="Z14" s="1182"/>
      <c r="AA14" s="1182"/>
    </row>
    <row r="15" spans="1:27">
      <c r="C15" s="1182"/>
      <c r="D15" s="1182"/>
      <c r="E15" s="1182"/>
      <c r="F15" s="1182"/>
      <c r="G15" s="1182"/>
      <c r="H15" s="1182"/>
      <c r="I15" s="1182"/>
      <c r="J15" s="1182"/>
      <c r="K15" s="1182"/>
      <c r="L15" s="1182"/>
      <c r="M15" s="1182"/>
      <c r="N15" s="1182"/>
      <c r="O15" s="1182"/>
      <c r="P15" s="1182"/>
      <c r="Q15" s="1182"/>
      <c r="R15" s="1224"/>
      <c r="S15" s="1182"/>
      <c r="Z15" s="1182"/>
      <c r="AA15" s="1182"/>
    </row>
    <row r="16" spans="1:27" s="1191" customFormat="1">
      <c r="A16" s="1191" t="s">
        <v>80</v>
      </c>
      <c r="C16" s="1188" t="s">
        <v>334</v>
      </c>
      <c r="D16" s="1189"/>
      <c r="E16" s="1189"/>
      <c r="F16" s="1189"/>
      <c r="G16" s="1190"/>
      <c r="H16" s="1188"/>
      <c r="I16" s="1189"/>
      <c r="J16" s="1189"/>
      <c r="K16" s="1189"/>
      <c r="L16" s="1189"/>
      <c r="M16" s="1189"/>
      <c r="N16" s="1189"/>
      <c r="O16" s="1189"/>
      <c r="P16" s="1189"/>
      <c r="Q16" s="1189"/>
      <c r="R16" s="1189"/>
      <c r="S16" s="1225"/>
      <c r="X16" s="1226"/>
      <c r="Y16" s="1226"/>
    </row>
    <row r="17" spans="3:27" outlineLevel="1">
      <c r="C17" s="1227" t="str">
        <f>Model!B6</f>
        <v>Model Running: Base Case Drivers</v>
      </c>
    </row>
    <row r="18" spans="3:27" outlineLevel="1"/>
    <row r="19" spans="3:27" ht="15.6" outlineLevel="1" thickBot="1">
      <c r="D19" s="1228" t="s">
        <v>311</v>
      </c>
      <c r="E19" s="1229"/>
      <c r="F19" s="1230"/>
      <c r="I19" s="1228" t="s">
        <v>825</v>
      </c>
      <c r="J19" s="1229"/>
      <c r="K19" s="1230"/>
      <c r="L19" s="1230"/>
      <c r="O19" s="1228" t="s">
        <v>826</v>
      </c>
      <c r="P19" s="1229"/>
      <c r="Q19" s="1230"/>
      <c r="T19" s="1231" t="s">
        <v>312</v>
      </c>
      <c r="U19" s="1231"/>
      <c r="V19" s="1231"/>
      <c r="W19" s="1231"/>
      <c r="X19" s="1231"/>
      <c r="Y19" s="1231"/>
      <c r="Z19" s="1231"/>
      <c r="AA19" s="1231"/>
    </row>
    <row r="20" spans="3:27" outlineLevel="1">
      <c r="D20" s="1232"/>
      <c r="E20" s="1233"/>
      <c r="F20" s="1233"/>
      <c r="I20" s="1232"/>
      <c r="J20" s="1233"/>
      <c r="K20" s="1233"/>
      <c r="L20" s="1233"/>
      <c r="O20" s="1234"/>
      <c r="P20" s="1235"/>
      <c r="Q20" s="1235"/>
      <c r="T20" s="1231" t="s">
        <v>313</v>
      </c>
      <c r="U20" s="1231"/>
      <c r="V20" s="1231"/>
      <c r="W20" s="1231"/>
      <c r="X20" s="1231"/>
      <c r="Y20" s="1231"/>
      <c r="Z20" s="1231"/>
      <c r="AA20" s="1231"/>
    </row>
    <row r="21" spans="3:27" outlineLevel="1">
      <c r="D21" s="1236">
        <f>L12/1000</f>
        <v>17.136360096249998</v>
      </c>
      <c r="E21" s="1237"/>
      <c r="F21" s="1238"/>
      <c r="I21" s="1239">
        <f>Model!E606</f>
        <v>2.7734127283096317</v>
      </c>
      <c r="J21" s="1237"/>
      <c r="K21" s="1238"/>
      <c r="L21" s="1238"/>
      <c r="O21" s="1240">
        <f>Model!F606</f>
        <v>53.728278691298257</v>
      </c>
      <c r="P21" s="1237"/>
      <c r="Q21" s="1238"/>
      <c r="T21" s="1231"/>
      <c r="U21" s="1231"/>
      <c r="V21" s="1231"/>
      <c r="W21" s="1231"/>
      <c r="X21" s="1231"/>
      <c r="Y21" s="1231"/>
      <c r="Z21" s="1231"/>
      <c r="AA21" s="1231"/>
    </row>
    <row r="22" spans="3:27" outlineLevel="1">
      <c r="D22" s="1241"/>
      <c r="E22" s="1241"/>
    </row>
    <row r="23" spans="3:27" outlineLevel="1">
      <c r="N23" s="1177" t="s">
        <v>356</v>
      </c>
      <c r="W23" s="1242"/>
      <c r="X23" s="1242"/>
      <c r="Y23" s="1242"/>
      <c r="Z23" s="1242"/>
      <c r="AA23" s="1242"/>
    </row>
    <row r="24" spans="3:27" s="1191" customFormat="1" ht="14.4" outlineLevel="1" thickBot="1">
      <c r="C24" s="1243" t="s">
        <v>357</v>
      </c>
      <c r="D24" s="1243"/>
      <c r="E24" s="1243"/>
      <c r="F24" s="1244"/>
      <c r="G24" s="1244"/>
      <c r="H24" s="1244"/>
      <c r="I24" s="1244"/>
      <c r="K24" s="1243" t="s">
        <v>412</v>
      </c>
      <c r="L24" s="1243"/>
      <c r="M24" s="1243"/>
      <c r="N24" s="1244"/>
      <c r="O24" s="1244"/>
      <c r="P24" s="1244"/>
      <c r="Q24" s="1244"/>
      <c r="T24" s="1245"/>
      <c r="U24" s="1245"/>
      <c r="V24" s="1245"/>
      <c r="W24" s="1246">
        <f>Model!K101</f>
        <v>2025</v>
      </c>
      <c r="X24" s="1246">
        <f>Model!L101</f>
        <v>2026</v>
      </c>
      <c r="Y24" s="1246">
        <f>Model!M101</f>
        <v>2027</v>
      </c>
      <c r="Z24" s="1246">
        <f>Model!N101</f>
        <v>2028</v>
      </c>
      <c r="AA24" s="1246">
        <f>Model!O101</f>
        <v>2029</v>
      </c>
    </row>
    <row r="25" spans="3:27" outlineLevel="1"/>
    <row r="26" spans="3:27" outlineLevel="1">
      <c r="T26" s="1182" t="s">
        <v>26</v>
      </c>
      <c r="U26" s="1247"/>
      <c r="V26" s="1247"/>
      <c r="W26" s="1248">
        <f>Model!K127</f>
        <v>64821.089274024998</v>
      </c>
      <c r="X26" s="1248">
        <f>Model!L112</f>
        <v>113739.2109375</v>
      </c>
      <c r="Y26" s="1248">
        <f>Model!M112</f>
        <v>131482.29375000001</v>
      </c>
      <c r="Z26" s="1248">
        <f>Model!N112</f>
        <v>151041.86156250004</v>
      </c>
      <c r="AA26" s="1248">
        <f>Model!O112</f>
        <v>171941.15977500004</v>
      </c>
    </row>
    <row r="27" spans="3:27" outlineLevel="1">
      <c r="T27" s="1182" t="str">
        <f>Inputs!B8</f>
        <v>Orders Placed (Units per month)</v>
      </c>
      <c r="U27" s="1247"/>
      <c r="V27" s="1247"/>
      <c r="W27" s="1248">
        <f>Inputs!H8</f>
        <v>5000000</v>
      </c>
      <c r="X27" s="1248">
        <f>Inputs!I8</f>
        <v>5500000</v>
      </c>
      <c r="Y27" s="1248">
        <f>Inputs!J8</f>
        <v>6000000</v>
      </c>
      <c r="Z27" s="1248">
        <f>Inputs!K8</f>
        <v>6500000</v>
      </c>
      <c r="AA27" s="1248">
        <f>Inputs!L8</f>
        <v>7000000</v>
      </c>
    </row>
    <row r="28" spans="3:27" outlineLevel="1">
      <c r="T28" s="1182"/>
      <c r="U28" s="1247"/>
      <c r="V28" s="1247"/>
      <c r="W28" s="1182"/>
      <c r="X28" s="1182"/>
      <c r="Y28" s="1182"/>
      <c r="Z28" s="1182"/>
      <c r="AA28" s="1182"/>
    </row>
    <row r="29" spans="3:27" outlineLevel="1">
      <c r="T29" s="1249" t="s">
        <v>411</v>
      </c>
      <c r="U29" s="1250"/>
      <c r="V29" s="1250"/>
      <c r="W29" s="1248">
        <f>Model!K639</f>
        <v>42538.403166203083</v>
      </c>
      <c r="X29" s="1248">
        <f>Model!L639</f>
        <v>76804.916638504204</v>
      </c>
      <c r="Y29" s="1248">
        <f>Model!M639</f>
        <v>96636.219071827683</v>
      </c>
      <c r="Z29" s="1248">
        <f>Model!N639</f>
        <v>119096.50908990699</v>
      </c>
      <c r="AA29" s="1248">
        <f>Model!O639</f>
        <v>144105.17675908277</v>
      </c>
    </row>
    <row r="30" spans="3:27" outlineLevel="1">
      <c r="T30" s="1182" t="s">
        <v>410</v>
      </c>
      <c r="U30" s="1247"/>
      <c r="V30" s="1250"/>
      <c r="W30" s="1248">
        <f>V29+W29</f>
        <v>42538.403166203083</v>
      </c>
      <c r="X30" s="1248">
        <f>W29+X29</f>
        <v>119343.31980470728</v>
      </c>
      <c r="Y30" s="1248">
        <f>X29+Y29</f>
        <v>173441.1357103319</v>
      </c>
      <c r="Z30" s="1248">
        <f>Y29+Z29</f>
        <v>215732.72816173467</v>
      </c>
      <c r="AA30" s="1248">
        <f>Z29+AA29</f>
        <v>263201.68584898976</v>
      </c>
    </row>
    <row r="31" spans="3:27" outlineLevel="1"/>
    <row r="32" spans="3:27" outlineLevel="1">
      <c r="W32" s="1251" t="e">
        <f>IRR(W29:AA29)</f>
        <v>#NUM!</v>
      </c>
      <c r="X32" s="1252"/>
      <c r="Y32" s="1252"/>
      <c r="Z32" s="1252"/>
      <c r="AA32" s="1252"/>
    </row>
    <row r="33" spans="3:27" outlineLevel="1">
      <c r="W33" s="1252"/>
      <c r="X33" s="1252"/>
      <c r="Y33" s="1252"/>
      <c r="Z33" s="1252"/>
      <c r="AA33" s="1252"/>
    </row>
    <row r="34" spans="3:27" outlineLevel="1"/>
    <row r="35" spans="3:27" outlineLevel="1"/>
    <row r="36" spans="3:27" outlineLevel="1"/>
    <row r="37" spans="3:27" outlineLevel="1"/>
    <row r="38" spans="3:27" outlineLevel="1"/>
    <row r="39" spans="3:27" outlineLevel="1"/>
    <row r="40" spans="3:27" outlineLevel="1"/>
    <row r="41" spans="3:27" outlineLevel="1"/>
    <row r="42" spans="3:27" outlineLevel="1"/>
    <row r="43" spans="3:27" outlineLevel="1"/>
    <row r="44" spans="3:27" outlineLevel="1"/>
    <row r="45" spans="3:27" outlineLevel="1">
      <c r="Q45" s="1253"/>
    </row>
    <row r="46" spans="3:27" outlineLevel="1"/>
    <row r="47" spans="3:27" outlineLevel="1">
      <c r="C47" s="1254"/>
      <c r="D47" s="1254"/>
      <c r="E47" s="1254"/>
      <c r="F47" s="1254"/>
      <c r="G47" s="1254"/>
      <c r="H47" s="1254"/>
      <c r="I47" s="1254"/>
      <c r="J47" s="1254"/>
      <c r="K47" s="1254"/>
      <c r="L47" s="1254"/>
      <c r="M47" s="1254"/>
      <c r="N47" s="1254"/>
      <c r="O47" s="1254"/>
      <c r="P47" s="1254"/>
      <c r="Q47" s="1254"/>
      <c r="R47" s="1254"/>
    </row>
    <row r="49" spans="1:27">
      <c r="A49" s="1177" t="s">
        <v>80</v>
      </c>
      <c r="B49" s="407"/>
      <c r="C49" s="1188" t="s">
        <v>335</v>
      </c>
      <c r="D49" s="1189"/>
      <c r="E49" s="1189"/>
      <c r="F49" s="1189"/>
      <c r="G49" s="1190"/>
      <c r="H49" s="1188"/>
      <c r="I49" s="1189"/>
      <c r="J49" s="1189"/>
      <c r="K49" s="1189"/>
      <c r="L49" s="1189"/>
      <c r="M49" s="1189"/>
      <c r="N49" s="1189"/>
      <c r="O49" s="1189"/>
      <c r="P49" s="1189"/>
      <c r="Q49" s="1189"/>
      <c r="R49" s="1189"/>
    </row>
    <row r="50" spans="1:27" outlineLevel="1">
      <c r="B50" s="407"/>
      <c r="C50" s="1227" t="str">
        <f>$C$17</f>
        <v>Model Running: Base Case Drivers</v>
      </c>
      <c r="D50" s="1225"/>
      <c r="E50" s="1225"/>
      <c r="F50" s="1255"/>
      <c r="G50" s="1225"/>
      <c r="H50" s="1225"/>
      <c r="I50" s="1225"/>
      <c r="J50" s="1225"/>
      <c r="K50" s="1225"/>
      <c r="L50" s="1225"/>
      <c r="M50" s="1225"/>
      <c r="N50" s="1225"/>
      <c r="O50" s="1225"/>
      <c r="P50" s="1225"/>
      <c r="Q50" s="1255"/>
      <c r="R50" s="1225"/>
      <c r="T50" s="1231"/>
      <c r="U50" s="1231"/>
      <c r="V50" s="1231"/>
      <c r="W50" s="1231"/>
    </row>
    <row r="51" spans="1:27" outlineLevel="1">
      <c r="B51" s="407"/>
      <c r="C51" s="407"/>
      <c r="D51" s="407"/>
      <c r="E51" s="407"/>
      <c r="F51" s="407"/>
      <c r="G51" s="407"/>
      <c r="H51" s="407"/>
      <c r="I51" s="407"/>
      <c r="J51" s="407"/>
    </row>
    <row r="52" spans="1:27" ht="14.4" outlineLevel="1" thickBot="1">
      <c r="B52" s="407"/>
      <c r="C52" s="407"/>
      <c r="D52" s="1256" t="s">
        <v>354</v>
      </c>
      <c r="E52" s="1256"/>
      <c r="F52" s="1256"/>
      <c r="G52" s="1257"/>
      <c r="H52" s="1257"/>
      <c r="I52" s="1257"/>
      <c r="J52" s="1257"/>
      <c r="K52" s="1257"/>
      <c r="L52" s="1258"/>
      <c r="M52" s="1256" t="s">
        <v>238</v>
      </c>
      <c r="N52" s="1256"/>
      <c r="O52" s="1256"/>
      <c r="P52" s="1256"/>
      <c r="Q52" s="1257"/>
      <c r="R52" s="1257"/>
      <c r="S52" s="1258"/>
    </row>
    <row r="53" spans="1:27" outlineLevel="1">
      <c r="B53" s="407"/>
      <c r="C53" s="407"/>
      <c r="D53" s="407"/>
      <c r="E53" s="407"/>
      <c r="F53" s="407"/>
      <c r="G53" s="407"/>
      <c r="H53" s="407"/>
      <c r="I53" s="407"/>
      <c r="J53" s="407"/>
    </row>
    <row r="54" spans="1:27" ht="14.4" outlineLevel="1" thickBot="1">
      <c r="B54" s="407"/>
      <c r="C54" s="407"/>
      <c r="T54" s="1256" t="s">
        <v>217</v>
      </c>
      <c r="U54" s="1256"/>
      <c r="V54" s="1257" t="s">
        <v>219</v>
      </c>
      <c r="W54" s="1257" t="s">
        <v>220</v>
      </c>
      <c r="X54" s="1257" t="s">
        <v>221</v>
      </c>
      <c r="Y54" s="1257" t="s">
        <v>222</v>
      </c>
    </row>
    <row r="55" spans="1:27" ht="18" customHeight="1" outlineLevel="1">
      <c r="B55" s="407"/>
      <c r="C55" s="407"/>
      <c r="D55" s="407"/>
      <c r="E55" s="407"/>
      <c r="F55" s="407"/>
      <c r="G55" s="407"/>
      <c r="H55" s="407"/>
      <c r="I55" s="407"/>
      <c r="J55" s="407"/>
      <c r="T55" s="1259" t="s">
        <v>314</v>
      </c>
      <c r="U55" s="1260">
        <f>Transaction!C60</f>
        <v>17136.360096249999</v>
      </c>
      <c r="V55" s="1261"/>
      <c r="W55" s="1261"/>
      <c r="X55" s="1261"/>
    </row>
    <row r="56" spans="1:27" outlineLevel="1">
      <c r="B56" s="407"/>
      <c r="C56" s="407"/>
      <c r="D56" s="407"/>
      <c r="E56" s="407"/>
      <c r="F56" s="407"/>
      <c r="G56" s="407"/>
      <c r="H56" s="407"/>
      <c r="I56" s="407"/>
      <c r="J56" s="407"/>
      <c r="T56" s="1262" t="s">
        <v>112</v>
      </c>
      <c r="U56" s="1260">
        <f>-Transaction!N27</f>
        <v>-398.5</v>
      </c>
      <c r="V56" s="1261"/>
      <c r="W56" s="1261"/>
      <c r="X56" s="1261"/>
    </row>
    <row r="57" spans="1:27" ht="16.5" customHeight="1" outlineLevel="1">
      <c r="B57" s="407"/>
      <c r="C57" s="407"/>
      <c r="D57" s="407"/>
      <c r="E57" s="407"/>
      <c r="F57" s="407"/>
      <c r="G57" s="407"/>
      <c r="H57" s="407"/>
      <c r="I57" s="407"/>
      <c r="J57" s="407"/>
      <c r="T57" s="1259" t="s">
        <v>315</v>
      </c>
      <c r="U57" s="1260">
        <f>X57*Y57</f>
        <v>1719411.5977500004</v>
      </c>
      <c r="V57" s="1263">
        <f>Model!I112</f>
        <v>0</v>
      </c>
      <c r="W57" s="1263">
        <f>Model!O112</f>
        <v>171941.15977500004</v>
      </c>
      <c r="X57" s="1263">
        <f>W57-V57</f>
        <v>171941.15977500004</v>
      </c>
      <c r="Y57" s="1264">
        <f>Transaction!C8</f>
        <v>10</v>
      </c>
    </row>
    <row r="58" spans="1:27" ht="15.75" customHeight="1" outlineLevel="1">
      <c r="B58" s="407"/>
      <c r="C58" s="407"/>
      <c r="D58" s="407"/>
      <c r="E58" s="407"/>
      <c r="F58" s="407"/>
      <c r="G58" s="407"/>
      <c r="H58" s="407"/>
      <c r="I58" s="407"/>
      <c r="J58" s="407"/>
      <c r="T58" s="1259" t="s">
        <v>316</v>
      </c>
      <c r="U58" s="1260">
        <f>W58*X58</f>
        <v>16</v>
      </c>
      <c r="V58" s="1264">
        <f>Transaction!C8</f>
        <v>10</v>
      </c>
      <c r="W58" s="1264">
        <f>Transaction!C9</f>
        <v>8</v>
      </c>
      <c r="X58" s="1264">
        <f>V58-W58</f>
        <v>2</v>
      </c>
      <c r="Y58" s="1263">
        <f>W57</f>
        <v>171941.15977500004</v>
      </c>
    </row>
    <row r="59" spans="1:27" ht="17.25" customHeight="1" outlineLevel="1">
      <c r="B59" s="407"/>
      <c r="C59" s="407"/>
      <c r="D59" s="407"/>
      <c r="E59" s="407"/>
      <c r="F59" s="407"/>
      <c r="G59" s="407"/>
      <c r="H59" s="407"/>
      <c r="I59" s="407"/>
      <c r="J59" s="407"/>
      <c r="T59" s="1259" t="s">
        <v>317</v>
      </c>
      <c r="U59" s="1260">
        <f>X59</f>
        <v>-456322.14719423768</v>
      </c>
      <c r="V59" s="1263">
        <f>SUM(Transaction!J9:J12)-Transaction!I29</f>
        <v>-1500</v>
      </c>
      <c r="W59" s="1263">
        <f>Model!O594</f>
        <v>454822.14719423768</v>
      </c>
      <c r="X59" s="1263">
        <f>V59-W59</f>
        <v>-456322.14719423768</v>
      </c>
      <c r="Y59" s="1260" t="s">
        <v>107</v>
      </c>
    </row>
    <row r="60" spans="1:27" outlineLevel="1">
      <c r="B60" s="407"/>
      <c r="C60" s="407"/>
      <c r="D60" s="407"/>
      <c r="E60" s="407"/>
      <c r="F60" s="407"/>
      <c r="G60" s="407"/>
      <c r="H60" s="407"/>
      <c r="I60" s="407"/>
      <c r="J60" s="407"/>
      <c r="T60" s="1265" t="s">
        <v>218</v>
      </c>
      <c r="U60" s="1266">
        <f>SUM(U55:U59)</f>
        <v>1279843.3106520127</v>
      </c>
      <c r="W60" s="1261"/>
      <c r="X60" s="1261"/>
      <c r="Y60" s="1261"/>
    </row>
    <row r="61" spans="1:27" outlineLevel="1">
      <c r="B61" s="407"/>
      <c r="C61" s="407"/>
      <c r="D61" s="407"/>
      <c r="E61" s="407"/>
      <c r="F61" s="407"/>
      <c r="G61" s="407"/>
      <c r="H61" s="407"/>
      <c r="I61" s="407"/>
      <c r="J61" s="407"/>
      <c r="T61" s="1265"/>
      <c r="U61" s="1267"/>
      <c r="V61" s="1268"/>
      <c r="W61" s="1261"/>
      <c r="X61" s="1261"/>
      <c r="Y61" s="1261"/>
      <c r="Z61" s="1269"/>
    </row>
    <row r="62" spans="1:27" outlineLevel="1">
      <c r="T62" s="1262" t="s">
        <v>239</v>
      </c>
      <c r="U62" s="1270">
        <f>IF(ROUND(U60-Model!O599,3)=0,0,1)</f>
        <v>1</v>
      </c>
      <c r="W62" s="1271"/>
      <c r="X62" s="1261"/>
      <c r="Y62" s="1261"/>
      <c r="Z62" s="1269"/>
    </row>
    <row r="63" spans="1:27" outlineLevel="1">
      <c r="X63" s="1252"/>
      <c r="Y63" s="1261"/>
      <c r="Z63" s="1261"/>
      <c r="AA63" s="1269"/>
    </row>
    <row r="64" spans="1:27" ht="14.4" outlineLevel="1" thickBot="1">
      <c r="T64" s="1272" t="s">
        <v>174</v>
      </c>
      <c r="U64" s="1273" t="s">
        <v>99</v>
      </c>
      <c r="V64" s="1274" t="s">
        <v>175</v>
      </c>
      <c r="X64" s="1275"/>
      <c r="Y64" s="1261"/>
      <c r="Z64" s="1261"/>
      <c r="AA64" s="1269"/>
    </row>
    <row r="65" spans="1:27" outlineLevel="1">
      <c r="T65" s="1276">
        <f>Model!D610</f>
        <v>1</v>
      </c>
      <c r="U65" s="1277">
        <f>Model!E610</f>
        <v>40.268180465698251</v>
      </c>
      <c r="V65" s="1278">
        <f>Model!F610</f>
        <v>41.268180825270264</v>
      </c>
      <c r="X65" s="1252"/>
      <c r="Y65" s="1279"/>
      <c r="Z65" s="1279"/>
    </row>
    <row r="66" spans="1:27" outlineLevel="1">
      <c r="T66" s="1276">
        <f>Model!D609</f>
        <v>2</v>
      </c>
      <c r="U66" s="1277">
        <f>Model!E609</f>
        <v>44.273748397827163</v>
      </c>
      <c r="V66" s="1278">
        <f>Model!F609</f>
        <v>45.273748531448774</v>
      </c>
      <c r="Y66" s="407"/>
      <c r="Z66" s="407"/>
    </row>
    <row r="67" spans="1:27" outlineLevel="1">
      <c r="T67" s="1276">
        <f>Model!D608</f>
        <v>3</v>
      </c>
      <c r="U67" s="1277">
        <f>Model!E608</f>
        <v>5.9536582469940189</v>
      </c>
      <c r="V67" s="1278">
        <f>Model!F608</f>
        <v>48.353362523043224</v>
      </c>
      <c r="Y67" s="407"/>
      <c r="Z67" s="407"/>
    </row>
    <row r="68" spans="1:27" outlineLevel="1">
      <c r="T68" s="1276">
        <f>Model!D607</f>
        <v>4</v>
      </c>
      <c r="U68" s="1277">
        <f>Model!E607</f>
        <v>6.1607122898101805</v>
      </c>
      <c r="V68" s="1278">
        <f>Model!F607</f>
        <v>51.275800266785048</v>
      </c>
      <c r="X68" s="1252"/>
      <c r="Y68" s="1279"/>
      <c r="Z68" s="407"/>
    </row>
    <row r="69" spans="1:27">
      <c r="D69" s="407"/>
      <c r="E69" s="407"/>
      <c r="F69" s="407"/>
      <c r="G69" s="407"/>
      <c r="H69" s="407"/>
      <c r="I69" s="407"/>
      <c r="J69" s="407"/>
      <c r="K69" s="407"/>
      <c r="T69" s="1276">
        <f>Model!D606</f>
        <v>5</v>
      </c>
      <c r="U69" s="1277">
        <f>Model!E606</f>
        <v>2.7734127283096317</v>
      </c>
      <c r="V69" s="1278">
        <f>Model!F606</f>
        <v>53.728278691298257</v>
      </c>
      <c r="Y69" s="407"/>
      <c r="Z69" s="407"/>
    </row>
    <row r="70" spans="1:27">
      <c r="A70" s="1177" t="s">
        <v>80</v>
      </c>
      <c r="C70" s="1188" t="s">
        <v>336</v>
      </c>
      <c r="D70" s="1189"/>
      <c r="E70" s="1189"/>
      <c r="F70" s="1189"/>
      <c r="G70" s="1190"/>
      <c r="H70" s="1188"/>
      <c r="I70" s="1189"/>
      <c r="J70" s="1189"/>
      <c r="K70" s="1189"/>
      <c r="L70" s="1189"/>
      <c r="M70" s="1189"/>
      <c r="N70" s="1189"/>
      <c r="O70" s="1189"/>
      <c r="P70" s="1189"/>
      <c r="Q70" s="1189"/>
      <c r="R70" s="1189"/>
      <c r="S70" s="1225"/>
      <c r="X70" s="1280"/>
      <c r="Y70" s="1258"/>
      <c r="Z70" s="1280"/>
      <c r="AA70" s="1258"/>
    </row>
    <row r="71" spans="1:27" outlineLevel="1">
      <c r="N71" s="1281" t="str">
        <f>$C$17</f>
        <v>Model Running: Base Case Drivers</v>
      </c>
    </row>
    <row r="72" spans="1:27" ht="14.4" outlineLevel="1" thickBot="1">
      <c r="D72" s="1272" t="s">
        <v>444</v>
      </c>
      <c r="E72" s="1273"/>
      <c r="F72" s="1273"/>
      <c r="G72" s="1272"/>
      <c r="H72" s="1273"/>
      <c r="I72" s="1273"/>
      <c r="J72" s="1196"/>
      <c r="N72" s="1228" t="s">
        <v>361</v>
      </c>
      <c r="O72" s="1229"/>
      <c r="P72" s="1230"/>
      <c r="Q72" s="1230"/>
      <c r="X72" s="1282"/>
    </row>
    <row r="73" spans="1:27" outlineLevel="1">
      <c r="D73" s="1196"/>
      <c r="E73" s="1283" t="s">
        <v>537</v>
      </c>
      <c r="F73" s="1283"/>
      <c r="G73" s="1283"/>
      <c r="H73" s="1283"/>
      <c r="I73" s="1283"/>
      <c r="J73" s="1196"/>
      <c r="N73" s="1232"/>
      <c r="O73" s="1233"/>
      <c r="P73" s="1233"/>
      <c r="Q73" s="1233"/>
      <c r="X73" s="1282"/>
    </row>
    <row r="74" spans="1:27" ht="14.4" outlineLevel="1" thickBot="1">
      <c r="D74" s="1284">
        <f>$O$21</f>
        <v>53.728278691298257</v>
      </c>
      <c r="E74" s="1285">
        <f>F74-0.5</f>
        <v>1.2999999999999998</v>
      </c>
      <c r="F74" s="1285">
        <f>G74-0.5</f>
        <v>1.7999999999999998</v>
      </c>
      <c r="G74" s="1286">
        <v>2.2999999999999998</v>
      </c>
      <c r="H74" s="1285">
        <f>G74+0.1</f>
        <v>2.4</v>
      </c>
      <c r="I74" s="1285">
        <f>H74+0.1</f>
        <v>2.5</v>
      </c>
      <c r="J74" s="1196"/>
      <c r="N74" s="1287">
        <f>W83</f>
        <v>2.2999999999999998</v>
      </c>
      <c r="O74" s="1237"/>
      <c r="P74" s="1238"/>
      <c r="Q74" s="1238"/>
      <c r="T74" s="1256" t="s">
        <v>100</v>
      </c>
      <c r="U74" s="1256"/>
      <c r="V74" s="1256"/>
      <c r="W74" s="1257"/>
    </row>
    <row r="75" spans="1:27" outlineLevel="1">
      <c r="C75" s="1418" t="s">
        <v>357</v>
      </c>
      <c r="D75" s="1288">
        <f>D76-300000</f>
        <v>4400000</v>
      </c>
      <c r="E75" s="1289">
        <f t="dataTable" ref="E75:I79" dt2D="1" dtr="1" r1="W84" r2="W83" ca="1"/>
        <v>118447687.91171318</v>
      </c>
      <c r="F75" s="1290">
        <v>118447686.66194032</v>
      </c>
      <c r="G75" s="1290">
        <v>118447685.41216747</v>
      </c>
      <c r="H75" s="1290">
        <v>118447685.16221291</v>
      </c>
      <c r="I75" s="1290">
        <v>118447684.91225833</v>
      </c>
      <c r="J75" s="1291"/>
      <c r="K75" s="1418"/>
      <c r="X75" s="1291"/>
    </row>
    <row r="76" spans="1:27" outlineLevel="1">
      <c r="C76" s="1419"/>
      <c r="D76" s="1288">
        <f>D77-300000</f>
        <v>4700000</v>
      </c>
      <c r="E76" s="1290">
        <v>126523666.8406473</v>
      </c>
      <c r="F76" s="1292">
        <v>126523665.50566263</v>
      </c>
      <c r="G76" s="1292">
        <v>126523664.17067797</v>
      </c>
      <c r="H76" s="1292">
        <v>126523663.90368105</v>
      </c>
      <c r="I76" s="1292">
        <v>126523663.63668412</v>
      </c>
      <c r="J76" s="1291"/>
      <c r="K76" s="1419"/>
      <c r="T76" s="1293" t="s">
        <v>101</v>
      </c>
      <c r="U76" s="1294"/>
      <c r="V76" s="1294"/>
      <c r="W76" s="1295">
        <f>Transaction!C8</f>
        <v>10</v>
      </c>
      <c r="X76" s="1291"/>
    </row>
    <row r="77" spans="1:27" ht="14.4" outlineLevel="1" thickBot="1">
      <c r="C77" s="1419"/>
      <c r="D77" s="1296">
        <v>5000000</v>
      </c>
      <c r="E77" s="1290">
        <v>134599645.76958141</v>
      </c>
      <c r="F77" s="1292">
        <v>134599644.34938496</v>
      </c>
      <c r="G77" s="1297">
        <v>134599642.92918849</v>
      </c>
      <c r="H77" s="1292">
        <v>134599642.64514923</v>
      </c>
      <c r="I77" s="1292">
        <v>134599642.36110991</v>
      </c>
      <c r="J77" s="1291"/>
      <c r="K77" s="1419"/>
      <c r="N77" s="1228" t="s">
        <v>376</v>
      </c>
      <c r="O77" s="1229"/>
      <c r="P77" s="1230"/>
      <c r="Q77" s="1230"/>
      <c r="T77" s="1293" t="s">
        <v>102</v>
      </c>
      <c r="U77" s="1294"/>
      <c r="V77" s="1294"/>
      <c r="W77" s="1295">
        <f>Transaction!C9</f>
        <v>8</v>
      </c>
    </row>
    <row r="78" spans="1:27" outlineLevel="1">
      <c r="C78" s="1419"/>
      <c r="D78" s="1288">
        <f>D77+300000</f>
        <v>5300000</v>
      </c>
      <c r="E78" s="1290">
        <v>142675624.6985155</v>
      </c>
      <c r="F78" s="1292">
        <v>142675623.19310725</v>
      </c>
      <c r="G78" s="1292">
        <v>142675621.68769899</v>
      </c>
      <c r="H78" s="1292">
        <v>142675621.38661736</v>
      </c>
      <c r="I78" s="1292">
        <v>142675621.08553573</v>
      </c>
      <c r="J78" s="1291"/>
      <c r="K78" s="1419"/>
      <c r="N78" s="1232"/>
      <c r="O78" s="1233"/>
      <c r="P78" s="1233"/>
      <c r="Q78" s="1233"/>
      <c r="T78" s="1298" t="s">
        <v>292</v>
      </c>
      <c r="U78" s="1299"/>
      <c r="V78" s="1299"/>
      <c r="W78" s="1300">
        <f>Transaction!I10</f>
        <v>0</v>
      </c>
    </row>
    <row r="79" spans="1:27" outlineLevel="1">
      <c r="C79" s="1419"/>
      <c r="D79" s="1288">
        <f>D78+300000</f>
        <v>5600000</v>
      </c>
      <c r="E79" s="1290">
        <v>150751603.6274496</v>
      </c>
      <c r="F79" s="1292">
        <v>150751602.03682959</v>
      </c>
      <c r="G79" s="1292">
        <v>150751600.44620952</v>
      </c>
      <c r="H79" s="1292">
        <v>150751600.12808552</v>
      </c>
      <c r="I79" s="1292">
        <v>150751599.80996153</v>
      </c>
      <c r="J79" s="1291"/>
      <c r="K79" s="1419"/>
      <c r="N79" s="1301">
        <f>AVERAGE(Inputs!H11:L11)</f>
        <v>6000000</v>
      </c>
      <c r="O79" s="1302"/>
      <c r="P79" s="1303"/>
      <c r="Q79" s="1303"/>
      <c r="T79" s="1298" t="s">
        <v>293</v>
      </c>
      <c r="U79" s="1299"/>
      <c r="V79" s="1299"/>
      <c r="W79" s="1300">
        <f>Transaction!I11</f>
        <v>0</v>
      </c>
    </row>
    <row r="80" spans="1:27" outlineLevel="1"/>
    <row r="81" spans="1:34" outlineLevel="1"/>
    <row r="82" spans="1:34" ht="14.4" outlineLevel="1" thickBot="1">
      <c r="D82" s="1272" t="s">
        <v>445</v>
      </c>
      <c r="E82" s="1273"/>
      <c r="F82" s="1273"/>
      <c r="G82" s="1272"/>
      <c r="H82" s="1273"/>
      <c r="I82" s="1273"/>
      <c r="J82" s="1196"/>
      <c r="N82" s="1228" t="s">
        <v>443</v>
      </c>
      <c r="O82" s="1229"/>
      <c r="P82" s="1230"/>
      <c r="Q82" s="1230"/>
    </row>
    <row r="83" spans="1:34" outlineLevel="1">
      <c r="D83" s="1196"/>
      <c r="E83" s="1283" t="s">
        <v>537</v>
      </c>
      <c r="F83" s="1283"/>
      <c r="G83" s="1304"/>
      <c r="H83" s="1283"/>
      <c r="I83" s="1283"/>
      <c r="J83" s="1196"/>
      <c r="N83" s="1232"/>
      <c r="O83" s="1233"/>
      <c r="P83" s="1233"/>
      <c r="Q83" s="1233"/>
      <c r="T83" s="1177" t="s">
        <v>362</v>
      </c>
      <c r="W83" s="1305">
        <v>2.2999999999999998</v>
      </c>
    </row>
    <row r="84" spans="1:34" outlineLevel="1">
      <c r="D84" s="1306">
        <f>$W$98</f>
        <v>361652.22895491286</v>
      </c>
      <c r="E84" s="1285">
        <f>F84-0.5</f>
        <v>2.9</v>
      </c>
      <c r="F84" s="1285">
        <f>G84-0.5</f>
        <v>3.4</v>
      </c>
      <c r="G84" s="1286">
        <v>3.9</v>
      </c>
      <c r="H84" s="1285">
        <f>G84+0.1</f>
        <v>4</v>
      </c>
      <c r="I84" s="1285">
        <f>H84+0.1</f>
        <v>4.0999999999999996</v>
      </c>
      <c r="J84" s="1307"/>
      <c r="K84" s="1308"/>
      <c r="N84" s="1309">
        <f>W104</f>
        <v>1</v>
      </c>
      <c r="O84" s="1239"/>
      <c r="P84" s="1239"/>
      <c r="Q84" s="1239"/>
      <c r="T84" s="1177" t="s">
        <v>363</v>
      </c>
      <c r="W84" s="1310">
        <v>5000000</v>
      </c>
    </row>
    <row r="85" spans="1:34" outlineLevel="1">
      <c r="C85" s="1418" t="s">
        <v>357</v>
      </c>
      <c r="D85" s="1288">
        <f>D86-300000</f>
        <v>4400000</v>
      </c>
      <c r="E85" s="1311">
        <f t="dataTable" ref="E85:I89" dt2D="1" dtr="1" r1="W83" r2="W84"/>
        <v>481183.48462927656</v>
      </c>
      <c r="F85" s="1312">
        <v>589611.32020194503</v>
      </c>
      <c r="G85" s="1312">
        <v>698039.15577461326</v>
      </c>
      <c r="H85" s="1312">
        <v>719724.72288914688</v>
      </c>
      <c r="I85" s="1312">
        <v>741410.29000368039</v>
      </c>
      <c r="J85" s="1196"/>
      <c r="K85" s="1418"/>
      <c r="T85" s="1177" t="s">
        <v>364</v>
      </c>
      <c r="W85" s="1200">
        <f>Model!K127</f>
        <v>64821.089274024998</v>
      </c>
    </row>
    <row r="86" spans="1:34" outlineLevel="1">
      <c r="C86" s="1419"/>
      <c r="D86" s="1288">
        <f>D87-300000</f>
        <v>4700000</v>
      </c>
      <c r="E86" s="1312">
        <v>488229.45524667617</v>
      </c>
      <c r="F86" s="1313">
        <v>598119.70507849474</v>
      </c>
      <c r="G86" s="1313">
        <v>708009.95491031348</v>
      </c>
      <c r="H86" s="1313">
        <v>729988.00487667718</v>
      </c>
      <c r="I86" s="1313">
        <v>751966.054843041</v>
      </c>
      <c r="J86" s="1196"/>
      <c r="K86" s="1419"/>
      <c r="T86" s="1177" t="s">
        <v>365</v>
      </c>
      <c r="W86" s="1314">
        <f>AVERAGE(Model!K141:'Model'!O141)</f>
        <v>97598.673477347547</v>
      </c>
    </row>
    <row r="87" spans="1:34" ht="14.4" outlineLevel="1" thickBot="1">
      <c r="C87" s="1419"/>
      <c r="D87" s="1296">
        <v>5000000</v>
      </c>
      <c r="E87" s="1312">
        <v>495275.42586407572</v>
      </c>
      <c r="F87" s="1313">
        <v>606628.08995504468</v>
      </c>
      <c r="G87" s="1315">
        <v>717980.75404601346</v>
      </c>
      <c r="H87" s="1313">
        <v>740251.28686420736</v>
      </c>
      <c r="I87" s="1313">
        <v>762521.81968240114</v>
      </c>
      <c r="K87" s="1419"/>
      <c r="N87" s="1228" t="s">
        <v>400</v>
      </c>
      <c r="O87" s="1229"/>
      <c r="P87" s="1230"/>
      <c r="Q87" s="1230"/>
      <c r="T87" s="1177" t="s">
        <v>10</v>
      </c>
      <c r="W87" s="1316">
        <v>0</v>
      </c>
    </row>
    <row r="88" spans="1:34" outlineLevel="1">
      <c r="C88" s="1419"/>
      <c r="D88" s="1288">
        <f>D87+300000</f>
        <v>5300000</v>
      </c>
      <c r="E88" s="1312">
        <v>502321.39648147533</v>
      </c>
      <c r="F88" s="1313">
        <v>615136.47483159462</v>
      </c>
      <c r="G88" s="1313">
        <v>727951.5531817138</v>
      </c>
      <c r="H88" s="1313">
        <v>750514.56885173777</v>
      </c>
      <c r="I88" s="1313">
        <v>773077.5845217614</v>
      </c>
      <c r="J88" s="1196"/>
      <c r="K88" s="1419"/>
      <c r="N88" s="1232"/>
      <c r="O88" s="1233"/>
      <c r="P88" s="1233"/>
      <c r="Q88" s="1233"/>
    </row>
    <row r="89" spans="1:34" outlineLevel="1">
      <c r="C89" s="1419"/>
      <c r="D89" s="1288">
        <f>D88+300000</f>
        <v>5600000</v>
      </c>
      <c r="E89" s="1312">
        <v>509367.36709887488</v>
      </c>
      <c r="F89" s="1313">
        <v>623644.85970814445</v>
      </c>
      <c r="G89" s="1313">
        <v>737922.35231741401</v>
      </c>
      <c r="H89" s="1313">
        <v>760777.85083926795</v>
      </c>
      <c r="I89" s="1313">
        <v>783633.34936112177</v>
      </c>
      <c r="J89" s="1196"/>
      <c r="K89" s="1419"/>
      <c r="N89" s="1317">
        <f>N74*N79</f>
        <v>13799999.999999998</v>
      </c>
      <c r="O89" s="1302"/>
      <c r="P89" s="1303"/>
      <c r="Q89" s="1303"/>
    </row>
    <row r="90" spans="1:34" outlineLevel="1">
      <c r="C90" s="1318"/>
      <c r="D90" s="1319"/>
      <c r="E90" s="1320"/>
      <c r="F90" s="1320"/>
      <c r="G90" s="1320"/>
      <c r="H90" s="1320"/>
      <c r="I90" s="1196"/>
      <c r="K90" s="1318"/>
    </row>
    <row r="91" spans="1:34" outlineLevel="1">
      <c r="B91" s="407"/>
      <c r="C91" s="407"/>
      <c r="D91" s="407"/>
      <c r="E91" s="407"/>
      <c r="F91" s="407"/>
      <c r="G91" s="407"/>
      <c r="H91" s="407"/>
      <c r="I91" s="407"/>
      <c r="J91" s="407"/>
    </row>
    <row r="92" spans="1:34" outlineLevel="1">
      <c r="C92" s="1254"/>
      <c r="D92" s="1254"/>
      <c r="E92" s="1254"/>
      <c r="F92" s="1254"/>
      <c r="G92" s="1254"/>
      <c r="H92" s="1254"/>
      <c r="I92" s="1254"/>
      <c r="J92" s="1254"/>
      <c r="K92" s="1254"/>
      <c r="L92" s="1254"/>
      <c r="M92" s="1254"/>
      <c r="N92" s="1254"/>
      <c r="O92" s="1254"/>
      <c r="P92" s="1254"/>
      <c r="Q92" s="1254"/>
      <c r="R92" s="1254"/>
    </row>
    <row r="93" spans="1:34">
      <c r="T93" s="1276"/>
      <c r="U93" s="1277"/>
      <c r="V93" s="1278"/>
    </row>
    <row r="94" spans="1:34">
      <c r="A94" s="1177" t="s">
        <v>80</v>
      </c>
      <c r="C94" s="1188" t="s">
        <v>366</v>
      </c>
      <c r="D94" s="1189"/>
      <c r="E94" s="1189"/>
      <c r="F94" s="1190"/>
      <c r="G94" s="1188"/>
      <c r="H94" s="1189"/>
      <c r="I94" s="1189"/>
      <c r="J94" s="1189"/>
      <c r="K94" s="1189"/>
      <c r="L94" s="1189"/>
      <c r="M94" s="1189"/>
      <c r="N94" s="1189"/>
      <c r="O94" s="1189"/>
      <c r="P94" s="1189"/>
      <c r="Q94" s="1189"/>
      <c r="T94" s="1321" t="s">
        <v>383</v>
      </c>
      <c r="U94" s="407"/>
      <c r="V94" s="1322"/>
      <c r="W94" s="1322"/>
      <c r="X94" s="1322"/>
      <c r="Y94" s="1323"/>
      <c r="Z94" s="1322"/>
      <c r="AA94" s="407"/>
      <c r="AB94" s="1324"/>
      <c r="AC94" s="1325">
        <f>K123+K129</f>
        <v>0</v>
      </c>
      <c r="AD94" s="1325">
        <f>L123+L129</f>
        <v>0</v>
      </c>
      <c r="AE94" s="1325">
        <f>M123+M129</f>
        <v>0</v>
      </c>
      <c r="AF94" s="1325">
        <f>N123+N129</f>
        <v>0</v>
      </c>
      <c r="AG94" s="1325">
        <f>O123+O129</f>
        <v>0</v>
      </c>
      <c r="AH94" s="407"/>
    </row>
    <row r="95" spans="1:34">
      <c r="A95" s="1182"/>
      <c r="C95" s="1227" t="s">
        <v>620</v>
      </c>
      <c r="D95" s="1326"/>
      <c r="E95" s="1326"/>
      <c r="F95" s="1327"/>
      <c r="G95" s="1327"/>
      <c r="M95" s="1242"/>
      <c r="N95" s="1242"/>
      <c r="O95" s="1242"/>
      <c r="P95" s="1242"/>
      <c r="Q95" s="1242"/>
      <c r="T95" s="1328"/>
      <c r="U95" s="1321"/>
      <c r="V95" s="1322"/>
      <c r="W95" s="1322"/>
      <c r="X95" s="1329"/>
      <c r="Y95" s="1323"/>
      <c r="Z95" s="1322"/>
      <c r="AA95" s="1324"/>
      <c r="AB95" s="1324"/>
      <c r="AC95" s="1324"/>
      <c r="AD95" s="1324"/>
      <c r="AE95" s="1324"/>
      <c r="AF95" s="1324"/>
      <c r="AG95" s="407"/>
      <c r="AH95" s="407"/>
    </row>
    <row r="96" spans="1:34" ht="14.4" thickBot="1">
      <c r="A96" s="1182"/>
      <c r="C96" s="1330" t="s">
        <v>344</v>
      </c>
      <c r="D96" s="1326"/>
      <c r="E96" s="1326"/>
      <c r="F96" s="1331"/>
      <c r="G96" s="1331"/>
      <c r="M96" s="1246">
        <v>2024</v>
      </c>
      <c r="N96" s="1246">
        <f>M96+1</f>
        <v>2025</v>
      </c>
      <c r="O96" s="1246">
        <f>N96+1</f>
        <v>2026</v>
      </c>
      <c r="P96" s="1246">
        <f>O96+1</f>
        <v>2027</v>
      </c>
      <c r="Q96" s="1246">
        <f>P96+1</f>
        <v>2028</v>
      </c>
      <c r="T96" s="1328"/>
      <c r="U96" s="1322" t="s">
        <v>397</v>
      </c>
      <c r="V96" s="407"/>
      <c r="W96" s="1332">
        <v>0.15</v>
      </c>
      <c r="X96" s="1329"/>
      <c r="Y96" s="1323"/>
      <c r="Z96" s="1322"/>
      <c r="AA96" s="1322"/>
      <c r="AB96" s="1324"/>
      <c r="AC96" s="1324"/>
      <c r="AD96" s="1324"/>
      <c r="AE96" s="1324"/>
      <c r="AF96" s="1324"/>
      <c r="AG96" s="407"/>
      <c r="AH96" s="407"/>
    </row>
    <row r="97" spans="1:34">
      <c r="A97" s="1182"/>
      <c r="C97" s="1333"/>
      <c r="D97" s="407"/>
      <c r="E97" s="407"/>
      <c r="F97" s="1334"/>
      <c r="G97" s="1334"/>
      <c r="H97" s="1334"/>
      <c r="I97" s="1334"/>
      <c r="J97" s="1334"/>
      <c r="K97" s="1335"/>
      <c r="L97" s="1336"/>
      <c r="T97" s="1328"/>
      <c r="U97" s="1321"/>
      <c r="V97" s="407"/>
      <c r="W97" s="1329"/>
      <c r="X97" s="1329"/>
      <c r="Y97" s="1323"/>
      <c r="Z97" s="1322"/>
      <c r="AA97" s="1322"/>
      <c r="AB97" s="1324"/>
      <c r="AC97" s="1324"/>
      <c r="AD97" s="1324"/>
      <c r="AE97" s="1324"/>
      <c r="AF97" s="1324"/>
      <c r="AG97" s="407"/>
      <c r="AH97" s="407"/>
    </row>
    <row r="98" spans="1:34">
      <c r="C98" s="1337" t="s">
        <v>367</v>
      </c>
      <c r="N98" s="1338">
        <f>N99/M99-1</f>
        <v>0.15930434782608693</v>
      </c>
      <c r="O98" s="1338">
        <f>O99/N99-1</f>
        <v>0.13636363636363646</v>
      </c>
      <c r="P98" s="1338">
        <f>P99/O99-1</f>
        <v>0.12666666666666693</v>
      </c>
      <c r="Q98" s="1338">
        <f>Q99/P99-1</f>
        <v>0.11834319526627213</v>
      </c>
      <c r="T98" s="407"/>
      <c r="U98" s="1339" t="s">
        <v>402</v>
      </c>
      <c r="V98" s="407"/>
      <c r="W98" s="1340">
        <f>XNPV($W$96,AC100:AH100,Model!J619:O619)</f>
        <v>361652.22895491286</v>
      </c>
      <c r="X98" s="1329"/>
      <c r="Y98" s="407"/>
      <c r="Z98" s="407"/>
      <c r="AA98" s="1341" t="s">
        <v>83</v>
      </c>
      <c r="AB98" s="407"/>
      <c r="AC98" s="1342">
        <f>-1</f>
        <v>-1</v>
      </c>
      <c r="AD98" s="1324"/>
      <c r="AE98" s="1324"/>
      <c r="AF98" s="1324"/>
      <c r="AG98" s="1324"/>
      <c r="AH98" s="1324"/>
    </row>
    <row r="99" spans="1:34">
      <c r="C99" s="1343" t="s">
        <v>0</v>
      </c>
      <c r="M99" s="1344">
        <f>Model!K106</f>
        <v>138000</v>
      </c>
      <c r="N99" s="1344">
        <f>Model!L106</f>
        <v>159984</v>
      </c>
      <c r="O99" s="1344">
        <f>Model!M106</f>
        <v>181800</v>
      </c>
      <c r="P99" s="1344">
        <f>Model!N106</f>
        <v>204828.00000000003</v>
      </c>
      <c r="Q99" s="1344">
        <f>Model!O106</f>
        <v>229068.00000000003</v>
      </c>
      <c r="T99" s="407"/>
      <c r="U99" s="1345"/>
      <c r="V99" s="407"/>
      <c r="W99" s="1323"/>
      <c r="X99" s="1329"/>
      <c r="Y99" s="407"/>
      <c r="Z99" s="407"/>
      <c r="AA99" s="1341" t="s">
        <v>403</v>
      </c>
      <c r="AB99" s="407"/>
      <c r="AC99" s="1324"/>
      <c r="AD99" s="1324">
        <f>Model!K639</f>
        <v>42538.403166203083</v>
      </c>
      <c r="AE99" s="1324">
        <f>Model!L639</f>
        <v>76804.916638504204</v>
      </c>
      <c r="AF99" s="1324">
        <f>Model!M639</f>
        <v>96636.219071827683</v>
      </c>
      <c r="AG99" s="1324">
        <f>Model!N639</f>
        <v>119096.50908990699</v>
      </c>
      <c r="AH99" s="1324">
        <f>Model!O639</f>
        <v>144105.17675908277</v>
      </c>
    </row>
    <row r="100" spans="1:34">
      <c r="C100" s="1343" t="s">
        <v>26</v>
      </c>
      <c r="M100" s="1344">
        <f>Model!K112</f>
        <v>95953.828125</v>
      </c>
      <c r="N100" s="1344">
        <f>Model!L112</f>
        <v>113739.2109375</v>
      </c>
      <c r="O100" s="1344">
        <f>Model!M112</f>
        <v>131482.29375000001</v>
      </c>
      <c r="P100" s="1344">
        <f>Model!N112</f>
        <v>151041.86156250004</v>
      </c>
      <c r="Q100" s="1344">
        <f>Model!O112</f>
        <v>171941.15977500004</v>
      </c>
      <c r="T100" s="407"/>
      <c r="U100" s="1339" t="s">
        <v>404</v>
      </c>
      <c r="V100" s="1322"/>
      <c r="W100" s="1346">
        <f>XIRR(AC100:AH100,Model!J619:O619)</f>
        <v>119344.12734375001</v>
      </c>
      <c r="X100" s="1329"/>
      <c r="Y100" s="407"/>
      <c r="Z100" s="407"/>
      <c r="AA100" s="1322"/>
      <c r="AB100" s="407"/>
      <c r="AC100" s="1347">
        <f t="shared" ref="AC100:AH100" si="0">SUM(AC98:AC99)</f>
        <v>-1</v>
      </c>
      <c r="AD100" s="1347">
        <f t="shared" si="0"/>
        <v>42538.403166203083</v>
      </c>
      <c r="AE100" s="1347">
        <f t="shared" si="0"/>
        <v>76804.916638504204</v>
      </c>
      <c r="AF100" s="1347">
        <f t="shared" si="0"/>
        <v>96636.219071827683</v>
      </c>
      <c r="AG100" s="1347">
        <f t="shared" si="0"/>
        <v>119096.50908990699</v>
      </c>
      <c r="AH100" s="1347">
        <f t="shared" si="0"/>
        <v>144105.17675908277</v>
      </c>
    </row>
    <row r="101" spans="1:34">
      <c r="C101" s="1348" t="s">
        <v>368</v>
      </c>
      <c r="M101" s="1338">
        <f>M100/M99</f>
        <v>0.69531759510869562</v>
      </c>
      <c r="N101" s="1338">
        <f>N100/N99</f>
        <v>0.71094116247562256</v>
      </c>
      <c r="O101" s="1338">
        <f>O100/O99</f>
        <v>0.72322493811881194</v>
      </c>
      <c r="P101" s="1338">
        <f>P100/P99</f>
        <v>0.73740827212344029</v>
      </c>
      <c r="Q101" s="1338">
        <f>Q100/Q99</f>
        <v>0.75061186972863958</v>
      </c>
      <c r="T101" s="1328"/>
      <c r="U101" s="407"/>
      <c r="V101" s="407"/>
      <c r="W101" s="1349"/>
      <c r="X101" s="1334"/>
      <c r="Y101" s="1334"/>
      <c r="Z101" s="407"/>
      <c r="AA101" s="407"/>
      <c r="AB101" s="407"/>
      <c r="AC101" s="1334"/>
      <c r="AD101" s="1334"/>
      <c r="AE101" s="1334"/>
      <c r="AF101" s="1335"/>
      <c r="AG101" s="1336"/>
      <c r="AH101" s="407"/>
    </row>
    <row r="102" spans="1:34">
      <c r="C102" s="1343" t="s">
        <v>32</v>
      </c>
      <c r="M102" s="1344">
        <f>Model!K127</f>
        <v>64821.089274024998</v>
      </c>
      <c r="N102" s="1344">
        <f>Model!L127</f>
        <v>78340.664423686365</v>
      </c>
      <c r="O102" s="1344">
        <f>Model!M127</f>
        <v>92396.502343733941</v>
      </c>
      <c r="P102" s="1344">
        <f>Model!N127</f>
        <v>108321.74920077607</v>
      </c>
      <c r="Q102" s="1344">
        <f>Model!O127</f>
        <v>125847.98172591676</v>
      </c>
      <c r="T102" s="411" t="s">
        <v>405</v>
      </c>
      <c r="U102" s="407"/>
      <c r="V102" s="407"/>
      <c r="W102" s="407"/>
      <c r="X102" s="1350"/>
      <c r="Y102" s="407"/>
      <c r="Z102" s="407"/>
      <c r="AA102" s="407"/>
      <c r="AB102" s="407"/>
      <c r="AC102" s="407"/>
      <c r="AD102" s="407"/>
      <c r="AE102" s="407"/>
      <c r="AF102" s="407"/>
      <c r="AG102" s="407"/>
      <c r="AH102" s="407"/>
    </row>
    <row r="103" spans="1:34">
      <c r="C103" s="1348" t="s">
        <v>369</v>
      </c>
      <c r="M103" s="1338">
        <f>M102/M99</f>
        <v>0.46971803821757246</v>
      </c>
      <c r="N103" s="1338">
        <f>N102/N99</f>
        <v>0.4896781204600858</v>
      </c>
      <c r="O103" s="1338">
        <f>O102/O99</f>
        <v>0.50823158604914154</v>
      </c>
      <c r="P103" s="1338">
        <f>P102/P99</f>
        <v>0.52884248833546221</v>
      </c>
      <c r="Q103" s="1338">
        <f>Q102/Q99</f>
        <v>0.54939136730541471</v>
      </c>
      <c r="T103" s="407"/>
      <c r="U103" s="407" t="s">
        <v>406</v>
      </c>
      <c r="V103" s="407"/>
      <c r="W103" s="407"/>
      <c r="X103" s="1350"/>
      <c r="Y103" s="407"/>
      <c r="Z103" s="407"/>
      <c r="AA103" s="407"/>
      <c r="AB103" s="407"/>
      <c r="AC103" s="1351">
        <f>AC100</f>
        <v>-1</v>
      </c>
      <c r="AD103" s="1351">
        <f>AC103+AD100</f>
        <v>42537.403166203083</v>
      </c>
      <c r="AE103" s="1351">
        <f>AD103+AE100</f>
        <v>119342.31980470728</v>
      </c>
      <c r="AF103" s="1351">
        <f>AE103+AF100</f>
        <v>215978.53887653496</v>
      </c>
      <c r="AG103" s="1351">
        <f>AF103+AG100</f>
        <v>335075.04796644195</v>
      </c>
      <c r="AH103" s="1351">
        <f>AG103+AH100</f>
        <v>479180.22472552472</v>
      </c>
    </row>
    <row r="104" spans="1:34">
      <c r="T104" s="407"/>
      <c r="U104" s="1339" t="s">
        <v>407</v>
      </c>
      <c r="V104" s="407"/>
      <c r="W104" s="1352">
        <f>MAX(AC104:AH104)</f>
        <v>1</v>
      </c>
      <c r="X104" s="1350"/>
      <c r="Y104" s="407"/>
      <c r="Z104" s="407"/>
      <c r="AA104" s="407"/>
      <c r="AB104" s="407"/>
      <c r="AC104" s="1351">
        <f>IF(AC103&lt;0,1,0)</f>
        <v>1</v>
      </c>
      <c r="AD104" s="1351">
        <f>AC104+IF(AD103&lt;0,1,0)</f>
        <v>1</v>
      </c>
      <c r="AE104" s="1351">
        <f>AD104+IF(AE103&lt;0,1,0)</f>
        <v>1</v>
      </c>
      <c r="AF104" s="1351">
        <f>AE104+IF(AF103&lt;0,1,0)</f>
        <v>1</v>
      </c>
      <c r="AG104" s="1351">
        <f>AF104+IF(AG103&lt;0,1,0)</f>
        <v>1</v>
      </c>
      <c r="AH104" s="1351">
        <f>AG104+IF(AH103&lt;0,1,0)</f>
        <v>1</v>
      </c>
    </row>
    <row r="105" spans="1:34">
      <c r="C105" s="1337" t="s">
        <v>370</v>
      </c>
      <c r="T105" s="407"/>
      <c r="U105" s="407"/>
      <c r="V105" s="407"/>
      <c r="W105" s="407"/>
      <c r="X105" s="1350"/>
      <c r="Y105" s="407"/>
      <c r="Z105" s="407"/>
      <c r="AA105" s="407"/>
      <c r="AB105" s="407"/>
      <c r="AC105" s="407"/>
      <c r="AD105" s="407"/>
      <c r="AE105" s="407"/>
      <c r="AF105" s="407"/>
      <c r="AG105" s="407"/>
      <c r="AH105" s="407"/>
    </row>
    <row r="106" spans="1:34">
      <c r="C106" s="1343" t="s">
        <v>371</v>
      </c>
      <c r="M106" s="1344">
        <f>Model!K141</f>
        <v>59342.717861009325</v>
      </c>
      <c r="N106" s="1344">
        <f>Model!L141</f>
        <v>82210.391945139927</v>
      </c>
      <c r="O106" s="1344">
        <f>Model!M141</f>
        <v>97739.468230712708</v>
      </c>
      <c r="P106" s="1344">
        <f>Model!N141</f>
        <v>114964.77701249304</v>
      </c>
      <c r="Q106" s="1344">
        <f>Model!O141</f>
        <v>133736.01233738268</v>
      </c>
      <c r="T106" s="407"/>
      <c r="U106" s="1353" t="s">
        <v>408</v>
      </c>
      <c r="V106" s="407"/>
      <c r="W106" s="1354" t="s">
        <v>409</v>
      </c>
      <c r="X106" s="1350"/>
      <c r="Y106" s="407"/>
      <c r="Z106" s="407"/>
      <c r="AA106" s="407"/>
      <c r="AB106" s="407"/>
      <c r="AC106" s="407"/>
      <c r="AD106" s="1338"/>
      <c r="AE106" s="1338"/>
      <c r="AF106" s="1338"/>
      <c r="AG106" s="1338"/>
      <c r="AH106" s="1338"/>
    </row>
    <row r="107" spans="1:34">
      <c r="C107" s="1343" t="s">
        <v>372</v>
      </c>
      <c r="M107" s="1344">
        <f>Model!K145</f>
        <v>-17136.360096249999</v>
      </c>
      <c r="N107" s="1344">
        <f>Model!L145</f>
        <v>-8568.1800481249993</v>
      </c>
      <c r="O107" s="1344">
        <f>Model!M145</f>
        <v>-8568.1800481249993</v>
      </c>
      <c r="P107" s="1344">
        <f>Model!N145</f>
        <v>-8568.1800481249993</v>
      </c>
      <c r="Q107" s="1344">
        <f>Model!O145</f>
        <v>-8568.1800481249993</v>
      </c>
    </row>
    <row r="108" spans="1:34">
      <c r="C108" s="1343" t="s">
        <v>373</v>
      </c>
      <c r="M108" s="1355">
        <f>Model!K154</f>
        <v>16737.860096249999</v>
      </c>
      <c r="N108" s="1355">
        <f>Model!L154</f>
        <v>0</v>
      </c>
      <c r="O108" s="1355">
        <f>Model!M154</f>
        <v>0</v>
      </c>
      <c r="P108" s="1355">
        <f>Model!N154</f>
        <v>0</v>
      </c>
      <c r="Q108" s="1355">
        <f>Model!O154</f>
        <v>0</v>
      </c>
      <c r="T108" s="1276"/>
      <c r="U108" s="1277"/>
      <c r="V108" s="1278"/>
    </row>
    <row r="109" spans="1:34">
      <c r="C109" s="1343" t="s">
        <v>121</v>
      </c>
      <c r="M109" s="1344">
        <f>SUM(M106:M108)</f>
        <v>58944.217861009325</v>
      </c>
      <c r="N109" s="1344">
        <f>SUM(N106:N108)</f>
        <v>73642.211897014931</v>
      </c>
      <c r="O109" s="1344">
        <f>SUM(O106:O108)</f>
        <v>89171.288182587712</v>
      </c>
      <c r="P109" s="1344">
        <f>SUM(P106:P108)</f>
        <v>106396.59696436804</v>
      </c>
      <c r="Q109" s="1344">
        <f>SUM(Q106:Q108)</f>
        <v>125167.83228925768</v>
      </c>
      <c r="T109" s="1276"/>
      <c r="U109" s="1277"/>
      <c r="V109" s="1278"/>
    </row>
    <row r="110" spans="1:34">
      <c r="T110" s="1276"/>
      <c r="U110" s="1277"/>
      <c r="V110" s="1278"/>
    </row>
    <row r="111" spans="1:34">
      <c r="C111" s="1267"/>
      <c r="I111" s="1267"/>
      <c r="O111" s="1252"/>
      <c r="T111" s="1276"/>
      <c r="U111" s="1277"/>
      <c r="V111" s="1278"/>
    </row>
    <row r="112" spans="1:34" ht="14.4" thickBot="1">
      <c r="C112" s="1272" t="s">
        <v>374</v>
      </c>
      <c r="D112" s="1273"/>
      <c r="E112" s="1273"/>
      <c r="F112" s="1272"/>
      <c r="G112" s="1273"/>
      <c r="H112" s="1273"/>
      <c r="I112" s="1273"/>
      <c r="L112" s="1272" t="s">
        <v>375</v>
      </c>
      <c r="M112" s="1273"/>
      <c r="N112" s="1273"/>
      <c r="O112" s="1272"/>
      <c r="P112" s="1273"/>
      <c r="Q112" s="1273"/>
      <c r="T112" s="1276"/>
      <c r="U112" s="1277"/>
      <c r="V112" s="1278"/>
    </row>
    <row r="113" spans="20:22">
      <c r="T113" s="1276"/>
      <c r="U113" s="1277"/>
      <c r="V113" s="1278"/>
    </row>
    <row r="114" spans="20:22">
      <c r="T114" s="1276"/>
      <c r="U114" s="1277"/>
      <c r="V114" s="1278"/>
    </row>
    <row r="115" spans="20:22">
      <c r="T115" s="1276"/>
      <c r="U115" s="1277"/>
      <c r="V115" s="1278"/>
    </row>
    <row r="116" spans="20:22">
      <c r="T116" s="1276"/>
      <c r="U116" s="1277"/>
      <c r="V116" s="1278"/>
    </row>
    <row r="117" spans="20:22">
      <c r="T117" s="1276"/>
      <c r="U117" s="1277"/>
      <c r="V117" s="1278"/>
    </row>
    <row r="118" spans="20:22">
      <c r="T118" s="1276"/>
      <c r="U118" s="1277"/>
      <c r="V118" s="1278"/>
    </row>
    <row r="119" spans="20:22">
      <c r="T119" s="1276"/>
      <c r="U119" s="1277"/>
      <c r="V119" s="1278"/>
    </row>
    <row r="120" spans="20:22">
      <c r="T120" s="1276"/>
      <c r="U120" s="1277"/>
      <c r="V120" s="1278"/>
    </row>
    <row r="121" spans="20:22">
      <c r="T121" s="1276"/>
      <c r="U121" s="1277"/>
      <c r="V121" s="1278"/>
    </row>
    <row r="122" spans="20:22">
      <c r="T122" s="1276"/>
      <c r="U122" s="1277"/>
      <c r="V122" s="1278"/>
    </row>
    <row r="123" spans="20:22">
      <c r="T123" s="1276"/>
      <c r="U123" s="1277"/>
      <c r="V123" s="1278"/>
    </row>
    <row r="124" spans="20:22">
      <c r="T124" s="1276"/>
      <c r="U124" s="1277"/>
      <c r="V124" s="1278"/>
    </row>
    <row r="125" spans="20:22">
      <c r="T125" s="1276"/>
      <c r="U125" s="1277"/>
      <c r="V125" s="1278"/>
    </row>
    <row r="126" spans="20:22">
      <c r="T126" s="1276"/>
      <c r="U126" s="1277"/>
      <c r="V126" s="1278"/>
    </row>
    <row r="127" spans="20:22">
      <c r="T127" s="1276"/>
      <c r="U127" s="1277"/>
      <c r="V127" s="1278"/>
    </row>
    <row r="128" spans="20:22">
      <c r="T128" s="1276"/>
      <c r="U128" s="1277"/>
      <c r="V128" s="1278"/>
    </row>
    <row r="129" spans="1:27">
      <c r="T129" s="1276"/>
      <c r="U129" s="1277"/>
      <c r="V129" s="1278"/>
    </row>
    <row r="130" spans="1:27">
      <c r="A130" s="1177" t="s">
        <v>80</v>
      </c>
      <c r="S130" s="1225"/>
      <c r="X130" s="1280"/>
      <c r="Y130" s="1258"/>
      <c r="Z130" s="1280"/>
      <c r="AA130" s="1258"/>
    </row>
    <row r="131" spans="1:27" hidden="1" outlineLevel="1">
      <c r="N131" s="1281" t="str">
        <f>$C$17</f>
        <v>Model Running: Base Case Drivers</v>
      </c>
    </row>
    <row r="132" spans="1:27" ht="14.4" hidden="1" outlineLevel="1" thickBot="1">
      <c r="D132" s="1272" t="s">
        <v>444</v>
      </c>
      <c r="E132" s="1273"/>
      <c r="F132" s="1273"/>
      <c r="G132" s="1272"/>
      <c r="H132" s="1273"/>
      <c r="I132" s="1273"/>
      <c r="J132" s="1196"/>
      <c r="N132" s="1228" t="s">
        <v>361</v>
      </c>
      <c r="O132" s="1229"/>
      <c r="P132" s="1230"/>
      <c r="Q132" s="1230"/>
      <c r="X132" s="1282"/>
    </row>
    <row r="133" spans="1:27" hidden="1" outlineLevel="1">
      <c r="D133" s="1196"/>
      <c r="E133" s="1283" t="s">
        <v>361</v>
      </c>
      <c r="F133" s="1283"/>
      <c r="G133" s="1283"/>
      <c r="H133" s="1283"/>
      <c r="I133" s="1283"/>
      <c r="J133" s="1196"/>
      <c r="N133" s="1232"/>
      <c r="O133" s="1233"/>
      <c r="P133" s="1233"/>
      <c r="Q133" s="1233"/>
      <c r="X133" s="1282"/>
    </row>
    <row r="134" spans="1:27" ht="14.4" hidden="1" outlineLevel="1" thickBot="1">
      <c r="D134" s="1284">
        <f>$O$21</f>
        <v>53.728278691298257</v>
      </c>
      <c r="E134" s="1285">
        <f>F134-0.5</f>
        <v>2.9</v>
      </c>
      <c r="F134" s="1285">
        <f>G134-0.5</f>
        <v>3.4</v>
      </c>
      <c r="G134" s="1286">
        <v>3.9</v>
      </c>
      <c r="H134" s="1285">
        <f>G134+0.1</f>
        <v>4</v>
      </c>
      <c r="I134" s="1285">
        <f>H134+0.1</f>
        <v>4.0999999999999996</v>
      </c>
      <c r="J134" s="1196"/>
      <c r="N134" s="1287">
        <f>W143</f>
        <v>3.9</v>
      </c>
      <c r="O134" s="1237"/>
      <c r="P134" s="1238"/>
      <c r="Q134" s="1238"/>
      <c r="T134" s="1256" t="s">
        <v>100</v>
      </c>
      <c r="U134" s="1256"/>
      <c r="V134" s="1256"/>
      <c r="W134" s="1257"/>
    </row>
    <row r="135" spans="1:27" hidden="1" outlineLevel="1">
      <c r="C135" s="1418" t="s">
        <v>357</v>
      </c>
      <c r="D135" s="1288">
        <f>D136-300000</f>
        <v>5900000</v>
      </c>
      <c r="E135" s="1289">
        <v>9.846311825749309</v>
      </c>
      <c r="F135" s="1290">
        <v>9.7646433778580501</v>
      </c>
      <c r="G135" s="1290">
        <v>9.6829749299591317</v>
      </c>
      <c r="H135" s="1290">
        <v>9.666641240375041</v>
      </c>
      <c r="I135" s="1290">
        <v>9.650307550795258</v>
      </c>
      <c r="J135" s="1291"/>
      <c r="K135" s="1418"/>
      <c r="X135" s="1291"/>
    </row>
    <row r="136" spans="1:27" hidden="1" outlineLevel="1">
      <c r="C136" s="1419"/>
      <c r="D136" s="1288">
        <f>D137-300000</f>
        <v>6200000</v>
      </c>
      <c r="E136" s="1290">
        <v>9.8222265487044158</v>
      </c>
      <c r="F136" s="1292">
        <v>9.7364054668462696</v>
      </c>
      <c r="G136" s="1292">
        <v>9.650584384974934</v>
      </c>
      <c r="H136" s="1292">
        <v>9.6334201685961407</v>
      </c>
      <c r="I136" s="1292">
        <v>9.6162559522218753</v>
      </c>
      <c r="J136" s="1291"/>
      <c r="K136" s="1419"/>
      <c r="T136" s="1293" t="s">
        <v>101</v>
      </c>
      <c r="U136" s="1294"/>
      <c r="V136" s="1294"/>
      <c r="W136" s="1295">
        <f>Transaction!C68</f>
        <v>0</v>
      </c>
      <c r="X136" s="1291"/>
    </row>
    <row r="137" spans="1:27" ht="14.4" hidden="1" outlineLevel="1" thickBot="1">
      <c r="C137" s="1419"/>
      <c r="D137" s="1296">
        <v>6500000</v>
      </c>
      <c r="E137" s="1290">
        <v>9.7981412716644183</v>
      </c>
      <c r="F137" s="1292">
        <v>9.7081675558344891</v>
      </c>
      <c r="G137" s="1297">
        <v>9.6181938399907363</v>
      </c>
      <c r="H137" s="1292">
        <v>9.6001990968172404</v>
      </c>
      <c r="I137" s="1292">
        <v>9.5822043536484909</v>
      </c>
      <c r="J137" s="1291"/>
      <c r="K137" s="1419"/>
      <c r="N137" s="1228" t="s">
        <v>376</v>
      </c>
      <c r="O137" s="1229"/>
      <c r="P137" s="1230"/>
      <c r="Q137" s="1230"/>
      <c r="T137" s="1293" t="s">
        <v>102</v>
      </c>
      <c r="U137" s="1294"/>
      <c r="V137" s="1294"/>
      <c r="W137" s="1295">
        <f>Transaction!C69</f>
        <v>0</v>
      </c>
    </row>
    <row r="138" spans="1:27" hidden="1" outlineLevel="1">
      <c r="C138" s="1419"/>
      <c r="D138" s="1288">
        <f>D137+300000</f>
        <v>6800000</v>
      </c>
      <c r="E138" s="1290">
        <v>9.7740559946244208</v>
      </c>
      <c r="F138" s="1292">
        <v>9.6799296448227103</v>
      </c>
      <c r="G138" s="1292">
        <v>9.5858032950065404</v>
      </c>
      <c r="H138" s="1292">
        <v>9.5669780250383418</v>
      </c>
      <c r="I138" s="1292">
        <v>9.5481527550751064</v>
      </c>
      <c r="J138" s="1291"/>
      <c r="K138" s="1419"/>
      <c r="N138" s="1232"/>
      <c r="O138" s="1233"/>
      <c r="P138" s="1233"/>
      <c r="Q138" s="1233"/>
      <c r="T138" s="1298" t="s">
        <v>292</v>
      </c>
      <c r="U138" s="1299"/>
      <c r="V138" s="1299"/>
      <c r="W138" s="1300">
        <f>Transaction!I70</f>
        <v>0</v>
      </c>
    </row>
    <row r="139" spans="1:27" hidden="1" outlineLevel="1">
      <c r="C139" s="1419"/>
      <c r="D139" s="1288">
        <f>D138+300000</f>
        <v>7100000</v>
      </c>
      <c r="E139" s="1290">
        <v>9.749970717584425</v>
      </c>
      <c r="F139" s="1292">
        <v>9.6516917338109298</v>
      </c>
      <c r="G139" s="1292">
        <v>9.5534127500223427</v>
      </c>
      <c r="H139" s="1292">
        <v>9.5337569532594415</v>
      </c>
      <c r="I139" s="1292">
        <v>9.5141011565017255</v>
      </c>
      <c r="J139" s="1291"/>
      <c r="K139" s="1419"/>
      <c r="N139" s="1301" t="e">
        <f>AVERAGE(Inputs!#REF!)</f>
        <v>#REF!</v>
      </c>
      <c r="O139" s="1302"/>
      <c r="P139" s="1303"/>
      <c r="Q139" s="1303"/>
      <c r="T139" s="1298" t="s">
        <v>293</v>
      </c>
      <c r="U139" s="1299"/>
      <c r="V139" s="1299"/>
      <c r="W139" s="1300" t="str">
        <f>Transaction!I71</f>
        <v>N/A</v>
      </c>
    </row>
    <row r="140" spans="1:27" hidden="1" outlineLevel="1"/>
    <row r="141" spans="1:27" hidden="1" outlineLevel="1"/>
    <row r="142" spans="1:27" ht="14.4" hidden="1" outlineLevel="1" thickBot="1">
      <c r="D142" s="1272" t="s">
        <v>445</v>
      </c>
      <c r="E142" s="1273"/>
      <c r="F142" s="1273"/>
      <c r="G142" s="1272"/>
      <c r="H142" s="1273"/>
      <c r="I142" s="1273"/>
      <c r="J142" s="1196"/>
      <c r="N142" s="1228" t="s">
        <v>443</v>
      </c>
      <c r="O142" s="1229"/>
      <c r="P142" s="1230"/>
      <c r="Q142" s="1230"/>
    </row>
    <row r="143" spans="1:27" hidden="1" outlineLevel="1">
      <c r="D143" s="1196"/>
      <c r="E143" s="1283" t="s">
        <v>361</v>
      </c>
      <c r="F143" s="1283"/>
      <c r="G143" s="1304"/>
      <c r="H143" s="1283"/>
      <c r="I143" s="1283"/>
      <c r="J143" s="1196"/>
      <c r="N143" s="1232"/>
      <c r="O143" s="1233"/>
      <c r="P143" s="1233"/>
      <c r="Q143" s="1233"/>
      <c r="T143" s="1177" t="s">
        <v>362</v>
      </c>
      <c r="W143" s="1305">
        <v>3.9</v>
      </c>
    </row>
    <row r="144" spans="1:27" hidden="1" outlineLevel="1">
      <c r="D144" s="1306">
        <f>$W$98</f>
        <v>361652.22895491286</v>
      </c>
      <c r="E144" s="1285">
        <f>F144-0.5</f>
        <v>2.9</v>
      </c>
      <c r="F144" s="1285">
        <f>G144-0.5</f>
        <v>3.4</v>
      </c>
      <c r="G144" s="1286">
        <v>3.9</v>
      </c>
      <c r="H144" s="1285">
        <f>G144+0.1</f>
        <v>4</v>
      </c>
      <c r="I144" s="1285">
        <f>H144+0.1</f>
        <v>4.0999999999999996</v>
      </c>
      <c r="J144" s="1307"/>
      <c r="K144" s="1308"/>
      <c r="N144" s="1309">
        <f>W164</f>
        <v>0</v>
      </c>
      <c r="O144" s="1239"/>
      <c r="P144" s="1239"/>
      <c r="Q144" s="1239"/>
      <c r="T144" s="1177" t="s">
        <v>363</v>
      </c>
      <c r="W144" s="1310">
        <v>6500000</v>
      </c>
    </row>
    <row r="145" spans="2:23" hidden="1" outlineLevel="1">
      <c r="C145" s="1418" t="s">
        <v>357</v>
      </c>
      <c r="D145" s="1288">
        <f>D146-300000</f>
        <v>5900000</v>
      </c>
      <c r="E145" s="1311">
        <v>1536555.9800347718</v>
      </c>
      <c r="F145" s="1312">
        <v>1563357.1735661493</v>
      </c>
      <c r="G145" s="1312">
        <v>1590158.3670901326</v>
      </c>
      <c r="H145" s="1312">
        <v>1595518.6057985148</v>
      </c>
      <c r="I145" s="1312">
        <v>1600878.8445033117</v>
      </c>
      <c r="J145" s="1196"/>
      <c r="K145" s="1418"/>
      <c r="T145" s="1177" t="s">
        <v>364</v>
      </c>
      <c r="W145" s="1200">
        <f>Model!K186</f>
        <v>-257.04540144374914</v>
      </c>
    </row>
    <row r="146" spans="2:23" hidden="1" outlineLevel="1">
      <c r="C146" s="1419"/>
      <c r="D146" s="1288">
        <f>D147-300000</f>
        <v>6200000</v>
      </c>
      <c r="E146" s="1312">
        <v>1540487.853118479</v>
      </c>
      <c r="F146" s="1313">
        <v>1568651.8192025304</v>
      </c>
      <c r="G146" s="1313">
        <v>1596815.7852785811</v>
      </c>
      <c r="H146" s="1313">
        <v>1602448.5784975591</v>
      </c>
      <c r="I146" s="1313">
        <v>1608081.3717127691</v>
      </c>
      <c r="J146" s="1196"/>
      <c r="K146" s="1419"/>
      <c r="T146" s="1177" t="s">
        <v>365</v>
      </c>
      <c r="W146" s="1314" t="e">
        <f>AVERAGE(Model!K200:'Model'!O200)</f>
        <v>#DIV/0!</v>
      </c>
    </row>
    <row r="147" spans="2:23" ht="14.4" hidden="1" outlineLevel="1" thickBot="1">
      <c r="C147" s="1419"/>
      <c r="D147" s="1296">
        <v>6500000</v>
      </c>
      <c r="E147" s="1312">
        <v>1544419.7262024148</v>
      </c>
      <c r="F147" s="1313">
        <v>1573946.4648389118</v>
      </c>
      <c r="G147" s="1315">
        <v>1603473.2034670294</v>
      </c>
      <c r="H147" s="1313">
        <v>1609378.5511966036</v>
      </c>
      <c r="I147" s="1313">
        <v>1615283.8989222266</v>
      </c>
      <c r="K147" s="1419"/>
      <c r="N147" s="1228" t="s">
        <v>400</v>
      </c>
      <c r="O147" s="1229"/>
      <c r="P147" s="1230"/>
      <c r="Q147" s="1230"/>
      <c r="T147" s="1177" t="s">
        <v>10</v>
      </c>
      <c r="W147" s="1316">
        <v>0</v>
      </c>
    </row>
    <row r="148" spans="2:23" hidden="1" outlineLevel="1">
      <c r="C148" s="1419"/>
      <c r="D148" s="1288">
        <f>D147+300000</f>
        <v>6800000</v>
      </c>
      <c r="E148" s="1312">
        <v>1548351.5992863507</v>
      </c>
      <c r="F148" s="1313">
        <v>1579241.1104752934</v>
      </c>
      <c r="G148" s="1313">
        <v>1610130.6216554779</v>
      </c>
      <c r="H148" s="1313">
        <v>1616308.5238956471</v>
      </c>
      <c r="I148" s="1313">
        <v>1622486.4261316839</v>
      </c>
      <c r="J148" s="1196"/>
      <c r="K148" s="1419"/>
      <c r="N148" s="1232"/>
      <c r="O148" s="1233"/>
      <c r="P148" s="1233"/>
      <c r="Q148" s="1233"/>
    </row>
    <row r="149" spans="2:23" hidden="1" outlineLevel="1">
      <c r="C149" s="1419"/>
      <c r="D149" s="1288">
        <f>D148+300000</f>
        <v>7100000</v>
      </c>
      <c r="E149" s="1312">
        <v>1552283.472370286</v>
      </c>
      <c r="F149" s="1313">
        <v>1584535.7561116749</v>
      </c>
      <c r="G149" s="1313">
        <v>1616788.0398439262</v>
      </c>
      <c r="H149" s="1313">
        <v>1623238.4965946914</v>
      </c>
      <c r="I149" s="1313">
        <v>1629688.9533411416</v>
      </c>
      <c r="J149" s="1196"/>
      <c r="K149" s="1419"/>
      <c r="N149" s="1317" t="e">
        <f>N134*N139</f>
        <v>#REF!</v>
      </c>
      <c r="O149" s="1302"/>
      <c r="P149" s="1303"/>
      <c r="Q149" s="1303"/>
    </row>
    <row r="150" spans="2:23" hidden="1" outlineLevel="1">
      <c r="C150" s="1318"/>
      <c r="D150" s="1319"/>
      <c r="E150" s="1320"/>
      <c r="F150" s="1320"/>
      <c r="G150" s="1320"/>
      <c r="H150" s="1320"/>
      <c r="I150" s="1196"/>
      <c r="K150" s="1318"/>
    </row>
    <row r="151" spans="2:23" hidden="1" outlineLevel="1">
      <c r="B151" s="407"/>
      <c r="C151" s="407"/>
      <c r="D151" s="407"/>
      <c r="E151" s="407"/>
      <c r="F151" s="407"/>
      <c r="G151" s="407"/>
      <c r="H151" s="407"/>
      <c r="I151" s="407"/>
      <c r="J151" s="407"/>
    </row>
    <row r="152" spans="2:23" hidden="1" outlineLevel="1">
      <c r="C152" s="1254"/>
      <c r="D152" s="1254"/>
      <c r="E152" s="1254"/>
      <c r="F152" s="1254"/>
      <c r="G152" s="1254"/>
      <c r="H152" s="1254"/>
      <c r="I152" s="1254"/>
      <c r="J152" s="1254"/>
      <c r="K152" s="1254"/>
      <c r="L152" s="1254"/>
      <c r="M152" s="1254"/>
      <c r="N152" s="1254"/>
      <c r="O152" s="1254"/>
      <c r="P152" s="1254"/>
      <c r="Q152" s="1254"/>
      <c r="R152" s="1254"/>
    </row>
    <row r="153" spans="2:23" collapsed="1"/>
  </sheetData>
  <mergeCells count="8">
    <mergeCell ref="C145:C149"/>
    <mergeCell ref="K145:K149"/>
    <mergeCell ref="C75:C79"/>
    <mergeCell ref="C85:C89"/>
    <mergeCell ref="K85:K89"/>
    <mergeCell ref="K75:K79"/>
    <mergeCell ref="C135:C139"/>
    <mergeCell ref="K135:K139"/>
  </mergeCells>
  <conditionalFormatting sqref="G2:J2 AG94:AG97 AH98">
    <cfRule type="containsText" dxfId="54" priority="6" operator="containsText" text="OK">
      <formula>NOT(ISERROR(SEARCH("OK",G2)))</formula>
    </cfRule>
    <cfRule type="containsText" dxfId="53" priority="7" operator="containsText" text="ERROR">
      <formula>NOT(ISERROR(SEARCH("ERROR",G2)))</formula>
    </cfRule>
  </conditionalFormatting>
  <conditionalFormatting sqref="I97:L97">
    <cfRule type="containsText" dxfId="52" priority="3" operator="containsText" text="OK">
      <formula>NOT(ISERROR(SEARCH("OK",I97)))</formula>
    </cfRule>
    <cfRule type="containsText" dxfId="51" priority="4" operator="containsText" text="ERROR">
      <formula>NOT(ISERROR(SEARCH("ERROR",I97)))</formula>
    </cfRule>
  </conditionalFormatting>
  <conditionalFormatting sqref="U62">
    <cfRule type="expression" dxfId="50" priority="5">
      <formula>U62=1</formula>
    </cfRule>
  </conditionalFormatting>
  <conditionalFormatting sqref="AC101:AH101">
    <cfRule type="containsText" dxfId="49" priority="1" operator="containsText" text="OK">
      <formula>NOT(ISERROR(SEARCH("OK",AC101)))</formula>
    </cfRule>
    <cfRule type="containsText" dxfId="48" priority="2" operator="containsText" text="ERROR">
      <formula>NOT(ISERROR(SEARCH("ERROR",AC101)))</formula>
    </cfRule>
  </conditionalFormatting>
  <printOptions horizontalCentered="1"/>
  <pageMargins left="0.118110236220472" right="0.118110236220472" top="0.118110236220472" bottom="0.118110236220472" header="0.118110236220472" footer="0.118110236220472"/>
  <pageSetup scale="73" fitToHeight="0" orientation="landscape" r:id="rId1"/>
  <headerFooter>
    <oddFooter>&amp;L&amp;"Open Sans,Bold"&amp;KC00000Flexxo Labels Financial  Model&amp;C&amp;"Open Sans,Bold"&amp;KC00000Page &amp;P of &amp;N</oddFooter>
  </headerFooter>
  <drawing r:id="rId2"/>
  <extLst>
    <ext xmlns:x14="http://schemas.microsoft.com/office/spreadsheetml/2009/9/main" uri="{05C60535-1F16-4fd2-B633-F4F36F0B64E0}">
      <x14:sparklineGroups xmlns:xm="http://schemas.microsoft.com/office/excel/2006/main">
        <x14:sparklineGroup manualMax="0" manualMin="0" type="stacked" displayEmptyCellsAs="gap" high="1" low="1" negative="1" xr2:uid="{00000000-0003-0000-0100-000006000000}">
          <x14:colorSeries theme="9" tint="0.39997558519241921"/>
          <x14:colorNegative rgb="FFD00000"/>
          <x14:colorAxis rgb="FF000000"/>
          <x14:colorMarkers rgb="FFD00000"/>
          <x14:colorFirst rgb="FFD00000"/>
          <x14:colorLast rgb="FFD00000"/>
          <x14:colorHigh theme="6" tint="-0.499984740745262"/>
          <x14:colorLow rgb="FFC00000"/>
          <x14:sparklines>
            <x14:sparkline>
              <xm:f>Outputs!M106:Q106</xm:f>
              <xm:sqref>L106</xm:sqref>
            </x14:sparkline>
          </x14:sparklines>
        </x14:sparklineGroup>
        <x14:sparklineGroup manualMax="0" manualMin="0" displayEmptyCellsAs="gap" high="1" low="1" negative="1" xr2:uid="{00000000-0003-0000-0100-000005000000}">
          <x14:colorSeries theme="3" tint="0.499984740745262"/>
          <x14:colorNegative rgb="FFC00000"/>
          <x14:colorAxis rgb="FF000000"/>
          <x14:colorMarkers theme="1" tint="0.249977111117893"/>
          <x14:colorFirst theme="1" tint="0.249977111117893"/>
          <x14:colorLast theme="1" tint="0.249977111117893"/>
          <x14:colorHigh theme="6" tint="-0.499984740745262"/>
          <x14:colorLow rgb="FFC00000"/>
          <x14:sparklines>
            <x14:sparkline>
              <xm:f>Outputs!M101:Q101</xm:f>
              <xm:sqref>L101</xm:sqref>
            </x14:sparkline>
          </x14:sparklines>
        </x14:sparklineGroup>
        <x14:sparklineGroup manualMax="0" manualMin="0" displayEmptyCellsAs="gap" high="1" low="1" negative="1" xr2:uid="{00000000-0003-0000-0100-000004000000}">
          <x14:colorSeries theme="3" tint="0.499984740745262"/>
          <x14:colorNegative rgb="FFC00000"/>
          <x14:colorAxis rgb="FF000000"/>
          <x14:colorMarkers theme="1" tint="0.249977111117893"/>
          <x14:colorFirst theme="1" tint="0.249977111117893"/>
          <x14:colorLast theme="1" tint="0.249977111117893"/>
          <x14:colorHigh theme="6" tint="-0.499984740745262"/>
          <x14:colorLow rgb="FFC00000"/>
          <x14:sparklines>
            <x14:sparkline>
              <xm:f>Outputs!M103:Q103</xm:f>
              <xm:sqref>L103</xm:sqref>
            </x14:sparkline>
          </x14:sparklines>
        </x14:sparklineGroup>
        <x14:sparklineGroup manualMax="0" manualMin="0" type="stacked" displayEmptyCellsAs="gap" high="1" negative="1" xr2:uid="{00000000-0003-0000-0100-000003000000}">
          <x14:colorSeries theme="9" tint="0.39997558519241921"/>
          <x14:colorNegative theme="9" tint="0.39997558519241921"/>
          <x14:colorAxis rgb="FF000000"/>
          <x14:colorMarkers theme="1" tint="0.249977111117893"/>
          <x14:colorFirst theme="1" tint="0.249977111117893"/>
          <x14:colorLast theme="1" tint="0.249977111117893"/>
          <x14:colorHigh theme="6" tint="-0.499984740745262"/>
          <x14:colorLow theme="1" tint="0.249977111117893"/>
          <x14:sparklines>
            <x14:sparkline>
              <xm:f>Outputs!M102:Q102</xm:f>
              <xm:sqref>L102</xm:sqref>
            </x14:sparkline>
          </x14:sparklines>
        </x14:sparklineGroup>
        <x14:sparklineGroup manualMax="0" manualMin="0" displayEmptyCellsAs="gap" high="1" low="1" negative="1" xr2:uid="{00000000-0003-0000-0100-000002000000}">
          <x14:colorSeries theme="3" tint="0.499984740745262"/>
          <x14:colorNegative rgb="FFC00000"/>
          <x14:colorAxis rgb="FF000000"/>
          <x14:colorMarkers theme="1" tint="0.249977111117893"/>
          <x14:colorFirst theme="1" tint="0.249977111117893"/>
          <x14:colorLast theme="1" tint="0.249977111117893"/>
          <x14:colorHigh theme="6" tint="-0.499984740745262"/>
          <x14:colorLow rgb="FFC00000"/>
          <x14:sparklines>
            <x14:sparkline>
              <xm:f>Outputs!M109:Q109</xm:f>
              <xm:sqref>L109</xm:sqref>
            </x14:sparkline>
          </x14:sparklines>
        </x14:sparklineGroup>
        <x14:sparklineGroup manualMax="0" manualMin="0" type="stacked" displayEmptyCellsAs="gap" high="1" low="1" negative="1" xr2:uid="{00000000-0003-0000-0100-000001000000}">
          <x14:colorSeries theme="9" tint="0.39997558519241921"/>
          <x14:colorNegative theme="6" tint="-0.499984740745262"/>
          <x14:colorAxis rgb="FF000000"/>
          <x14:colorMarkers theme="1" tint="0.249977111117893"/>
          <x14:colorFirst theme="1" tint="0.249977111117893"/>
          <x14:colorLast theme="1" tint="0.249977111117893"/>
          <x14:colorHigh rgb="FFC00000"/>
          <x14:colorLow theme="6" tint="-0.499984740745262"/>
          <x14:sparklines>
            <x14:sparkline>
              <xm:f>Outputs!M107:Q107</xm:f>
              <xm:sqref>L107</xm:sqref>
            </x14:sparkline>
            <x14:sparkline>
              <xm:f>Outputs!M108:Q108</xm:f>
              <xm:sqref>L108</xm:sqref>
            </x14:sparkline>
          </x14:sparklines>
        </x14:sparklineGroup>
        <x14:sparklineGroup manualMax="0" manualMin="0" type="column" displayEmptyCellsAs="gap" high="1" xr2:uid="{00000000-0003-0000-0100-000000000000}">
          <x14:colorSeries theme="9" tint="0.39997558519241921"/>
          <x14:colorNegative rgb="FFD00000"/>
          <x14:colorAxis rgb="FF000000"/>
          <x14:colorMarkers rgb="FFD00000"/>
          <x14:colorFirst rgb="FFD00000"/>
          <x14:colorLast rgb="FFD00000"/>
          <x14:colorHigh theme="6" tint="-0.499984740745262"/>
          <x14:colorLow rgb="FFD00000"/>
          <x14:sparklines>
            <x14:sparkline>
              <xm:f>Outputs!M99:Q99</xm:f>
              <xm:sqref>L99</xm:sqref>
            </x14:sparkline>
            <x14:sparkline>
              <xm:f>Outputs!M100:Q100</xm:f>
              <xm:sqref>L100</xm:sqref>
            </x14:sparkline>
          </x14:sparklines>
        </x14:sparklineGroup>
        <x14:sparklineGroup manualMax="0" manualMin="0" displayEmptyCellsAs="gap" high="1" low="1" xr2:uid="{14E709D5-7E1E-49D6-A3B1-C0E5A2E647AB}">
          <x14:colorSeries theme="0" tint="-0.34998626667073579"/>
          <x14:colorNegative rgb="FFD00000"/>
          <x14:colorAxis rgb="FF000000"/>
          <x14:colorMarkers rgb="FFD00000"/>
          <x14:colorFirst rgb="FFD00000"/>
          <x14:colorLast rgb="FFD00000"/>
          <x14:colorHigh rgb="FF00B050"/>
          <x14:colorLow rgb="FFC00000"/>
          <x14:sparklines>
            <x14:sparkline>
              <xm:f>Outputs!AD106:AH106</xm:f>
              <xm:sqref>AC106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autoPageBreaks="0"/>
  </sheetPr>
  <dimension ref="A1:O95"/>
  <sheetViews>
    <sheetView showGridLines="0" tabSelected="1" zoomScale="85" workbookViewId="0">
      <selection activeCell="C12" sqref="C12"/>
    </sheetView>
  </sheetViews>
  <sheetFormatPr defaultColWidth="8.6640625" defaultRowHeight="12" outlineLevelRow="1"/>
  <cols>
    <col min="1" max="1" width="8.6640625" style="896"/>
    <col min="2" max="2" width="29.5546875" style="896" customWidth="1"/>
    <col min="3" max="7" width="10.5546875" style="896" customWidth="1"/>
    <col min="8" max="8" width="11.44140625" style="896" bestFit="1" customWidth="1"/>
    <col min="9" max="13" width="10.5546875" style="896" customWidth="1"/>
    <col min="14" max="14" width="11.88671875" style="896" customWidth="1"/>
    <col min="15" max="15" width="1.6640625" style="896" customWidth="1"/>
    <col min="16" max="16384" width="8.6640625" style="896"/>
  </cols>
  <sheetData>
    <row r="1" spans="1:15">
      <c r="B1" s="1026"/>
      <c r="C1" s="1026"/>
      <c r="D1" s="1026"/>
      <c r="E1" s="1026"/>
      <c r="F1" s="1027"/>
      <c r="G1" s="1027"/>
      <c r="H1" s="1027"/>
      <c r="I1" s="1028"/>
      <c r="J1" s="1028"/>
      <c r="K1" s="1026"/>
      <c r="L1" s="1026"/>
      <c r="M1" s="1026"/>
      <c r="N1" s="1026"/>
    </row>
    <row r="3" spans="1:15" s="592" customFormat="1">
      <c r="A3" s="592" t="s">
        <v>80</v>
      </c>
      <c r="B3" s="472" t="s">
        <v>83</v>
      </c>
      <c r="C3" s="1172"/>
      <c r="D3" s="1029"/>
      <c r="E3" s="472" t="s">
        <v>155</v>
      </c>
      <c r="F3" s="472"/>
      <c r="G3" s="472"/>
      <c r="H3" s="1173"/>
      <c r="I3" s="1172"/>
      <c r="J3" s="1174"/>
      <c r="K3" s="1174"/>
      <c r="L3" s="1175"/>
      <c r="M3" s="1175"/>
      <c r="N3" s="1175"/>
      <c r="O3" s="1029"/>
    </row>
    <row r="4" spans="1:15" s="592" customFormat="1" outlineLevel="1">
      <c r="B4" s="587"/>
      <c r="C4" s="588"/>
      <c r="D4" s="1029"/>
      <c r="H4" s="587"/>
      <c r="I4" s="588"/>
      <c r="J4" s="589"/>
      <c r="K4" s="589"/>
      <c r="L4" s="1029"/>
      <c r="M4" s="1029"/>
      <c r="N4" s="1029"/>
      <c r="O4" s="1029"/>
    </row>
    <row r="5" spans="1:15" s="592" customFormat="1" outlineLevel="1">
      <c r="B5" s="906" t="s">
        <v>344</v>
      </c>
      <c r="C5" s="588"/>
      <c r="D5" s="1029"/>
      <c r="H5" s="587"/>
      <c r="I5" s="588"/>
      <c r="J5" s="589"/>
      <c r="K5" s="589"/>
      <c r="L5" s="1029"/>
      <c r="M5" s="1029"/>
      <c r="N5" s="1029"/>
      <c r="O5" s="1029"/>
    </row>
    <row r="6" spans="1:15" s="592" customFormat="1" outlineLevel="1">
      <c r="H6" s="587"/>
      <c r="I6" s="588"/>
      <c r="J6" s="589"/>
      <c r="K6" s="589"/>
      <c r="L6" s="1029"/>
      <c r="M6" s="1029"/>
      <c r="N6" s="1029"/>
      <c r="O6" s="1029"/>
    </row>
    <row r="7" spans="1:15" ht="12.6" outlineLevel="1" thickBot="1">
      <c r="B7" s="1030" t="s">
        <v>161</v>
      </c>
      <c r="C7" s="1031"/>
      <c r="E7" s="1030" t="s">
        <v>86</v>
      </c>
      <c r="F7" s="1031"/>
      <c r="G7" s="1031"/>
      <c r="H7" s="1032"/>
      <c r="I7" s="1033" t="s">
        <v>153</v>
      </c>
      <c r="J7" s="1033" t="s">
        <v>154</v>
      </c>
      <c r="K7" s="1034"/>
      <c r="L7" s="1030" t="s">
        <v>87</v>
      </c>
      <c r="M7" s="1035"/>
      <c r="N7" s="1033" t="s">
        <v>154</v>
      </c>
    </row>
    <row r="8" spans="1:15" outlineLevel="1">
      <c r="B8" s="1036" t="s">
        <v>101</v>
      </c>
      <c r="C8" s="1037">
        <v>10</v>
      </c>
      <c r="E8" s="1038" t="s">
        <v>88</v>
      </c>
      <c r="I8" s="1039">
        <f>J8/$C$15</f>
        <v>0</v>
      </c>
      <c r="J8" s="1040">
        <f>C24</f>
        <v>0</v>
      </c>
      <c r="K8" s="1041"/>
      <c r="L8" s="1042" t="s">
        <v>92</v>
      </c>
      <c r="M8" s="1043"/>
      <c r="N8" s="1040">
        <f>C25</f>
        <v>16737.860096249999</v>
      </c>
    </row>
    <row r="9" spans="1:15" outlineLevel="1">
      <c r="B9" s="1036" t="s">
        <v>102</v>
      </c>
      <c r="C9" s="1037">
        <v>8</v>
      </c>
      <c r="E9" s="1044" t="s">
        <v>321</v>
      </c>
      <c r="I9" s="1045">
        <v>0</v>
      </c>
      <c r="J9" s="1046">
        <f>I9*$C$15</f>
        <v>0</v>
      </c>
      <c r="K9" s="1041"/>
      <c r="L9" s="1047" t="s">
        <v>322</v>
      </c>
      <c r="N9" s="1048">
        <f>C22</f>
        <v>0</v>
      </c>
    </row>
    <row r="10" spans="1:15" outlineLevel="1">
      <c r="E10" s="1049" t="s">
        <v>282</v>
      </c>
      <c r="I10" s="1037">
        <v>0</v>
      </c>
      <c r="J10" s="1046">
        <f>Outputs!W78*$C$15</f>
        <v>0</v>
      </c>
      <c r="K10" s="1041"/>
      <c r="L10" s="1047" t="s">
        <v>323</v>
      </c>
      <c r="M10" s="1050"/>
      <c r="N10" s="1048">
        <f>C23</f>
        <v>0</v>
      </c>
    </row>
    <row r="11" spans="1:15" outlineLevel="1">
      <c r="E11" s="1049" t="s">
        <v>283</v>
      </c>
      <c r="I11" s="1037">
        <v>0</v>
      </c>
      <c r="J11" s="1046">
        <f>Outputs!W79*$C$15</f>
        <v>0</v>
      </c>
      <c r="K11" s="1041"/>
      <c r="L11" s="1047" t="s">
        <v>143</v>
      </c>
      <c r="M11" s="1050"/>
      <c r="N11" s="1046">
        <f>N27</f>
        <v>398.5</v>
      </c>
    </row>
    <row r="12" spans="1:15" outlineLevel="1">
      <c r="E12" s="1049" t="s">
        <v>284</v>
      </c>
      <c r="I12" s="1037">
        <v>0</v>
      </c>
      <c r="J12" s="1046">
        <f>I12*$C$15</f>
        <v>0</v>
      </c>
      <c r="K12" s="1041"/>
      <c r="L12" s="1051" t="s">
        <v>110</v>
      </c>
      <c r="M12" s="1052"/>
      <c r="N12" s="1053">
        <f>SUM(N8:N11)</f>
        <v>17136.360096249999</v>
      </c>
    </row>
    <row r="13" spans="1:15" ht="13.8" outlineLevel="1" thickBot="1">
      <c r="B13" s="1030" t="s">
        <v>85</v>
      </c>
      <c r="C13" s="1035"/>
      <c r="E13" s="1038" t="s">
        <v>812</v>
      </c>
      <c r="H13" s="1054"/>
      <c r="I13" s="1039">
        <f>J13/$C$15</f>
        <v>0</v>
      </c>
      <c r="J13" s="1046">
        <f>H13*C25</f>
        <v>0</v>
      </c>
      <c r="K13" s="1041"/>
      <c r="L13" s="1051"/>
      <c r="M13" s="1052"/>
      <c r="N13" s="1055"/>
    </row>
    <row r="14" spans="1:15" outlineLevel="1">
      <c r="B14" s="1038" t="s">
        <v>101</v>
      </c>
      <c r="C14" s="1056">
        <f>Outputs!W76</f>
        <v>10</v>
      </c>
      <c r="E14" s="1038" t="s">
        <v>95</v>
      </c>
      <c r="I14" s="1057">
        <v>5</v>
      </c>
      <c r="J14" s="1040">
        <f>N12-SUM(J8:J13)</f>
        <v>17136.360096249999</v>
      </c>
      <c r="K14" s="1041"/>
    </row>
    <row r="15" spans="1:15" outlineLevel="1">
      <c r="B15" s="1042" t="str">
        <f>CONCATENATE(Model!J101," EBITDA for Valuation")</f>
        <v>2024 EBITDA for Valuation</v>
      </c>
      <c r="C15" s="1058">
        <f>'Machines Set Up Costs'!F43/10000</f>
        <v>1673.7860096249999</v>
      </c>
      <c r="E15" s="1051" t="s">
        <v>109</v>
      </c>
      <c r="I15" s="1059">
        <f>SUM(I8:I14)</f>
        <v>5</v>
      </c>
      <c r="J15" s="1053">
        <f>SUM(J8:J14)</f>
        <v>17136.360096249999</v>
      </c>
      <c r="K15" s="1060"/>
      <c r="L15" s="1061"/>
      <c r="N15" s="1062"/>
    </row>
    <row r="16" spans="1:15" outlineLevel="1">
      <c r="B16" s="1038" t="s">
        <v>85</v>
      </c>
      <c r="C16" s="1040">
        <f>C14*C15</f>
        <v>16737.860096249999</v>
      </c>
    </row>
    <row r="17" spans="2:15" outlineLevel="1">
      <c r="C17" s="1021"/>
      <c r="E17" s="1063" t="s">
        <v>197</v>
      </c>
      <c r="J17" s="1064">
        <f>IF(SUM(I10:I12)&gt;C8,1,0)</f>
        <v>0</v>
      </c>
    </row>
    <row r="18" spans="2:15" outlineLevel="1">
      <c r="C18" s="1065"/>
    </row>
    <row r="19" spans="2:15" outlineLevel="1"/>
    <row r="20" spans="2:15" ht="12.6" outlineLevel="1" thickBot="1">
      <c r="B20" s="1030" t="s">
        <v>92</v>
      </c>
      <c r="C20" s="1066"/>
      <c r="E20" s="472" t="s">
        <v>144</v>
      </c>
      <c r="F20" s="1067"/>
      <c r="G20" s="1067"/>
      <c r="H20" s="1067"/>
      <c r="I20" s="1067"/>
      <c r="J20" s="1068"/>
      <c r="K20" s="1068"/>
      <c r="L20" s="1069"/>
      <c r="M20" s="1069"/>
      <c r="N20" s="1069"/>
    </row>
    <row r="21" spans="2:15" outlineLevel="1">
      <c r="B21" s="1044" t="s">
        <v>85</v>
      </c>
      <c r="C21" s="1046">
        <f>C16</f>
        <v>16737.860096249999</v>
      </c>
      <c r="O21" s="1029"/>
    </row>
    <row r="22" spans="2:15" ht="12.6" outlineLevel="1" thickBot="1">
      <c r="B22" s="1044" t="s">
        <v>134</v>
      </c>
      <c r="C22" s="1070">
        <v>0</v>
      </c>
      <c r="E22" s="1030" t="s">
        <v>162</v>
      </c>
      <c r="F22" s="1035"/>
      <c r="G22" s="1035"/>
      <c r="H22" s="1035"/>
      <c r="I22" s="1035"/>
      <c r="K22" s="1030" t="s">
        <v>143</v>
      </c>
      <c r="L22" s="1031"/>
      <c r="M22" s="1031"/>
      <c r="N22" s="1031"/>
    </row>
    <row r="23" spans="2:15" ht="13.2" outlineLevel="1">
      <c r="B23" s="1044" t="s">
        <v>135</v>
      </c>
      <c r="C23" s="1071">
        <f>0</f>
        <v>0</v>
      </c>
      <c r="E23" s="1036" t="s">
        <v>813</v>
      </c>
      <c r="H23" s="1072" t="s">
        <v>170</v>
      </c>
      <c r="I23" s="1073">
        <v>46022</v>
      </c>
      <c r="K23" s="1042" t="s">
        <v>814</v>
      </c>
      <c r="N23" s="1040">
        <f>SUM(G56:G59)</f>
        <v>22.5</v>
      </c>
    </row>
    <row r="24" spans="2:15" ht="13.2" outlineLevel="1">
      <c r="B24" s="1038" t="s">
        <v>91</v>
      </c>
      <c r="C24" s="1074">
        <v>0</v>
      </c>
      <c r="E24" s="1036" t="s">
        <v>815</v>
      </c>
      <c r="H24" s="1072" t="s">
        <v>170</v>
      </c>
      <c r="I24" s="1075">
        <f>EDATE(I23,-12)</f>
        <v>45657</v>
      </c>
      <c r="K24" s="1047" t="s">
        <v>93</v>
      </c>
      <c r="N24" s="1076" t="str">
        <f>G60</f>
        <v>N/A</v>
      </c>
    </row>
    <row r="25" spans="2:15" ht="13.2" outlineLevel="1">
      <c r="B25" s="1038" t="s">
        <v>92</v>
      </c>
      <c r="C25" s="1077">
        <f>SUM(C21:C24)</f>
        <v>16737.860096249999</v>
      </c>
      <c r="E25" s="1036" t="s">
        <v>816</v>
      </c>
      <c r="H25" s="1072" t="s">
        <v>171</v>
      </c>
      <c r="I25" s="1078">
        <v>2025</v>
      </c>
      <c r="K25" s="1047" t="s">
        <v>817</v>
      </c>
      <c r="N25" s="1079">
        <v>0</v>
      </c>
    </row>
    <row r="26" spans="2:15" outlineLevel="1">
      <c r="B26" s="1080"/>
      <c r="C26" s="1021"/>
      <c r="E26" s="1036" t="s">
        <v>1</v>
      </c>
      <c r="H26" s="1072" t="s">
        <v>3</v>
      </c>
      <c r="I26" s="1081">
        <v>365</v>
      </c>
      <c r="K26" s="1042" t="s">
        <v>337</v>
      </c>
      <c r="N26" s="1082">
        <f>Detail!E13/1000</f>
        <v>376</v>
      </c>
    </row>
    <row r="27" spans="2:15" outlineLevel="1">
      <c r="B27" s="1038" t="s">
        <v>151</v>
      </c>
      <c r="C27" s="1083">
        <v>10000</v>
      </c>
      <c r="E27" s="1036" t="s">
        <v>350</v>
      </c>
      <c r="H27" s="1072" t="s">
        <v>351</v>
      </c>
      <c r="I27" s="1081">
        <v>12</v>
      </c>
      <c r="K27" s="1042" t="s">
        <v>143</v>
      </c>
      <c r="N27" s="1084">
        <f>SUM(N23:N26)</f>
        <v>398.5</v>
      </c>
    </row>
    <row r="28" spans="2:15" outlineLevel="1">
      <c r="B28" s="1044" t="s">
        <v>355</v>
      </c>
      <c r="C28" s="1085">
        <f>C25/C27</f>
        <v>1.6737860096249999</v>
      </c>
      <c r="E28" s="1036" t="s">
        <v>38</v>
      </c>
      <c r="I28" s="1086">
        <v>0.3</v>
      </c>
    </row>
    <row r="29" spans="2:15" outlineLevel="1">
      <c r="E29" s="1036" t="s">
        <v>269</v>
      </c>
      <c r="I29" s="1081">
        <v>1500</v>
      </c>
    </row>
    <row r="30" spans="2:15" outlineLevel="1">
      <c r="E30" s="1080" t="s">
        <v>164</v>
      </c>
      <c r="I30" s="1086">
        <v>5.5E-2</v>
      </c>
      <c r="K30" s="910"/>
      <c r="L30" s="910"/>
      <c r="M30" s="910"/>
      <c r="N30" s="910"/>
    </row>
    <row r="31" spans="2:15" outlineLevel="1"/>
    <row r="32" spans="2:15" outlineLevel="1"/>
    <row r="33" spans="1:14" ht="12.6" outlineLevel="1" thickBot="1">
      <c r="B33" s="1030" t="s">
        <v>94</v>
      </c>
      <c r="C33" s="1035"/>
      <c r="E33" s="1087" t="s">
        <v>192</v>
      </c>
      <c r="F33" s="1088"/>
      <c r="G33" s="1088"/>
      <c r="H33" s="1088"/>
      <c r="I33" s="1088"/>
      <c r="J33" s="910"/>
      <c r="K33" s="1087" t="s">
        <v>193</v>
      </c>
      <c r="L33" s="1088"/>
      <c r="M33" s="1088"/>
      <c r="N33" s="1088"/>
    </row>
    <row r="34" spans="1:14" outlineLevel="1">
      <c r="B34" s="1044" t="s">
        <v>160</v>
      </c>
      <c r="C34" s="1089">
        <v>30</v>
      </c>
      <c r="E34" s="1090" t="s">
        <v>57</v>
      </c>
      <c r="F34" s="467"/>
      <c r="G34" s="467"/>
      <c r="H34" s="467"/>
      <c r="I34" s="1091">
        <v>1</v>
      </c>
      <c r="J34" s="1001"/>
      <c r="K34" s="1090" t="s">
        <v>58</v>
      </c>
      <c r="L34" s="467"/>
      <c r="M34" s="467"/>
      <c r="N34" s="1091">
        <v>0.5</v>
      </c>
    </row>
    <row r="35" spans="1:14" outlineLevel="1">
      <c r="B35" s="1044" t="s">
        <v>94</v>
      </c>
      <c r="C35" s="1092"/>
      <c r="E35" s="1080" t="str">
        <f>CONCATENATE("End of ",$I$25-1," Book Basis for PP&amp;E")</f>
        <v>End of 2024 Book Basis for PP&amp;E</v>
      </c>
      <c r="I35" s="1070">
        <v>0</v>
      </c>
      <c r="J35" s="1093"/>
      <c r="K35" s="1090" t="str">
        <f>CONCATENATE("End of ",$I$25-1," Tax Basis for PP&amp;E")</f>
        <v>End of 2024 Tax Basis for PP&amp;E</v>
      </c>
      <c r="N35" s="1081">
        <v>0</v>
      </c>
    </row>
    <row r="36" spans="1:14" outlineLevel="1">
      <c r="B36" s="1044"/>
      <c r="C36" s="1094"/>
      <c r="E36" s="1090" t="s">
        <v>60</v>
      </c>
      <c r="F36" s="467"/>
      <c r="G36" s="467"/>
      <c r="H36" s="493" t="s">
        <v>191</v>
      </c>
      <c r="I36" s="1095">
        <v>1</v>
      </c>
      <c r="J36" s="1096"/>
      <c r="K36" s="1090" t="str">
        <f>CONCATENATE("End of ",$I$25-1," Tax Losses")</f>
        <v>End of 2024 Tax Losses</v>
      </c>
      <c r="L36" s="467"/>
      <c r="M36" s="467"/>
      <c r="N36" s="1081">
        <v>0</v>
      </c>
    </row>
    <row r="37" spans="1:14" outlineLevel="1">
      <c r="B37" s="1044"/>
      <c r="C37" s="1094"/>
      <c r="E37" s="1090" t="s">
        <v>61</v>
      </c>
      <c r="F37" s="467"/>
      <c r="G37" s="467"/>
      <c r="H37" s="493" t="s">
        <v>191</v>
      </c>
      <c r="I37" s="1095">
        <v>5</v>
      </c>
      <c r="K37" s="1090" t="s">
        <v>43</v>
      </c>
      <c r="L37" s="1097"/>
      <c r="M37" s="1097"/>
      <c r="N37" s="1098">
        <v>0.3</v>
      </c>
    </row>
    <row r="38" spans="1:14" outlineLevel="1">
      <c r="A38" s="896" t="s">
        <v>80</v>
      </c>
      <c r="B38" s="1044"/>
      <c r="C38" s="1094"/>
      <c r="E38" s="1090" t="s">
        <v>832</v>
      </c>
      <c r="H38" s="1072" t="s">
        <v>352</v>
      </c>
      <c r="I38" s="1081">
        <f>450000*20</f>
        <v>9000000</v>
      </c>
    </row>
    <row r="39" spans="1:14" outlineLevel="1">
      <c r="B39" s="1080"/>
      <c r="E39" s="1090"/>
      <c r="H39" s="1099"/>
      <c r="I39" s="1100"/>
    </row>
    <row r="40" spans="1:14" outlineLevel="1">
      <c r="B40" s="1101"/>
      <c r="C40" s="1102"/>
      <c r="E40" s="1102"/>
      <c r="F40" s="1102"/>
      <c r="G40" s="1102"/>
      <c r="H40" s="1102"/>
      <c r="I40" s="1102"/>
      <c r="J40" s="1102"/>
      <c r="K40" s="1102"/>
      <c r="L40" s="1102"/>
      <c r="M40" s="1102"/>
      <c r="N40" s="1102"/>
    </row>
    <row r="41" spans="1:14" outlineLevel="1">
      <c r="B41" s="1080"/>
    </row>
    <row r="42" spans="1:14" outlineLevel="1">
      <c r="B42" s="1080"/>
      <c r="N42" s="1103" t="s">
        <v>339</v>
      </c>
    </row>
    <row r="43" spans="1:14" outlineLevel="1">
      <c r="B43" s="1080"/>
      <c r="N43" s="1104" t="s">
        <v>268</v>
      </c>
    </row>
    <row r="44" spans="1:14" outlineLevel="1">
      <c r="B44" s="1080"/>
      <c r="N44" s="1105" t="s">
        <v>256</v>
      </c>
    </row>
    <row r="45" spans="1:14" outlineLevel="1">
      <c r="N45" s="1106" t="s">
        <v>257</v>
      </c>
    </row>
    <row r="46" spans="1:14" outlineLevel="1">
      <c r="N46" s="1107" t="s">
        <v>343</v>
      </c>
    </row>
    <row r="47" spans="1:14" outlineLevel="1">
      <c r="N47" s="1108" t="s">
        <v>255</v>
      </c>
    </row>
    <row r="48" spans="1:14" outlineLevel="1">
      <c r="B48" s="1025"/>
      <c r="C48" s="1025"/>
      <c r="D48" s="1025"/>
      <c r="E48" s="1025"/>
      <c r="F48" s="1025"/>
      <c r="G48" s="1109"/>
      <c r="H48" s="1025"/>
      <c r="I48" s="1025"/>
      <c r="J48" s="1025"/>
      <c r="K48" s="1110"/>
      <c r="L48" s="1025"/>
      <c r="M48" s="1025"/>
      <c r="N48" s="1025"/>
    </row>
    <row r="49" spans="1:15">
      <c r="G49" s="1111"/>
      <c r="H49" s="1078"/>
      <c r="I49" s="1078"/>
      <c r="J49" s="1112"/>
      <c r="K49" s="1113"/>
      <c r="L49" s="1114"/>
    </row>
    <row r="50" spans="1:15">
      <c r="A50" s="896" t="s">
        <v>80</v>
      </c>
      <c r="B50" s="472" t="s">
        <v>104</v>
      </c>
      <c r="C50" s="1172"/>
      <c r="D50" s="1174"/>
      <c r="E50" s="1174"/>
      <c r="F50" s="1175"/>
      <c r="G50" s="1173"/>
      <c r="H50" s="1172"/>
      <c r="I50" s="1174"/>
      <c r="J50" s="1174"/>
      <c r="K50" s="1175"/>
      <c r="L50" s="1173"/>
      <c r="M50" s="1067"/>
      <c r="N50" s="1068"/>
      <c r="O50" s="589"/>
    </row>
    <row r="51" spans="1:15" s="592" customFormat="1" outlineLevel="1">
      <c r="B51" s="587"/>
      <c r="C51" s="588"/>
      <c r="D51" s="589"/>
      <c r="E51" s="589"/>
      <c r="F51" s="1115"/>
      <c r="G51" s="1115"/>
      <c r="H51" s="1115"/>
      <c r="I51" s="1115"/>
      <c r="J51" s="1115"/>
      <c r="K51" s="1115"/>
      <c r="L51" s="1115"/>
      <c r="M51" s="1115"/>
    </row>
    <row r="52" spans="1:15" s="592" customFormat="1" outlineLevel="1">
      <c r="B52" s="906" t="s">
        <v>353</v>
      </c>
      <c r="C52" s="589"/>
      <c r="D52" s="1116"/>
      <c r="E52" s="1116"/>
      <c r="F52" s="1116"/>
      <c r="G52" s="1116"/>
      <c r="H52" s="1117"/>
      <c r="I52" s="1118"/>
      <c r="J52" s="1118"/>
    </row>
    <row r="53" spans="1:15" outlineLevel="1">
      <c r="B53" s="1119"/>
      <c r="C53" s="1120"/>
      <c r="D53" s="1121"/>
      <c r="E53" s="1117"/>
      <c r="F53" s="1122" t="s">
        <v>243</v>
      </c>
      <c r="G53" s="1122" t="s">
        <v>243</v>
      </c>
      <c r="H53" s="1122" t="s">
        <v>242</v>
      </c>
      <c r="I53" s="1122" t="s">
        <v>215</v>
      </c>
      <c r="J53" s="1122" t="s">
        <v>216</v>
      </c>
    </row>
    <row r="54" spans="1:15" ht="12.6" outlineLevel="1" thickBot="1">
      <c r="B54" s="1123" t="s">
        <v>105</v>
      </c>
      <c r="C54" s="1124" t="s">
        <v>154</v>
      </c>
      <c r="D54" s="1124" t="s">
        <v>156</v>
      </c>
      <c r="E54" s="1125" t="s">
        <v>241</v>
      </c>
      <c r="F54" s="1125" t="s">
        <v>245</v>
      </c>
      <c r="G54" s="1125" t="s">
        <v>224</v>
      </c>
      <c r="H54" s="1125" t="s">
        <v>224</v>
      </c>
      <c r="I54" s="1125" t="s">
        <v>106</v>
      </c>
      <c r="J54" s="1125" t="s">
        <v>106</v>
      </c>
    </row>
    <row r="55" spans="1:15" outlineLevel="1">
      <c r="B55" s="1126" t="s">
        <v>88</v>
      </c>
      <c r="C55" s="1127">
        <f>J8</f>
        <v>0</v>
      </c>
      <c r="D55" s="1128">
        <f t="shared" ref="D55:D60" si="0">C55/$C$61</f>
        <v>0</v>
      </c>
      <c r="E55" s="1129" t="s">
        <v>107</v>
      </c>
      <c r="F55" s="1129" t="s">
        <v>107</v>
      </c>
      <c r="G55" s="1129" t="s">
        <v>107</v>
      </c>
      <c r="H55" s="1129" t="s">
        <v>107</v>
      </c>
      <c r="I55" s="1129" t="s">
        <v>107</v>
      </c>
      <c r="J55" s="1129" t="s">
        <v>107</v>
      </c>
    </row>
    <row r="56" spans="1:15" ht="13.2" outlineLevel="1">
      <c r="B56" s="1130" t="s">
        <v>818</v>
      </c>
      <c r="C56" s="1127">
        <f>J9</f>
        <v>0</v>
      </c>
      <c r="D56" s="1131">
        <f t="shared" si="0"/>
        <v>0</v>
      </c>
      <c r="E56" s="1132">
        <v>1500</v>
      </c>
      <c r="F56" s="1133">
        <v>1.4999999999999999E-2</v>
      </c>
      <c r="G56" s="1134">
        <f>E56*F56</f>
        <v>22.5</v>
      </c>
      <c r="H56" s="1135">
        <v>5.0000000000000001E-3</v>
      </c>
      <c r="I56" s="1136">
        <v>300</v>
      </c>
      <c r="J56" s="1129" t="s">
        <v>107</v>
      </c>
    </row>
    <row r="57" spans="1:15" outlineLevel="1">
      <c r="B57" s="1049" t="s">
        <v>282</v>
      </c>
      <c r="C57" s="1127">
        <f>J10</f>
        <v>0</v>
      </c>
      <c r="D57" s="1131">
        <f t="shared" si="0"/>
        <v>0</v>
      </c>
      <c r="E57" s="1129" t="s">
        <v>107</v>
      </c>
      <c r="F57" s="1133">
        <v>1.4999999999999999E-2</v>
      </c>
      <c r="G57" s="1134">
        <f>C57*F57</f>
        <v>0</v>
      </c>
      <c r="H57" s="1129" t="s">
        <v>107</v>
      </c>
      <c r="I57" s="1136">
        <v>1500</v>
      </c>
      <c r="J57" s="1129" t="s">
        <v>107</v>
      </c>
    </row>
    <row r="58" spans="1:15" outlineLevel="1">
      <c r="B58" s="1049" t="s">
        <v>283</v>
      </c>
      <c r="C58" s="1127">
        <f>J11</f>
        <v>0</v>
      </c>
      <c r="D58" s="1131">
        <f t="shared" si="0"/>
        <v>0</v>
      </c>
      <c r="E58" s="1129" t="s">
        <v>107</v>
      </c>
      <c r="F58" s="1133">
        <v>1.4999999999999999E-2</v>
      </c>
      <c r="G58" s="1134">
        <f>C58*F58</f>
        <v>0</v>
      </c>
      <c r="H58" s="1129" t="s">
        <v>107</v>
      </c>
      <c r="I58" s="1136">
        <v>1800</v>
      </c>
      <c r="J58" s="1129" t="s">
        <v>107</v>
      </c>
    </row>
    <row r="59" spans="1:15" outlineLevel="1">
      <c r="B59" s="1049" t="s">
        <v>284</v>
      </c>
      <c r="C59" s="1127">
        <f>J12</f>
        <v>0</v>
      </c>
      <c r="D59" s="1131">
        <f t="shared" si="0"/>
        <v>0</v>
      </c>
      <c r="E59" s="1129" t="s">
        <v>107</v>
      </c>
      <c r="F59" s="1133">
        <v>1.4999999999999999E-2</v>
      </c>
      <c r="G59" s="1134">
        <f>C59*F59</f>
        <v>0</v>
      </c>
      <c r="H59" s="1129" t="s">
        <v>107</v>
      </c>
      <c r="I59" s="1129" t="s">
        <v>107</v>
      </c>
      <c r="J59" s="1133">
        <v>0.12</v>
      </c>
    </row>
    <row r="60" spans="1:15" ht="13.2" outlineLevel="1">
      <c r="B60" s="1130" t="s">
        <v>819</v>
      </c>
      <c r="C60" s="1137">
        <f>J13+J14</f>
        <v>17136.360096249999</v>
      </c>
      <c r="D60" s="1138">
        <f t="shared" si="0"/>
        <v>1</v>
      </c>
      <c r="E60" s="1139" t="s">
        <v>107</v>
      </c>
      <c r="F60" s="1139" t="s">
        <v>107</v>
      </c>
      <c r="G60" s="1139" t="s">
        <v>107</v>
      </c>
      <c r="H60" s="1140" t="s">
        <v>107</v>
      </c>
      <c r="I60" s="1140" t="s">
        <v>107</v>
      </c>
      <c r="J60" s="1140" t="s">
        <v>107</v>
      </c>
    </row>
    <row r="61" spans="1:15" outlineLevel="1">
      <c r="B61" s="1126" t="s">
        <v>108</v>
      </c>
      <c r="C61" s="1127">
        <f>SUM(C55:C60)</f>
        <v>17136.360096249999</v>
      </c>
      <c r="D61" s="1128">
        <f>SUM(D55:D60)</f>
        <v>1</v>
      </c>
      <c r="E61" s="1141"/>
      <c r="F61" s="1142"/>
      <c r="I61" s="1142"/>
      <c r="J61" s="1142"/>
      <c r="K61" s="1142"/>
      <c r="L61" s="1141"/>
      <c r="M61" s="1142"/>
      <c r="N61" s="1142"/>
      <c r="O61" s="1142"/>
    </row>
    <row r="62" spans="1:15" outlineLevel="1"/>
    <row r="63" spans="1:15" outlineLevel="1">
      <c r="D63" s="1143"/>
      <c r="E63" s="1144" t="s">
        <v>236</v>
      </c>
      <c r="F63" s="592"/>
      <c r="G63" s="1145"/>
      <c r="H63" s="592"/>
      <c r="I63" s="592"/>
    </row>
    <row r="64" spans="1:15" outlineLevel="1">
      <c r="D64" s="1122" t="s">
        <v>213</v>
      </c>
      <c r="E64" s="1144" t="s">
        <v>237</v>
      </c>
      <c r="F64" s="1146" t="s">
        <v>152</v>
      </c>
      <c r="G64" s="1146"/>
      <c r="H64" s="1146"/>
      <c r="I64" s="1146"/>
      <c r="J64" s="1146"/>
      <c r="K64" s="1102"/>
    </row>
    <row r="65" spans="2:15" ht="13.8" outlineLevel="1" thickBot="1">
      <c r="B65" s="1123" t="s">
        <v>105</v>
      </c>
      <c r="C65" s="1031"/>
      <c r="D65" s="1147" t="s">
        <v>820</v>
      </c>
      <c r="E65" s="1148" t="s">
        <v>821</v>
      </c>
      <c r="F65" s="1149">
        <v>1</v>
      </c>
      <c r="G65" s="1150">
        <f>F65+1</f>
        <v>2</v>
      </c>
      <c r="H65" s="1150">
        <f>G65+1</f>
        <v>3</v>
      </c>
      <c r="I65" s="1150">
        <f>H65+1</f>
        <v>4</v>
      </c>
      <c r="J65" s="1150">
        <f>I65+1</f>
        <v>5</v>
      </c>
      <c r="K65" s="1150" t="s">
        <v>223</v>
      </c>
    </row>
    <row r="66" spans="2:15" outlineLevel="1">
      <c r="B66" s="1126" t="s">
        <v>88</v>
      </c>
      <c r="D66" s="1129" t="s">
        <v>107</v>
      </c>
      <c r="E66" s="1129" t="s">
        <v>107</v>
      </c>
      <c r="F66" s="1151" t="s">
        <v>107</v>
      </c>
      <c r="G66" s="1151" t="s">
        <v>107</v>
      </c>
      <c r="H66" s="1151" t="s">
        <v>107</v>
      </c>
      <c r="I66" s="1151" t="s">
        <v>107</v>
      </c>
      <c r="J66" s="1151" t="s">
        <v>107</v>
      </c>
      <c r="K66" s="1151" t="s">
        <v>107</v>
      </c>
    </row>
    <row r="67" spans="2:15" outlineLevel="1">
      <c r="B67" s="1130" t="s">
        <v>321</v>
      </c>
      <c r="D67" s="1129" t="s">
        <v>107</v>
      </c>
      <c r="E67" s="1129" t="s">
        <v>107</v>
      </c>
      <c r="F67" s="1151" t="s">
        <v>107</v>
      </c>
      <c r="G67" s="1151" t="s">
        <v>107</v>
      </c>
      <c r="H67" s="1151" t="s">
        <v>107</v>
      </c>
      <c r="I67" s="1151" t="s">
        <v>107</v>
      </c>
      <c r="J67" s="1151" t="s">
        <v>107</v>
      </c>
      <c r="K67" s="1151" t="s">
        <v>107</v>
      </c>
    </row>
    <row r="68" spans="2:15" outlineLevel="1">
      <c r="B68" s="1049" t="s">
        <v>282</v>
      </c>
      <c r="D68" s="1129" t="s">
        <v>107</v>
      </c>
      <c r="E68" s="1129">
        <v>1</v>
      </c>
      <c r="F68" s="1152">
        <v>0.2</v>
      </c>
      <c r="G68" s="1152">
        <v>0.2</v>
      </c>
      <c r="H68" s="1152">
        <v>0.2</v>
      </c>
      <c r="I68" s="1152">
        <v>0.2</v>
      </c>
      <c r="J68" s="1152">
        <v>0.2</v>
      </c>
      <c r="K68" s="1153">
        <f>IF(SUM(F68:J68)&gt;1,1,0)</f>
        <v>0</v>
      </c>
      <c r="L68" s="1154" t="s">
        <v>246</v>
      </c>
    </row>
    <row r="69" spans="2:15" outlineLevel="1">
      <c r="B69" s="1049" t="s">
        <v>283</v>
      </c>
      <c r="D69" s="1129" t="s">
        <v>107</v>
      </c>
      <c r="E69" s="1129">
        <v>1</v>
      </c>
      <c r="F69" s="1152">
        <v>0.01</v>
      </c>
      <c r="G69" s="1152">
        <v>0.01</v>
      </c>
      <c r="H69" s="1152">
        <v>0.01</v>
      </c>
      <c r="I69" s="1152">
        <v>0.01</v>
      </c>
      <c r="J69" s="1152">
        <v>0.01</v>
      </c>
      <c r="K69" s="1155">
        <f>IF(SUM(F69:J69)&gt;1,1,0)</f>
        <v>0</v>
      </c>
      <c r="L69" s="1154" t="s">
        <v>246</v>
      </c>
    </row>
    <row r="70" spans="2:15" outlineLevel="1">
      <c r="B70" s="1049" t="s">
        <v>284</v>
      </c>
      <c r="D70" s="1129">
        <v>0.6</v>
      </c>
      <c r="E70" s="1129" t="s">
        <v>107</v>
      </c>
      <c r="F70" s="1152">
        <v>0</v>
      </c>
      <c r="G70" s="1152">
        <v>0</v>
      </c>
      <c r="H70" s="1152">
        <v>0</v>
      </c>
      <c r="I70" s="1152">
        <v>0</v>
      </c>
      <c r="J70" s="1152">
        <v>0</v>
      </c>
      <c r="K70" s="1156">
        <f>IF(SUM(F70:J70)&gt;1,1,0)</f>
        <v>0</v>
      </c>
      <c r="L70" s="1154" t="s">
        <v>246</v>
      </c>
    </row>
    <row r="71" spans="2:15" outlineLevel="1">
      <c r="B71" s="1130" t="s">
        <v>254</v>
      </c>
      <c r="D71" s="1157" t="s">
        <v>107</v>
      </c>
      <c r="E71" s="1157" t="s">
        <v>107</v>
      </c>
      <c r="F71" s="1158" t="s">
        <v>107</v>
      </c>
      <c r="G71" s="1158" t="s">
        <v>107</v>
      </c>
      <c r="H71" s="1158" t="s">
        <v>107</v>
      </c>
      <c r="I71" s="1158" t="s">
        <v>107</v>
      </c>
      <c r="J71" s="1158" t="s">
        <v>107</v>
      </c>
      <c r="K71" s="1158" t="s">
        <v>107</v>
      </c>
    </row>
    <row r="72" spans="2:15" outlineLevel="1">
      <c r="B72" s="1126"/>
      <c r="F72" s="1078"/>
      <c r="G72" s="1078"/>
      <c r="H72" s="1078"/>
      <c r="I72" s="1078"/>
    </row>
    <row r="73" spans="2:15" outlineLevel="1">
      <c r="B73" s="1126"/>
    </row>
    <row r="74" spans="2:15" outlineLevel="1">
      <c r="B74" s="1126"/>
    </row>
    <row r="75" spans="2:15" outlineLevel="1"/>
    <row r="76" spans="2:15" ht="12.6" outlineLevel="1" thickBot="1">
      <c r="B76" s="1030" t="s">
        <v>203</v>
      </c>
      <c r="C76" s="1030"/>
      <c r="D76" s="1030"/>
      <c r="F76" s="1063"/>
      <c r="O76" s="1052"/>
    </row>
    <row r="77" spans="2:15" ht="13.2" outlineLevel="1">
      <c r="B77" s="1080" t="s">
        <v>822</v>
      </c>
      <c r="C77" s="1159"/>
      <c r="D77" s="1160">
        <v>3</v>
      </c>
      <c r="G77" s="1099"/>
      <c r="H77" s="1161"/>
      <c r="K77" s="1052"/>
      <c r="L77" s="1099"/>
      <c r="M77" s="1162"/>
    </row>
    <row r="78" spans="2:15" outlineLevel="1">
      <c r="B78" s="1163" t="s">
        <v>202</v>
      </c>
      <c r="D78" s="1164">
        <v>4</v>
      </c>
      <c r="G78" s="1099"/>
      <c r="H78" s="1161"/>
      <c r="K78" s="1052"/>
      <c r="L78" s="1099"/>
      <c r="M78" s="1162"/>
    </row>
    <row r="79" spans="2:15" ht="13.2" outlineLevel="1">
      <c r="B79" s="1163" t="s">
        <v>823</v>
      </c>
      <c r="D79" s="1164">
        <v>0.5</v>
      </c>
      <c r="H79" s="1161"/>
      <c r="K79" s="1052"/>
      <c r="L79" s="1099"/>
      <c r="M79" s="1162"/>
    </row>
    <row r="80" spans="2:15" outlineLevel="1">
      <c r="B80" s="1163" t="s">
        <v>201</v>
      </c>
      <c r="D80" s="1164">
        <v>1</v>
      </c>
      <c r="H80" s="1161"/>
      <c r="K80" s="1052"/>
      <c r="L80" s="1099"/>
      <c r="M80" s="1162"/>
    </row>
    <row r="81" spans="2:14" ht="13.2" outlineLevel="1">
      <c r="B81" s="1080" t="s">
        <v>824</v>
      </c>
      <c r="D81" s="1164">
        <v>0.1</v>
      </c>
      <c r="H81" s="1161"/>
      <c r="K81" s="1052"/>
      <c r="L81" s="1099"/>
      <c r="M81" s="1162"/>
    </row>
    <row r="82" spans="2:14" outlineLevel="1">
      <c r="H82" s="1161"/>
      <c r="K82" s="1052"/>
      <c r="L82" s="1099"/>
      <c r="M82" s="1162"/>
    </row>
    <row r="83" spans="2:14" outlineLevel="1">
      <c r="G83" s="1099"/>
      <c r="H83" s="1161"/>
      <c r="K83" s="1052"/>
      <c r="L83" s="1099"/>
      <c r="M83" s="1162"/>
    </row>
    <row r="84" spans="2:14" outlineLevel="1">
      <c r="B84" s="1165"/>
      <c r="C84" s="1166"/>
      <c r="D84" s="1167"/>
      <c r="G84" s="1099"/>
      <c r="H84" s="1161"/>
      <c r="K84" s="1052"/>
      <c r="L84" s="1099"/>
      <c r="M84" s="1162"/>
    </row>
    <row r="85" spans="2:14" outlineLevel="1">
      <c r="B85" s="1165"/>
      <c r="C85" s="1166"/>
      <c r="D85" s="1167"/>
      <c r="G85" s="1099"/>
      <c r="H85" s="1161"/>
      <c r="K85" s="1052"/>
      <c r="L85" s="1099"/>
      <c r="N85" s="1103" t="s">
        <v>324</v>
      </c>
    </row>
    <row r="86" spans="2:14" outlineLevel="1">
      <c r="G86" s="1099"/>
      <c r="H86" s="1161"/>
      <c r="K86" s="1052"/>
      <c r="L86" s="1099"/>
      <c r="N86" s="1104" t="s">
        <v>258</v>
      </c>
    </row>
    <row r="87" spans="2:14" outlineLevel="1">
      <c r="G87" s="1099"/>
      <c r="H87" s="1161"/>
      <c r="K87" s="1052"/>
      <c r="L87" s="1099"/>
      <c r="N87" s="1105" t="s">
        <v>285</v>
      </c>
    </row>
    <row r="88" spans="2:14" outlineLevel="1">
      <c r="G88" s="1099"/>
      <c r="H88" s="1161"/>
      <c r="K88" s="1052"/>
      <c r="L88" s="1099"/>
      <c r="N88" s="1168" t="s">
        <v>259</v>
      </c>
    </row>
    <row r="89" spans="2:14" outlineLevel="1">
      <c r="G89" s="1099"/>
      <c r="H89" s="1161"/>
      <c r="K89" s="1052"/>
      <c r="L89" s="1099"/>
      <c r="N89" s="1169" t="s">
        <v>260</v>
      </c>
    </row>
    <row r="90" spans="2:14" outlineLevel="1">
      <c r="H90" s="1170"/>
      <c r="L90" s="1052"/>
      <c r="N90" s="1171" t="s">
        <v>286</v>
      </c>
    </row>
    <row r="91" spans="2:14" outlineLevel="1">
      <c r="H91" s="1170"/>
      <c r="L91" s="1052"/>
      <c r="N91" s="1107" t="s">
        <v>261</v>
      </c>
    </row>
    <row r="92" spans="2:14" outlineLevel="1">
      <c r="H92" s="1170"/>
      <c r="L92" s="1052"/>
      <c r="N92" s="1108" t="s">
        <v>262</v>
      </c>
    </row>
    <row r="93" spans="2:14" outlineLevel="1"/>
    <row r="94" spans="2:14" outlineLevel="1"/>
    <row r="95" spans="2:14" outlineLevel="1">
      <c r="B95" s="1025"/>
      <c r="C95" s="1025"/>
      <c r="D95" s="1025"/>
      <c r="E95" s="1025"/>
      <c r="F95" s="1025"/>
      <c r="G95" s="1025"/>
      <c r="H95" s="1025"/>
      <c r="I95" s="1025"/>
      <c r="J95" s="1025"/>
      <c r="K95" s="1025"/>
      <c r="L95" s="1025"/>
      <c r="M95" s="1025"/>
      <c r="N95" s="1025" t="s">
        <v>80</v>
      </c>
    </row>
  </sheetData>
  <conditionalFormatting sqref="J17">
    <cfRule type="expression" dxfId="47" priority="24">
      <formula>$J$17=1</formula>
    </cfRule>
  </conditionalFormatting>
  <conditionalFormatting sqref="J33:J36">
    <cfRule type="containsText" dxfId="46" priority="1" operator="containsText" text="OK">
      <formula>NOT(ISERROR(SEARCH("OK",J33)))</formula>
    </cfRule>
    <cfRule type="containsText" dxfId="45" priority="2" operator="containsText" text="ERROR">
      <formula>NOT(ISERROR(SEARCH("ERROR",J33)))</formula>
    </cfRule>
  </conditionalFormatting>
  <conditionalFormatting sqref="K48">
    <cfRule type="containsText" dxfId="44" priority="20" operator="containsText" text="OK">
      <formula>NOT(ISERROR(SEARCH("OK",K48)))</formula>
    </cfRule>
    <cfRule type="containsText" dxfId="43" priority="21" operator="containsText" text="ERROR">
      <formula>NOT(ISERROR(SEARCH("ERROR",K48)))</formula>
    </cfRule>
  </conditionalFormatting>
  <conditionalFormatting sqref="K68:K70">
    <cfRule type="expression" dxfId="42" priority="13">
      <formula>K68</formula>
    </cfRule>
  </conditionalFormatting>
  <printOptions horizontalCentered="1"/>
  <pageMargins left="0.118110236220472" right="0.118110236220472" top="0.118110236220472" bottom="0.118110236220472" header="0.118110236220472" footer="0.118110236220472"/>
  <pageSetup scale="73" fitToWidth="0" fitToHeight="0" orientation="landscape" r:id="rId1"/>
  <headerFooter>
    <oddFooter>&amp;L&amp;"Open Sans,Bold"&amp;KC00000Flexxo Labels Financial  Model&amp;C&amp;"Open Sans,Bold"&amp;KC00000Page &amp;P of &amp;N</oddFooter>
  </headerFooter>
  <legacyDrawingHF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P116"/>
  <sheetViews>
    <sheetView showGridLines="0" tabSelected="1" topLeftCell="A36" zoomScaleNormal="100" workbookViewId="0">
      <selection activeCell="C12" sqref="C12"/>
    </sheetView>
  </sheetViews>
  <sheetFormatPr defaultColWidth="8.6640625" defaultRowHeight="12" outlineLevelRow="1"/>
  <cols>
    <col min="1" max="1" width="8.6640625" style="896"/>
    <col min="2" max="2" width="15.5546875" style="896" customWidth="1"/>
    <col min="3" max="3" width="15.6640625" style="896" customWidth="1"/>
    <col min="4" max="4" width="14.88671875" style="896" bestFit="1" customWidth="1"/>
    <col min="5" max="5" width="2.6640625" style="896" customWidth="1"/>
    <col min="6" max="6" width="10.5546875" style="896" customWidth="1"/>
    <col min="7" max="7" width="2.6640625" style="896" customWidth="1"/>
    <col min="8" max="12" width="10.5546875" style="896" customWidth="1"/>
    <col min="13" max="13" width="8.6640625" style="896"/>
    <col min="14" max="14" width="9" style="896" bestFit="1" customWidth="1"/>
    <col min="15" max="16384" width="8.6640625" style="896"/>
  </cols>
  <sheetData>
    <row r="1" spans="1:16">
      <c r="B1" s="897"/>
      <c r="C1" s="897"/>
      <c r="D1" s="897"/>
      <c r="E1" s="897"/>
      <c r="F1" s="897"/>
      <c r="G1" s="897"/>
      <c r="H1" s="465"/>
      <c r="I1" s="465"/>
      <c r="J1" s="465"/>
      <c r="K1" s="897"/>
      <c r="L1" s="897"/>
    </row>
    <row r="2" spans="1:16" s="898" customFormat="1">
      <c r="C2" s="899"/>
      <c r="D2" s="899"/>
      <c r="E2" s="899"/>
      <c r="F2" s="900"/>
      <c r="G2" s="900"/>
      <c r="H2" s="901"/>
      <c r="I2" s="901"/>
      <c r="J2" s="901"/>
      <c r="K2" s="901"/>
    </row>
    <row r="3" spans="1:16">
      <c r="A3" s="896" t="s">
        <v>80</v>
      </c>
      <c r="B3" s="902" t="s">
        <v>278</v>
      </c>
      <c r="C3" s="903"/>
      <c r="D3" s="903"/>
      <c r="E3" s="903"/>
      <c r="F3" s="904"/>
      <c r="G3" s="902"/>
      <c r="H3" s="903"/>
      <c r="I3" s="903"/>
      <c r="J3" s="903"/>
      <c r="K3" s="903"/>
      <c r="L3" s="903"/>
    </row>
    <row r="4" spans="1:16" outlineLevel="1">
      <c r="B4" s="477"/>
      <c r="C4" s="477"/>
      <c r="D4" s="478"/>
      <c r="E4" s="478"/>
      <c r="F4" s="479"/>
      <c r="G4" s="479"/>
      <c r="H4" s="905"/>
      <c r="I4" s="905"/>
      <c r="J4" s="905"/>
      <c r="K4" s="905"/>
      <c r="L4" s="905"/>
    </row>
    <row r="5" spans="1:16" ht="12.6" outlineLevel="1" thickBot="1">
      <c r="B5" s="906" t="s">
        <v>344</v>
      </c>
      <c r="C5" s="483"/>
      <c r="D5" s="478"/>
      <c r="E5" s="478"/>
      <c r="F5" s="907"/>
      <c r="G5" s="907"/>
      <c r="H5" s="908">
        <f>Transaction!$I$25</f>
        <v>2025</v>
      </c>
      <c r="I5" s="908">
        <f>H5+1</f>
        <v>2026</v>
      </c>
      <c r="J5" s="908">
        <f>I5+1</f>
        <v>2027</v>
      </c>
      <c r="K5" s="908">
        <f>J5+1</f>
        <v>2028</v>
      </c>
      <c r="L5" s="908">
        <f>K5+1</f>
        <v>2029</v>
      </c>
    </row>
    <row r="6" spans="1:16" outlineLevel="1">
      <c r="B6" s="909"/>
      <c r="C6" s="467"/>
      <c r="D6" s="910"/>
      <c r="E6" s="910"/>
      <c r="F6" s="467"/>
      <c r="G6" s="467"/>
      <c r="H6" s="467"/>
      <c r="I6" s="467"/>
      <c r="J6" s="467"/>
      <c r="K6" s="911"/>
      <c r="L6" s="912"/>
    </row>
    <row r="7" spans="1:16" outlineLevel="1">
      <c r="B7" s="909" t="s">
        <v>149</v>
      </c>
      <c r="C7" s="910"/>
      <c r="D7" s="910"/>
      <c r="E7" s="913">
        <v>2</v>
      </c>
      <c r="F7" s="914"/>
      <c r="G7" s="913"/>
      <c r="H7" s="467"/>
      <c r="I7" s="467"/>
      <c r="J7" s="911"/>
      <c r="K7" s="912"/>
      <c r="L7" s="910"/>
    </row>
    <row r="8" spans="1:16" s="910" customFormat="1" outlineLevel="1">
      <c r="B8" s="909" t="s">
        <v>357</v>
      </c>
      <c r="E8" s="499"/>
      <c r="F8" s="499"/>
      <c r="G8" s="499"/>
      <c r="H8" s="915">
        <f>CHOOSE($E$7,$H10:$L10,$H11:$L11,$H12:$L12)</f>
        <v>5000000</v>
      </c>
      <c r="I8" s="916">
        <f>CHOOSE($E$7,$H10:$L10,$H11:$L11,$H12:$L12)</f>
        <v>5500000</v>
      </c>
      <c r="J8" s="916">
        <f>CHOOSE($E$7,$H10:$L10,$H11:$L11,$H12:$L12)</f>
        <v>6000000</v>
      </c>
      <c r="K8" s="916">
        <f>CHOOSE($E$7,$H10:$L10,$H11:$L11,$H12:$L12)</f>
        <v>6500000</v>
      </c>
      <c r="L8" s="917">
        <f>CHOOSE($E$7,$H10:$L10,$H11:$L11,$H12:$L12)</f>
        <v>7000000</v>
      </c>
    </row>
    <row r="9" spans="1:16" s="910" customFormat="1" outlineLevel="1">
      <c r="D9" s="467"/>
      <c r="E9" s="467"/>
      <c r="F9" s="467"/>
      <c r="G9" s="467"/>
      <c r="H9" s="918"/>
      <c r="I9" s="919"/>
      <c r="J9" s="920"/>
      <c r="K9" s="921"/>
      <c r="L9" s="921"/>
    </row>
    <row r="10" spans="1:16" s="910" customFormat="1" outlineLevel="1">
      <c r="B10" s="463" t="s">
        <v>148</v>
      </c>
      <c r="D10" s="463"/>
      <c r="E10" s="467"/>
      <c r="F10" s="922"/>
      <c r="G10" s="467"/>
      <c r="H10" s="923">
        <v>6000000</v>
      </c>
      <c r="I10" s="924">
        <v>6000000</v>
      </c>
      <c r="J10" s="924">
        <v>7000000</v>
      </c>
      <c r="K10" s="924">
        <v>8000000</v>
      </c>
      <c r="L10" s="925">
        <v>9000000</v>
      </c>
    </row>
    <row r="11" spans="1:16" s="910" customFormat="1" outlineLevel="1">
      <c r="B11" s="463" t="s">
        <v>103</v>
      </c>
      <c r="D11" s="467"/>
      <c r="E11" s="467"/>
      <c r="F11" s="922"/>
      <c r="G11" s="467"/>
      <c r="H11" s="926">
        <f>Outputs!W84</f>
        <v>5000000</v>
      </c>
      <c r="I11" s="569">
        <v>5500000</v>
      </c>
      <c r="J11" s="569">
        <v>6000000</v>
      </c>
      <c r="K11" s="569">
        <v>6500000</v>
      </c>
      <c r="L11" s="927">
        <v>7000000</v>
      </c>
    </row>
    <row r="12" spans="1:16" s="910" customFormat="1" outlineLevel="1">
      <c r="B12" s="463" t="s">
        <v>147</v>
      </c>
      <c r="D12" s="467"/>
      <c r="E12" s="467"/>
      <c r="F12" s="922"/>
      <c r="G12" s="467"/>
      <c r="H12" s="928">
        <v>3000000</v>
      </c>
      <c r="I12" s="571">
        <v>3500000</v>
      </c>
      <c r="J12" s="571">
        <v>4000000</v>
      </c>
      <c r="K12" s="571">
        <v>4500000</v>
      </c>
      <c r="L12" s="929">
        <v>5000000</v>
      </c>
    </row>
    <row r="13" spans="1:16" s="910" customFormat="1" outlineLevel="1">
      <c r="B13" s="930"/>
      <c r="D13" s="467"/>
      <c r="E13" s="467"/>
      <c r="F13" s="467"/>
      <c r="G13" s="467"/>
      <c r="H13" s="569"/>
      <c r="I13" s="569"/>
      <c r="J13" s="569"/>
      <c r="K13" s="569"/>
      <c r="L13" s="569"/>
      <c r="P13" s="931"/>
    </row>
    <row r="14" spans="1:16" s="910" customFormat="1" outlineLevel="1">
      <c r="B14" s="909" t="s">
        <v>833</v>
      </c>
      <c r="E14" s="499"/>
      <c r="F14" s="499"/>
      <c r="G14" s="499"/>
      <c r="H14" s="932">
        <f>CHOOSE($E$7,$H16:$L16,$H17:$L17,$H18:$L18)</f>
        <v>2.2999999999999998</v>
      </c>
      <c r="I14" s="933">
        <f>CHOOSE($E$7,$H16:$L16,$H17:$L17,$H18:$L18)</f>
        <v>2.4</v>
      </c>
      <c r="J14" s="933">
        <f>CHOOSE($E$7,$H16:$L16,$H17:$L17,$H18:$L18)</f>
        <v>2.5</v>
      </c>
      <c r="K14" s="933">
        <f>CHOOSE($E$7,$H16:$L16,$H17:$L17,$H18:$L18)</f>
        <v>2.6</v>
      </c>
      <c r="L14" s="934">
        <f>CHOOSE($E$7,$H16:$L16,$H17:$L17,$H18:$L18)</f>
        <v>2.7</v>
      </c>
    </row>
    <row r="15" spans="1:16" s="910" customFormat="1" outlineLevel="1">
      <c r="D15" s="467"/>
      <c r="E15" s="467"/>
      <c r="F15" s="467"/>
      <c r="G15" s="467"/>
      <c r="H15" s="918"/>
      <c r="I15" s="919"/>
      <c r="J15" s="920"/>
      <c r="K15" s="921"/>
      <c r="L15" s="921"/>
    </row>
    <row r="16" spans="1:16" s="910" customFormat="1" outlineLevel="1">
      <c r="B16" s="463" t="s">
        <v>148</v>
      </c>
      <c r="D16" s="463"/>
      <c r="E16" s="467"/>
      <c r="F16" s="922"/>
      <c r="G16" s="467"/>
      <c r="H16" s="935">
        <f>+H17+0.3</f>
        <v>2.5999999999999996</v>
      </c>
      <c r="I16" s="936">
        <f t="shared" ref="I16:L16" si="0">+I17+0.2</f>
        <v>2.6</v>
      </c>
      <c r="J16" s="936">
        <f t="shared" si="0"/>
        <v>2.7</v>
      </c>
      <c r="K16" s="936">
        <f t="shared" si="0"/>
        <v>2.8000000000000003</v>
      </c>
      <c r="L16" s="937">
        <f t="shared" si="0"/>
        <v>2.9000000000000004</v>
      </c>
    </row>
    <row r="17" spans="2:12" s="910" customFormat="1" outlineLevel="1">
      <c r="B17" s="463" t="s">
        <v>103</v>
      </c>
      <c r="D17" s="467"/>
      <c r="E17" s="467"/>
      <c r="F17" s="922"/>
      <c r="G17" s="467"/>
      <c r="H17" s="938">
        <f>Outputs!W83</f>
        <v>2.2999999999999998</v>
      </c>
      <c r="I17" s="939">
        <f>+H17+0.1</f>
        <v>2.4</v>
      </c>
      <c r="J17" s="939">
        <f t="shared" ref="J17:L17" si="1">+I17+0.1</f>
        <v>2.5</v>
      </c>
      <c r="K17" s="939">
        <f t="shared" si="1"/>
        <v>2.6</v>
      </c>
      <c r="L17" s="940">
        <f t="shared" si="1"/>
        <v>2.7</v>
      </c>
    </row>
    <row r="18" spans="2:12" s="910" customFormat="1" outlineLevel="1">
      <c r="B18" s="463" t="s">
        <v>147</v>
      </c>
      <c r="D18" s="467"/>
      <c r="E18" s="467"/>
      <c r="F18" s="922"/>
      <c r="G18" s="467"/>
      <c r="H18" s="941">
        <f>+H17-0.2</f>
        <v>2.0999999999999996</v>
      </c>
      <c r="I18" s="942">
        <f t="shared" ref="I18:L18" si="2">+I17-0.2</f>
        <v>2.1999999999999997</v>
      </c>
      <c r="J18" s="942">
        <f t="shared" si="2"/>
        <v>2.2999999999999998</v>
      </c>
      <c r="K18" s="942">
        <f t="shared" si="2"/>
        <v>2.4</v>
      </c>
      <c r="L18" s="943">
        <f t="shared" si="2"/>
        <v>2.5</v>
      </c>
    </row>
    <row r="19" spans="2:12" outlineLevel="1">
      <c r="B19" s="909"/>
      <c r="C19" s="467"/>
      <c r="D19" s="467"/>
      <c r="E19" s="467"/>
      <c r="F19" s="467"/>
      <c r="G19" s="467"/>
      <c r="H19" s="467"/>
      <c r="I19" s="911"/>
      <c r="J19" s="912"/>
      <c r="K19" s="910"/>
      <c r="L19" s="910"/>
    </row>
    <row r="20" spans="2:12" outlineLevel="1">
      <c r="B20" s="909" t="s">
        <v>10</v>
      </c>
      <c r="C20" s="910"/>
      <c r="D20" s="910"/>
      <c r="E20" s="499"/>
      <c r="F20" s="499"/>
      <c r="G20" s="499"/>
      <c r="H20" s="944">
        <f>INDEX(H22:H24,$E$7)</f>
        <v>0</v>
      </c>
      <c r="I20" s="945">
        <f>INDEX(I22:I24,$E$7)</f>
        <v>5.5E-2</v>
      </c>
      <c r="J20" s="945">
        <f>INDEX(J22:J24,$E$7)</f>
        <v>0.05</v>
      </c>
      <c r="K20" s="945">
        <f>INDEX(K22:K24,$E$7)</f>
        <v>4.4999999999999998E-2</v>
      </c>
      <c r="L20" s="946">
        <f>INDEX(L22:L24,$E$7)</f>
        <v>0.04</v>
      </c>
    </row>
    <row r="21" spans="2:12" outlineLevel="1">
      <c r="B21" s="909"/>
      <c r="C21" s="467"/>
      <c r="D21" s="467"/>
      <c r="E21" s="467"/>
      <c r="F21" s="467"/>
      <c r="G21" s="467"/>
      <c r="H21" s="947"/>
      <c r="I21" s="948"/>
      <c r="J21" s="949"/>
      <c r="K21" s="950"/>
      <c r="L21" s="950"/>
    </row>
    <row r="22" spans="2:12" outlineLevel="1">
      <c r="B22" s="463" t="s">
        <v>148</v>
      </c>
      <c r="D22" s="463"/>
      <c r="E22" s="467"/>
      <c r="F22" s="922"/>
      <c r="G22" s="467"/>
      <c r="H22" s="951">
        <v>0</v>
      </c>
      <c r="I22" s="952">
        <f>I23+0.5%</f>
        <v>0.06</v>
      </c>
      <c r="J22" s="952">
        <f t="shared" ref="J22:L22" si="3">J23+0.5%</f>
        <v>5.5E-2</v>
      </c>
      <c r="K22" s="952">
        <f t="shared" si="3"/>
        <v>4.9999999999999996E-2</v>
      </c>
      <c r="L22" s="953">
        <f t="shared" si="3"/>
        <v>4.4999999999999998E-2</v>
      </c>
    </row>
    <row r="23" spans="2:12" outlineLevel="1">
      <c r="B23" s="463" t="s">
        <v>103</v>
      </c>
      <c r="D23" s="467"/>
      <c r="E23" s="467"/>
      <c r="F23" s="922"/>
      <c r="G23" s="467"/>
      <c r="H23" s="954">
        <f>Outputs!W87</f>
        <v>0</v>
      </c>
      <c r="I23" s="548">
        <v>5.5E-2</v>
      </c>
      <c r="J23" s="548">
        <v>0.05</v>
      </c>
      <c r="K23" s="548">
        <v>4.4999999999999998E-2</v>
      </c>
      <c r="L23" s="955">
        <v>0.04</v>
      </c>
    </row>
    <row r="24" spans="2:12" outlineLevel="1">
      <c r="B24" s="463" t="s">
        <v>147</v>
      </c>
      <c r="D24" s="467"/>
      <c r="E24" s="467"/>
      <c r="F24" s="922"/>
      <c r="G24" s="467"/>
      <c r="H24" s="956">
        <v>0</v>
      </c>
      <c r="I24" s="957">
        <v>4.4999999999999998E-2</v>
      </c>
      <c r="J24" s="957">
        <f t="shared" ref="J24:L24" si="4">J23-0.5%</f>
        <v>4.5000000000000005E-2</v>
      </c>
      <c r="K24" s="957">
        <f t="shared" si="4"/>
        <v>0.04</v>
      </c>
      <c r="L24" s="958">
        <f t="shared" si="4"/>
        <v>3.5000000000000003E-2</v>
      </c>
    </row>
    <row r="25" spans="2:12" outlineLevel="1">
      <c r="B25" s="463"/>
      <c r="C25" s="959"/>
      <c r="D25" s="959"/>
      <c r="E25" s="959"/>
      <c r="F25" s="959"/>
      <c r="G25" s="959"/>
      <c r="H25" s="947"/>
      <c r="I25" s="960"/>
      <c r="J25" s="949"/>
      <c r="K25" s="950"/>
      <c r="L25" s="950"/>
    </row>
    <row r="26" spans="2:12" outlineLevel="1">
      <c r="B26" s="909" t="s">
        <v>14</v>
      </c>
      <c r="C26" s="959"/>
      <c r="D26" s="959"/>
      <c r="E26" s="959"/>
      <c r="F26" s="959"/>
      <c r="G26" s="959"/>
      <c r="H26" s="944">
        <f>INDEX(H28:H30,$E$7)</f>
        <v>0</v>
      </c>
      <c r="I26" s="945">
        <f>INDEX(I28:I30,$E$7)</f>
        <v>0.01</v>
      </c>
      <c r="J26" s="945">
        <f>INDEX(J28:J30,$E$7)</f>
        <v>0.01</v>
      </c>
      <c r="K26" s="945">
        <f>INDEX(K28:K30,$E$7)</f>
        <v>0.01</v>
      </c>
      <c r="L26" s="946">
        <f>INDEX(L28:L30,$E$7)</f>
        <v>0.01</v>
      </c>
    </row>
    <row r="27" spans="2:12" outlineLevel="1">
      <c r="B27" s="909"/>
      <c r="C27" s="959"/>
      <c r="D27" s="959"/>
      <c r="E27" s="959"/>
      <c r="F27" s="959"/>
      <c r="G27" s="959"/>
      <c r="H27" s="947"/>
      <c r="I27" s="960"/>
      <c r="J27" s="949"/>
      <c r="K27" s="950"/>
      <c r="L27" s="950"/>
    </row>
    <row r="28" spans="2:12" outlineLevel="1">
      <c r="B28" s="463" t="str">
        <f>$B$22</f>
        <v>Best Case</v>
      </c>
      <c r="D28" s="467"/>
      <c r="E28" s="467"/>
      <c r="F28" s="922"/>
      <c r="G28" s="467"/>
      <c r="H28" s="951"/>
      <c r="I28" s="952">
        <v>1.4999999999999999E-2</v>
      </c>
      <c r="J28" s="952">
        <v>1.4999999999999999E-2</v>
      </c>
      <c r="K28" s="952">
        <v>1.4999999999999999E-2</v>
      </c>
      <c r="L28" s="953">
        <v>1.4999999999999999E-2</v>
      </c>
    </row>
    <row r="29" spans="2:12" outlineLevel="1">
      <c r="B29" s="463" t="str">
        <f>$B$23</f>
        <v>Base Case</v>
      </c>
      <c r="D29" s="467"/>
      <c r="E29" s="467"/>
      <c r="F29" s="922"/>
      <c r="G29" s="467"/>
      <c r="H29" s="961"/>
      <c r="I29" s="548">
        <v>0.01</v>
      </c>
      <c r="J29" s="548">
        <v>0.01</v>
      </c>
      <c r="K29" s="548">
        <v>0.01</v>
      </c>
      <c r="L29" s="955">
        <v>0.01</v>
      </c>
    </row>
    <row r="30" spans="2:12" outlineLevel="1">
      <c r="B30" s="463" t="str">
        <f>$B$24</f>
        <v>Worst Case</v>
      </c>
      <c r="D30" s="467"/>
      <c r="E30" s="467"/>
      <c r="F30" s="922"/>
      <c r="G30" s="467"/>
      <c r="H30" s="956"/>
      <c r="I30" s="957">
        <v>5.0000000000000001E-3</v>
      </c>
      <c r="J30" s="957">
        <v>5.0000000000000001E-3</v>
      </c>
      <c r="K30" s="957">
        <v>5.0000000000000001E-3</v>
      </c>
      <c r="L30" s="958">
        <v>5.0000000000000001E-3</v>
      </c>
    </row>
    <row r="31" spans="2:12" outlineLevel="1">
      <c r="B31" s="480"/>
      <c r="C31" s="480"/>
      <c r="D31" s="480"/>
      <c r="E31" s="480"/>
      <c r="F31" s="480"/>
      <c r="G31" s="480"/>
      <c r="H31" s="962"/>
      <c r="I31" s="962"/>
      <c r="J31" s="962"/>
      <c r="K31" s="962"/>
      <c r="L31" s="962"/>
    </row>
    <row r="32" spans="2:12" outlineLevel="1">
      <c r="B32" s="909" t="s">
        <v>146</v>
      </c>
      <c r="C32" s="959"/>
      <c r="D32" s="959"/>
      <c r="E32" s="959"/>
      <c r="F32" s="959"/>
      <c r="G32" s="959"/>
      <c r="H32" s="944">
        <f>INDEX(H34:H36,$E$7)</f>
        <v>0</v>
      </c>
      <c r="I32" s="945">
        <f>INDEX(I34:I36,$E$7)</f>
        <v>0.05</v>
      </c>
      <c r="J32" s="945">
        <f>INDEX(J34:J36,$E$7)</f>
        <v>0.05</v>
      </c>
      <c r="K32" s="945">
        <f>INDEX(K34:K36,$E$7)</f>
        <v>0.05</v>
      </c>
      <c r="L32" s="946">
        <f>INDEX(L34:L36,$E$7)</f>
        <v>0.04</v>
      </c>
    </row>
    <row r="33" spans="1:12" outlineLevel="1">
      <c r="B33" s="480"/>
      <c r="C33" s="480"/>
      <c r="D33" s="480"/>
      <c r="E33" s="480"/>
      <c r="F33" s="480"/>
      <c r="G33" s="480"/>
      <c r="H33" s="962"/>
      <c r="I33" s="962"/>
      <c r="J33" s="962"/>
      <c r="K33" s="962"/>
      <c r="L33" s="962"/>
    </row>
    <row r="34" spans="1:12" outlineLevel="1">
      <c r="B34" s="463" t="str">
        <f>$B$22</f>
        <v>Best Case</v>
      </c>
      <c r="C34" s="480"/>
      <c r="D34" s="480"/>
      <c r="E34" s="480"/>
      <c r="F34" s="922"/>
      <c r="G34" s="480"/>
      <c r="H34" s="951">
        <v>0.02</v>
      </c>
      <c r="I34" s="952">
        <v>0.04</v>
      </c>
      <c r="J34" s="952">
        <v>0.04</v>
      </c>
      <c r="K34" s="952">
        <v>0.04</v>
      </c>
      <c r="L34" s="953">
        <v>4.2500000000000003E-2</v>
      </c>
    </row>
    <row r="35" spans="1:12" outlineLevel="1">
      <c r="B35" s="463" t="str">
        <f>$B$23</f>
        <v>Base Case</v>
      </c>
      <c r="C35" s="480"/>
      <c r="D35" s="480"/>
      <c r="E35" s="480"/>
      <c r="F35" s="922"/>
      <c r="G35" s="480"/>
      <c r="H35" s="961">
        <v>0</v>
      </c>
      <c r="I35" s="548">
        <v>0.05</v>
      </c>
      <c r="J35" s="548">
        <v>0.05</v>
      </c>
      <c r="K35" s="548">
        <v>0.05</v>
      </c>
      <c r="L35" s="955">
        <v>0.04</v>
      </c>
    </row>
    <row r="36" spans="1:12" outlineLevel="1">
      <c r="B36" s="463" t="str">
        <f>$B$24</f>
        <v>Worst Case</v>
      </c>
      <c r="C36" s="480"/>
      <c r="D36" s="480"/>
      <c r="E36" s="480"/>
      <c r="F36" s="922"/>
      <c r="G36" s="480"/>
      <c r="H36" s="956">
        <v>0.04</v>
      </c>
      <c r="I36" s="957">
        <f t="shared" ref="I36:L36" si="5">+I35+1%</f>
        <v>6.0000000000000005E-2</v>
      </c>
      <c r="J36" s="957">
        <f t="shared" si="5"/>
        <v>6.0000000000000005E-2</v>
      </c>
      <c r="K36" s="957">
        <f t="shared" si="5"/>
        <v>6.0000000000000005E-2</v>
      </c>
      <c r="L36" s="958">
        <f t="shared" si="5"/>
        <v>0.05</v>
      </c>
    </row>
    <row r="37" spans="1:12" outlineLevel="1">
      <c r="B37" s="909"/>
      <c r="C37" s="959"/>
      <c r="D37" s="959"/>
      <c r="E37" s="959"/>
      <c r="F37" s="959"/>
      <c r="G37" s="959"/>
      <c r="H37" s="918"/>
      <c r="I37" s="963"/>
      <c r="J37" s="920"/>
      <c r="K37" s="921"/>
      <c r="L37" s="921"/>
    </row>
    <row r="38" spans="1:12" outlineLevel="1">
      <c r="B38" s="909" t="s">
        <v>41</v>
      </c>
      <c r="C38" s="959"/>
      <c r="D38" s="959"/>
      <c r="E38" s="959"/>
      <c r="F38" s="959"/>
      <c r="G38" s="959"/>
      <c r="H38" s="915">
        <f>INDEX(H40:H42,$E$7)</f>
        <v>17136.360096249999</v>
      </c>
      <c r="I38" s="916">
        <f>INDEX(I40:I42,$E$7)</f>
        <v>8568.1800481249993</v>
      </c>
      <c r="J38" s="916">
        <f>INDEX(J40:J42,$E$7)</f>
        <v>8568.1800481249993</v>
      </c>
      <c r="K38" s="916">
        <f>INDEX(K40:K42,$E$7)</f>
        <v>8568.1800481249993</v>
      </c>
      <c r="L38" s="917">
        <f>INDEX(L40:L42,$E$7)</f>
        <v>8568.1800481249993</v>
      </c>
    </row>
    <row r="39" spans="1:12" outlineLevel="1">
      <c r="B39" s="909"/>
      <c r="C39" s="959"/>
      <c r="D39" s="959"/>
      <c r="E39" s="959"/>
      <c r="F39" s="959"/>
      <c r="G39" s="959"/>
      <c r="H39" s="964"/>
      <c r="I39" s="965"/>
      <c r="J39" s="966"/>
      <c r="K39" s="967"/>
      <c r="L39" s="967"/>
    </row>
    <row r="40" spans="1:12" outlineLevel="1">
      <c r="B40" s="463" t="str">
        <f>$B$22</f>
        <v>Best Case</v>
      </c>
      <c r="D40" s="467"/>
      <c r="E40" s="467"/>
      <c r="F40" s="922"/>
      <c r="G40" s="467"/>
      <c r="H40" s="923">
        <v>20962.860096249999</v>
      </c>
      <c r="I40" s="924">
        <f>H40*60%</f>
        <v>12577.716057749998</v>
      </c>
      <c r="J40" s="924">
        <f>I40</f>
        <v>12577.716057749998</v>
      </c>
      <c r="K40" s="924">
        <f t="shared" ref="K40:L40" si="6">J40</f>
        <v>12577.716057749998</v>
      </c>
      <c r="L40" s="968">
        <f t="shared" si="6"/>
        <v>12577.716057749998</v>
      </c>
    </row>
    <row r="41" spans="1:12" outlineLevel="1">
      <c r="B41" s="463" t="str">
        <f>$B$23</f>
        <v>Base Case</v>
      </c>
      <c r="D41" s="467"/>
      <c r="E41" s="467"/>
      <c r="F41" s="922"/>
      <c r="G41" s="467"/>
      <c r="H41" s="969">
        <f>Transaction!J15</f>
        <v>17136.360096249999</v>
      </c>
      <c r="I41" s="569">
        <f>H41*50%</f>
        <v>8568.1800481249993</v>
      </c>
      <c r="J41" s="569">
        <f>I41</f>
        <v>8568.1800481249993</v>
      </c>
      <c r="K41" s="569">
        <f t="shared" ref="K41:L42" si="7">J41</f>
        <v>8568.1800481249993</v>
      </c>
      <c r="L41" s="970">
        <f t="shared" si="7"/>
        <v>8568.1800481249993</v>
      </c>
    </row>
    <row r="42" spans="1:12" outlineLevel="1">
      <c r="B42" s="463" t="str">
        <f>$B$24</f>
        <v>Worst Case</v>
      </c>
      <c r="D42" s="467"/>
      <c r="E42" s="467"/>
      <c r="F42" s="922"/>
      <c r="G42" s="467"/>
      <c r="H42" s="928">
        <v>16962.860096249999</v>
      </c>
      <c r="I42" s="571">
        <f>H42*30%</f>
        <v>5088.858028874999</v>
      </c>
      <c r="J42" s="571">
        <f>I42</f>
        <v>5088.858028874999</v>
      </c>
      <c r="K42" s="571">
        <f t="shared" si="7"/>
        <v>5088.858028874999</v>
      </c>
      <c r="L42" s="971">
        <f t="shared" si="7"/>
        <v>5088.858028874999</v>
      </c>
    </row>
    <row r="43" spans="1:12" outlineLevel="1">
      <c r="B43" s="463"/>
      <c r="D43" s="467"/>
      <c r="E43" s="467"/>
      <c r="F43" s="467"/>
      <c r="G43" s="467"/>
      <c r="H43" s="569"/>
      <c r="I43" s="569"/>
      <c r="J43" s="569"/>
      <c r="K43" s="569"/>
      <c r="L43" s="569"/>
    </row>
    <row r="46" spans="1:12">
      <c r="A46" s="896" t="s">
        <v>80</v>
      </c>
      <c r="B46" s="902" t="s">
        <v>359</v>
      </c>
      <c r="C46" s="903"/>
      <c r="D46" s="903"/>
      <c r="E46" s="903"/>
      <c r="F46" s="904"/>
      <c r="G46" s="902"/>
      <c r="H46" s="903"/>
      <c r="I46" s="903"/>
      <c r="J46" s="903"/>
      <c r="K46" s="903"/>
      <c r="L46" s="903"/>
    </row>
    <row r="47" spans="1:12" outlineLevel="1">
      <c r="H47" s="905"/>
      <c r="I47" s="905"/>
      <c r="J47" s="905"/>
      <c r="K47" s="905"/>
      <c r="L47" s="905"/>
    </row>
    <row r="48" spans="1:12" s="910" customFormat="1" ht="12.6" outlineLevel="1" thickBot="1">
      <c r="A48" s="972"/>
      <c r="B48" s="483" t="s">
        <v>344</v>
      </c>
      <c r="D48" s="478"/>
      <c r="E48" s="907"/>
      <c r="F48" s="907"/>
      <c r="G48" s="973"/>
      <c r="H48" s="908">
        <f>H5</f>
        <v>2025</v>
      </c>
      <c r="I48" s="908">
        <f>H48+1</f>
        <v>2026</v>
      </c>
      <c r="J48" s="908">
        <f>I48+1</f>
        <v>2027</v>
      </c>
      <c r="K48" s="908">
        <f>J48+1</f>
        <v>2028</v>
      </c>
      <c r="L48" s="908">
        <f>K48+1</f>
        <v>2029</v>
      </c>
    </row>
    <row r="49" spans="1:12" s="910" customFormat="1" outlineLevel="1">
      <c r="B49" s="909" t="s">
        <v>149</v>
      </c>
      <c r="E49" s="913">
        <v>2</v>
      </c>
      <c r="F49" s="467"/>
      <c r="G49" s="467"/>
      <c r="H49" s="467"/>
      <c r="I49" s="467"/>
      <c r="J49" s="911"/>
      <c r="K49" s="912"/>
    </row>
    <row r="50" spans="1:12" s="910" customFormat="1" outlineLevel="1">
      <c r="B50" s="909"/>
      <c r="E50" s="913"/>
      <c r="F50" s="467"/>
      <c r="G50" s="467"/>
      <c r="H50" s="467"/>
      <c r="I50" s="467"/>
      <c r="J50" s="911"/>
      <c r="K50" s="912"/>
    </row>
    <row r="51" spans="1:12" s="910" customFormat="1" outlineLevel="1">
      <c r="B51" s="909" t="s">
        <v>216</v>
      </c>
      <c r="C51" s="909"/>
      <c r="E51" s="467"/>
      <c r="F51" s="467"/>
      <c r="G51" s="467"/>
      <c r="H51" s="467"/>
      <c r="I51" s="467"/>
      <c r="J51" s="911"/>
      <c r="K51" s="912"/>
    </row>
    <row r="52" spans="1:12" s="910" customFormat="1" outlineLevel="1">
      <c r="B52" s="974" t="s">
        <v>401</v>
      </c>
      <c r="E52" s="467"/>
      <c r="F52" s="975" t="s">
        <v>346</v>
      </c>
      <c r="G52" s="467"/>
      <c r="H52" s="1409">
        <v>250000</v>
      </c>
      <c r="I52" s="1410">
        <v>300000</v>
      </c>
      <c r="J52" s="1410">
        <v>350000</v>
      </c>
      <c r="K52" s="1410">
        <v>350000</v>
      </c>
      <c r="L52" s="1411">
        <v>350000</v>
      </c>
    </row>
    <row r="53" spans="1:12" s="910" customFormat="1" outlineLevel="1">
      <c r="B53" s="974" t="s">
        <v>349</v>
      </c>
      <c r="E53" s="467"/>
      <c r="F53" s="975" t="s">
        <v>346</v>
      </c>
      <c r="G53" s="467"/>
      <c r="H53" s="1412">
        <f>SUM('Machines Set Up Costs'!F39)</f>
        <v>810000</v>
      </c>
      <c r="I53" s="1413">
        <f>H53</f>
        <v>810000</v>
      </c>
      <c r="J53" s="1413">
        <f t="shared" ref="J53:L53" si="8">I53</f>
        <v>810000</v>
      </c>
      <c r="K53" s="1413">
        <f t="shared" si="8"/>
        <v>810000</v>
      </c>
      <c r="L53" s="1414">
        <f t="shared" si="8"/>
        <v>810000</v>
      </c>
    </row>
    <row r="54" spans="1:12" s="910" customFormat="1" outlineLevel="1">
      <c r="B54" s="974"/>
      <c r="E54" s="467"/>
      <c r="F54" s="975"/>
      <c r="G54" s="467"/>
      <c r="H54" s="928"/>
      <c r="I54" s="571"/>
      <c r="J54" s="571"/>
      <c r="K54" s="571"/>
      <c r="L54" s="929"/>
    </row>
    <row r="55" spans="1:12" s="910" customFormat="1" outlineLevel="1"/>
    <row r="56" spans="1:12" s="910" customFormat="1">
      <c r="B56" s="896"/>
      <c r="C56" s="896"/>
      <c r="D56" s="896"/>
      <c r="E56" s="896"/>
      <c r="F56" s="896"/>
      <c r="G56" s="896"/>
      <c r="H56" s="896"/>
      <c r="I56" s="896"/>
      <c r="J56" s="896"/>
      <c r="K56" s="896"/>
      <c r="L56" s="896"/>
    </row>
    <row r="57" spans="1:12">
      <c r="A57" s="896" t="s">
        <v>80</v>
      </c>
      <c r="B57" s="902" t="s">
        <v>358</v>
      </c>
      <c r="C57" s="903"/>
      <c r="D57" s="903"/>
      <c r="E57" s="903"/>
      <c r="F57" s="904"/>
      <c r="G57" s="902"/>
      <c r="H57" s="903"/>
      <c r="I57" s="903"/>
      <c r="J57" s="903"/>
      <c r="K57" s="903"/>
      <c r="L57" s="903"/>
    </row>
    <row r="58" spans="1:12" s="910" customFormat="1" outlineLevel="1">
      <c r="B58" s="974"/>
      <c r="E58" s="467"/>
      <c r="F58" s="975"/>
      <c r="G58" s="467"/>
      <c r="H58" s="905"/>
      <c r="I58" s="905"/>
      <c r="J58" s="905"/>
      <c r="K58" s="905"/>
      <c r="L58" s="905"/>
    </row>
    <row r="59" spans="1:12" s="910" customFormat="1" ht="12.6" outlineLevel="1" thickBot="1">
      <c r="B59" s="483" t="s">
        <v>344</v>
      </c>
      <c r="D59" s="478"/>
      <c r="E59" s="907"/>
      <c r="F59" s="975"/>
      <c r="G59" s="467"/>
      <c r="H59" s="908">
        <f>H5</f>
        <v>2025</v>
      </c>
      <c r="I59" s="908">
        <f>H59+1</f>
        <v>2026</v>
      </c>
      <c r="J59" s="908">
        <f>I59+1</f>
        <v>2027</v>
      </c>
      <c r="K59" s="908">
        <f>J59+1</f>
        <v>2028</v>
      </c>
      <c r="L59" s="908">
        <f>K59+1</f>
        <v>2029</v>
      </c>
    </row>
    <row r="60" spans="1:12" s="910" customFormat="1" outlineLevel="1">
      <c r="C60" s="909"/>
      <c r="E60" s="467"/>
      <c r="F60" s="975"/>
      <c r="G60" s="467"/>
      <c r="H60" s="569"/>
      <c r="I60" s="569"/>
      <c r="J60" s="569"/>
      <c r="K60" s="569"/>
      <c r="L60" s="569"/>
    </row>
    <row r="61" spans="1:12" s="910" customFormat="1" outlineLevel="1">
      <c r="B61" s="909" t="s">
        <v>149</v>
      </c>
      <c r="E61" s="913">
        <v>2</v>
      </c>
      <c r="F61" s="975"/>
      <c r="G61" s="467"/>
      <c r="H61" s="569"/>
      <c r="I61" s="569"/>
      <c r="J61" s="569"/>
      <c r="K61" s="569"/>
      <c r="L61" s="569"/>
    </row>
    <row r="62" spans="1:12" s="910" customFormat="1" outlineLevel="1">
      <c r="B62" s="909"/>
      <c r="E62" s="913"/>
      <c r="F62" s="975"/>
      <c r="G62" s="467"/>
      <c r="H62" s="569"/>
      <c r="I62" s="569"/>
      <c r="J62" s="569"/>
      <c r="K62" s="569"/>
      <c r="L62" s="569"/>
    </row>
    <row r="63" spans="1:12" outlineLevel="1">
      <c r="B63" s="976" t="s">
        <v>2</v>
      </c>
      <c r="C63" s="959"/>
      <c r="D63" s="493" t="s">
        <v>3</v>
      </c>
      <c r="E63" s="959"/>
      <c r="G63" s="959"/>
      <c r="H63" s="977">
        <f>INDEX(H65:H67,$E$61)</f>
        <v>25</v>
      </c>
      <c r="I63" s="978">
        <f>INDEX(I65:I67,$E$61)</f>
        <v>25</v>
      </c>
      <c r="J63" s="978">
        <f>INDEX(J65:J67,$E$61)</f>
        <v>25</v>
      </c>
      <c r="K63" s="978">
        <f>INDEX(K65:K67,$E$61)</f>
        <v>25</v>
      </c>
      <c r="L63" s="979">
        <f>INDEX(L65:L67,$E$61)</f>
        <v>25</v>
      </c>
    </row>
    <row r="64" spans="1:12" outlineLevel="1">
      <c r="B64" s="909"/>
      <c r="C64" s="959"/>
      <c r="D64" s="980"/>
      <c r="E64" s="959"/>
      <c r="G64" s="959"/>
      <c r="H64" s="981"/>
      <c r="I64" s="982"/>
      <c r="J64" s="983"/>
      <c r="K64" s="984"/>
      <c r="L64" s="984"/>
    </row>
    <row r="65" spans="2:12" outlineLevel="1">
      <c r="B65" s="463" t="str">
        <f>$B$22</f>
        <v>Best Case</v>
      </c>
      <c r="C65" s="959"/>
      <c r="D65" s="493" t="s">
        <v>3</v>
      </c>
      <c r="E65" s="959"/>
      <c r="F65" s="467"/>
      <c r="G65" s="959"/>
      <c r="H65" s="985">
        <v>20</v>
      </c>
      <c r="I65" s="986">
        <v>20</v>
      </c>
      <c r="J65" s="986">
        <v>15</v>
      </c>
      <c r="K65" s="986">
        <v>15</v>
      </c>
      <c r="L65" s="987">
        <v>15</v>
      </c>
    </row>
    <row r="66" spans="2:12" outlineLevel="1">
      <c r="B66" s="463" t="str">
        <f>$B$23</f>
        <v>Base Case</v>
      </c>
      <c r="C66" s="959"/>
      <c r="D66" s="493" t="s">
        <v>3</v>
      </c>
      <c r="E66" s="959"/>
      <c r="F66" s="467"/>
      <c r="G66" s="959"/>
      <c r="H66" s="988">
        <v>25</v>
      </c>
      <c r="I66" s="989">
        <v>25</v>
      </c>
      <c r="J66" s="989">
        <v>25</v>
      </c>
      <c r="K66" s="989">
        <v>25</v>
      </c>
      <c r="L66" s="990">
        <v>25</v>
      </c>
    </row>
    <row r="67" spans="2:12" outlineLevel="1">
      <c r="B67" s="463" t="str">
        <f>$B$24</f>
        <v>Worst Case</v>
      </c>
      <c r="C67" s="959"/>
      <c r="D67" s="493" t="s">
        <v>3</v>
      </c>
      <c r="E67" s="959"/>
      <c r="F67" s="467"/>
      <c r="G67" s="959"/>
      <c r="H67" s="991">
        <v>35</v>
      </c>
      <c r="I67" s="992">
        <v>35</v>
      </c>
      <c r="J67" s="992">
        <v>30</v>
      </c>
      <c r="K67" s="992">
        <v>30</v>
      </c>
      <c r="L67" s="993">
        <v>30</v>
      </c>
    </row>
    <row r="68" spans="2:12" outlineLevel="1">
      <c r="B68" s="909"/>
      <c r="C68" s="959"/>
      <c r="D68" s="493"/>
      <c r="E68" s="959"/>
      <c r="G68" s="959"/>
      <c r="H68" s="989"/>
      <c r="I68" s="989"/>
      <c r="J68" s="989"/>
      <c r="K68" s="989"/>
      <c r="L68" s="989"/>
    </row>
    <row r="69" spans="2:12" outlineLevel="1">
      <c r="B69" s="909" t="s">
        <v>4</v>
      </c>
      <c r="C69" s="959"/>
      <c r="D69" s="493" t="s">
        <v>3</v>
      </c>
      <c r="E69" s="959"/>
      <c r="G69" s="959"/>
      <c r="H69" s="977">
        <f>INDEX(H71:H73,$E$61)</f>
        <v>25</v>
      </c>
      <c r="I69" s="995">
        <f t="shared" ref="I69:L69" si="9">INDEX(I71:I73,$E$61)</f>
        <v>25</v>
      </c>
      <c r="J69" s="995">
        <f t="shared" si="9"/>
        <v>25</v>
      </c>
      <c r="K69" s="995">
        <f t="shared" si="9"/>
        <v>25</v>
      </c>
      <c r="L69" s="996">
        <f t="shared" si="9"/>
        <v>25</v>
      </c>
    </row>
    <row r="70" spans="2:12" outlineLevel="1">
      <c r="B70" s="909"/>
      <c r="C70" s="959"/>
      <c r="D70" s="980"/>
      <c r="E70" s="959"/>
      <c r="G70" s="959"/>
      <c r="H70" s="997"/>
      <c r="I70" s="997"/>
      <c r="J70" s="997"/>
      <c r="K70" s="997"/>
      <c r="L70" s="997"/>
    </row>
    <row r="71" spans="2:12" outlineLevel="1">
      <c r="B71" s="463" t="str">
        <f>$B$22</f>
        <v>Best Case</v>
      </c>
      <c r="C71" s="959"/>
      <c r="D71" s="493" t="s">
        <v>3</v>
      </c>
      <c r="E71" s="959"/>
      <c r="F71" s="467"/>
      <c r="G71" s="959"/>
      <c r="H71" s="985">
        <v>20</v>
      </c>
      <c r="I71" s="986">
        <v>17.5</v>
      </c>
      <c r="J71" s="986">
        <v>17.5</v>
      </c>
      <c r="K71" s="986">
        <v>15</v>
      </c>
      <c r="L71" s="987">
        <v>15</v>
      </c>
    </row>
    <row r="72" spans="2:12" outlineLevel="1">
      <c r="B72" s="463" t="str">
        <f>$B$23</f>
        <v>Base Case</v>
      </c>
      <c r="C72" s="959"/>
      <c r="D72" s="493" t="s">
        <v>3</v>
      </c>
      <c r="E72" s="959"/>
      <c r="F72" s="467"/>
      <c r="G72" s="959"/>
      <c r="H72" s="988">
        <v>25</v>
      </c>
      <c r="I72" s="989">
        <v>25</v>
      </c>
      <c r="J72" s="989">
        <v>25</v>
      </c>
      <c r="K72" s="989">
        <v>25</v>
      </c>
      <c r="L72" s="990">
        <v>25</v>
      </c>
    </row>
    <row r="73" spans="2:12" outlineLevel="1">
      <c r="B73" s="463" t="str">
        <f>$B$24</f>
        <v>Worst Case</v>
      </c>
      <c r="C73" s="959"/>
      <c r="D73" s="493" t="s">
        <v>3</v>
      </c>
      <c r="E73" s="959"/>
      <c r="F73" s="467"/>
      <c r="G73" s="959"/>
      <c r="H73" s="991">
        <v>30</v>
      </c>
      <c r="I73" s="992">
        <v>30</v>
      </c>
      <c r="J73" s="992">
        <v>30</v>
      </c>
      <c r="K73" s="992">
        <v>30</v>
      </c>
      <c r="L73" s="993">
        <v>30</v>
      </c>
    </row>
    <row r="74" spans="2:12" outlineLevel="1">
      <c r="B74" s="909"/>
      <c r="C74" s="959"/>
      <c r="D74" s="980"/>
      <c r="E74" s="959"/>
      <c r="G74" s="959"/>
      <c r="H74" s="989"/>
      <c r="I74" s="989"/>
      <c r="J74" s="989"/>
      <c r="K74" s="989"/>
      <c r="L74" s="989"/>
    </row>
    <row r="75" spans="2:12" outlineLevel="1">
      <c r="B75" s="909" t="s">
        <v>5</v>
      </c>
      <c r="C75" s="959"/>
      <c r="D75" s="493" t="s">
        <v>3</v>
      </c>
      <c r="E75" s="959"/>
      <c r="G75" s="959"/>
      <c r="H75" s="994">
        <f t="shared" ref="H75:L75" si="10">INDEX(H77:H79,$E$61)</f>
        <v>35</v>
      </c>
      <c r="I75" s="995">
        <f t="shared" si="10"/>
        <v>35</v>
      </c>
      <c r="J75" s="995">
        <f t="shared" si="10"/>
        <v>35</v>
      </c>
      <c r="K75" s="995">
        <f t="shared" si="10"/>
        <v>35</v>
      </c>
      <c r="L75" s="996">
        <f t="shared" si="10"/>
        <v>35</v>
      </c>
    </row>
    <row r="76" spans="2:12" outlineLevel="1">
      <c r="B76" s="909"/>
      <c r="C76" s="959"/>
      <c r="D76" s="980"/>
      <c r="E76" s="959"/>
      <c r="G76" s="959"/>
      <c r="H76" s="997"/>
      <c r="I76" s="997"/>
      <c r="J76" s="997"/>
      <c r="K76" s="997"/>
      <c r="L76" s="997"/>
    </row>
    <row r="77" spans="2:12" outlineLevel="1">
      <c r="B77" s="463" t="str">
        <f>$B$22</f>
        <v>Best Case</v>
      </c>
      <c r="C77" s="959"/>
      <c r="D77" s="493" t="s">
        <v>3</v>
      </c>
      <c r="E77" s="959"/>
      <c r="F77" s="467"/>
      <c r="G77" s="959"/>
      <c r="H77" s="985">
        <v>60</v>
      </c>
      <c r="I77" s="986">
        <v>60</v>
      </c>
      <c r="J77" s="986">
        <v>90</v>
      </c>
      <c r="K77" s="986">
        <v>90</v>
      </c>
      <c r="L77" s="987">
        <v>90</v>
      </c>
    </row>
    <row r="78" spans="2:12" outlineLevel="1">
      <c r="B78" s="463" t="str">
        <f>$B$23</f>
        <v>Base Case</v>
      </c>
      <c r="C78" s="959"/>
      <c r="D78" s="493" t="s">
        <v>3</v>
      </c>
      <c r="E78" s="959"/>
      <c r="F78" s="467"/>
      <c r="G78" s="959"/>
      <c r="H78" s="988">
        <v>35</v>
      </c>
      <c r="I78" s="989">
        <v>35</v>
      </c>
      <c r="J78" s="989">
        <v>35</v>
      </c>
      <c r="K78" s="989">
        <v>35</v>
      </c>
      <c r="L78" s="990">
        <v>35</v>
      </c>
    </row>
    <row r="79" spans="2:12" outlineLevel="1">
      <c r="B79" s="463" t="str">
        <f>$B$24</f>
        <v>Worst Case</v>
      </c>
      <c r="C79" s="959"/>
      <c r="D79" s="493" t="s">
        <v>3</v>
      </c>
      <c r="E79" s="959"/>
      <c r="F79" s="467"/>
      <c r="G79" s="959"/>
      <c r="H79" s="991">
        <v>30</v>
      </c>
      <c r="I79" s="992">
        <v>30</v>
      </c>
      <c r="J79" s="992">
        <v>30</v>
      </c>
      <c r="K79" s="992">
        <v>30</v>
      </c>
      <c r="L79" s="993">
        <v>30</v>
      </c>
    </row>
    <row r="80" spans="2:12" outlineLevel="1">
      <c r="B80" s="998" t="s">
        <v>80</v>
      </c>
      <c r="C80" s="999"/>
      <c r="D80" s="999"/>
      <c r="E80" s="999"/>
      <c r="F80" s="999"/>
      <c r="G80" s="999"/>
      <c r="H80" s="999"/>
      <c r="I80" s="999"/>
      <c r="J80" s="999"/>
      <c r="K80" s="999"/>
      <c r="L80" s="999"/>
    </row>
    <row r="81" spans="1:12">
      <c r="B81" s="1000"/>
      <c r="C81" s="480"/>
      <c r="D81" s="480"/>
      <c r="E81" s="480"/>
      <c r="F81" s="480"/>
      <c r="G81" s="480"/>
      <c r="H81" s="480"/>
      <c r="I81" s="480"/>
      <c r="J81" s="480"/>
      <c r="K81" s="480"/>
      <c r="L81" s="480"/>
    </row>
    <row r="82" spans="1:12">
      <c r="B82" s="1000"/>
      <c r="C82" s="480"/>
      <c r="D82" s="480"/>
      <c r="E82" s="480"/>
      <c r="F82" s="480"/>
      <c r="G82" s="480"/>
      <c r="H82" s="480"/>
      <c r="I82" s="480"/>
      <c r="J82" s="480"/>
      <c r="K82" s="480"/>
      <c r="L82" s="480"/>
    </row>
    <row r="83" spans="1:12">
      <c r="A83" s="896" t="s">
        <v>80</v>
      </c>
      <c r="B83" s="902" t="s">
        <v>279</v>
      </c>
      <c r="C83" s="903"/>
      <c r="D83" s="903"/>
      <c r="E83" s="903"/>
      <c r="F83" s="904"/>
      <c r="G83" s="902"/>
      <c r="H83" s="903"/>
      <c r="I83" s="903"/>
      <c r="J83" s="903"/>
      <c r="K83" s="903"/>
      <c r="L83" s="903"/>
    </row>
    <row r="84" spans="1:12" outlineLevel="1">
      <c r="B84" s="910"/>
      <c r="C84" s="959"/>
      <c r="D84" s="959"/>
      <c r="E84" s="959"/>
      <c r="F84" s="959"/>
      <c r="G84" s="959"/>
      <c r="H84" s="905"/>
      <c r="I84" s="905"/>
      <c r="J84" s="905"/>
      <c r="K84" s="905"/>
      <c r="L84" s="905"/>
    </row>
    <row r="85" spans="1:12" ht="12.6" outlineLevel="1" thickBot="1">
      <c r="B85" s="906" t="s">
        <v>344</v>
      </c>
      <c r="C85" s="483"/>
      <c r="D85" s="478"/>
      <c r="E85" s="478"/>
      <c r="F85" s="907"/>
      <c r="G85" s="907"/>
      <c r="H85" s="908">
        <f>H$5</f>
        <v>2025</v>
      </c>
      <c r="I85" s="908">
        <f>I$5</f>
        <v>2026</v>
      </c>
      <c r="J85" s="908">
        <f>J$5</f>
        <v>2027</v>
      </c>
      <c r="K85" s="908">
        <f>K$5</f>
        <v>2028</v>
      </c>
      <c r="L85" s="908">
        <f>L$5</f>
        <v>2029</v>
      </c>
    </row>
    <row r="86" spans="1:12" outlineLevel="1">
      <c r="B86" s="910"/>
      <c r="C86" s="959"/>
      <c r="D86" s="959"/>
      <c r="E86" s="959"/>
      <c r="F86" s="959"/>
      <c r="G86" s="959"/>
      <c r="H86" s="480"/>
      <c r="I86" s="480"/>
      <c r="J86" s="480"/>
      <c r="K86" s="480"/>
      <c r="L86" s="480"/>
    </row>
    <row r="87" spans="1:12" outlineLevel="1">
      <c r="B87" s="909" t="s">
        <v>149</v>
      </c>
      <c r="C87" s="959"/>
      <c r="D87" s="1001"/>
      <c r="E87" s="1002">
        <v>2</v>
      </c>
      <c r="F87" s="1001"/>
      <c r="G87" s="1002"/>
      <c r="H87" s="480"/>
      <c r="I87" s="480"/>
      <c r="J87" s="480"/>
      <c r="K87" s="480"/>
      <c r="L87" s="480"/>
    </row>
    <row r="88" spans="1:12" outlineLevel="1">
      <c r="B88" s="910"/>
      <c r="C88" s="959"/>
      <c r="D88" s="959"/>
      <c r="E88" s="959"/>
      <c r="F88" s="959"/>
      <c r="G88" s="959"/>
      <c r="H88" s="480"/>
      <c r="I88" s="480"/>
      <c r="J88" s="480"/>
      <c r="K88" s="480"/>
      <c r="L88" s="480"/>
    </row>
    <row r="89" spans="1:12" outlineLevel="1">
      <c r="B89" s="976" t="s">
        <v>227</v>
      </c>
      <c r="C89" s="959"/>
      <c r="D89" s="493" t="s">
        <v>226</v>
      </c>
      <c r="E89" s="959"/>
      <c r="G89" s="959"/>
      <c r="H89" s="1003">
        <f t="array" ref="H89">INDEX(H91:H93,$E$87)</f>
        <v>55</v>
      </c>
      <c r="I89" s="1004">
        <f t="array" ref="I89">INDEX(I91:I93,$E$87)</f>
        <v>75</v>
      </c>
      <c r="J89" s="1004">
        <f t="array" ref="J89">INDEX(J91:J93,$E$87)</f>
        <v>95</v>
      </c>
      <c r="K89" s="1004">
        <f t="array" ref="K89">INDEX(K91:K93,$E$87)</f>
        <v>115</v>
      </c>
      <c r="L89" s="1005">
        <f t="array" ref="L89">INDEX(L91:L93,$E$87)</f>
        <v>135</v>
      </c>
    </row>
    <row r="90" spans="1:12" outlineLevel="1">
      <c r="B90" s="909"/>
      <c r="C90" s="959"/>
      <c r="D90" s="980"/>
      <c r="E90" s="959"/>
      <c r="G90" s="959"/>
      <c r="H90" s="1006"/>
      <c r="I90" s="1007"/>
      <c r="J90" s="1008"/>
      <c r="K90" s="1009"/>
      <c r="L90" s="1009"/>
    </row>
    <row r="91" spans="1:12" outlineLevel="1">
      <c r="B91" s="463" t="str">
        <f>$B$22</f>
        <v>Best Case</v>
      </c>
      <c r="C91" s="959"/>
      <c r="D91" s="493" t="s">
        <v>226</v>
      </c>
      <c r="E91" s="959"/>
      <c r="F91" s="467"/>
      <c r="G91" s="959"/>
      <c r="H91" s="1010">
        <v>35</v>
      </c>
      <c r="I91" s="1011">
        <v>55</v>
      </c>
      <c r="J91" s="1011">
        <v>75</v>
      </c>
      <c r="K91" s="1011">
        <v>95</v>
      </c>
      <c r="L91" s="1012">
        <v>115</v>
      </c>
    </row>
    <row r="92" spans="1:12" outlineLevel="1">
      <c r="B92" s="463" t="str">
        <f>$B$23</f>
        <v>Base Case</v>
      </c>
      <c r="C92" s="959"/>
      <c r="D92" s="493" t="s">
        <v>226</v>
      </c>
      <c r="E92" s="959"/>
      <c r="F92" s="467"/>
      <c r="G92" s="959"/>
      <c r="H92" s="1013">
        <v>55</v>
      </c>
      <c r="I92" s="1014">
        <v>75</v>
      </c>
      <c r="J92" s="1014">
        <v>95</v>
      </c>
      <c r="K92" s="1014">
        <v>115</v>
      </c>
      <c r="L92" s="1015">
        <v>135</v>
      </c>
    </row>
    <row r="93" spans="1:12" outlineLevel="1">
      <c r="B93" s="463" t="str">
        <f>$B$24</f>
        <v>Worst Case</v>
      </c>
      <c r="C93" s="959"/>
      <c r="D93" s="493" t="s">
        <v>226</v>
      </c>
      <c r="E93" s="959"/>
      <c r="F93" s="467"/>
      <c r="G93" s="959"/>
      <c r="H93" s="1016">
        <v>75</v>
      </c>
      <c r="I93" s="1017">
        <v>95</v>
      </c>
      <c r="J93" s="1017">
        <v>115</v>
      </c>
      <c r="K93" s="1017">
        <v>135</v>
      </c>
      <c r="L93" s="1018">
        <v>155</v>
      </c>
    </row>
    <row r="94" spans="1:12" outlineLevel="1">
      <c r="B94" s="909"/>
      <c r="C94" s="959"/>
      <c r="D94" s="493"/>
      <c r="E94" s="959"/>
      <c r="G94" s="959"/>
      <c r="H94" s="1014"/>
      <c r="I94" s="1014"/>
      <c r="J94" s="1014"/>
      <c r="K94" s="1014"/>
      <c r="L94" s="1014"/>
    </row>
    <row r="95" spans="1:12" outlineLevel="1">
      <c r="B95" s="909"/>
      <c r="C95" s="959"/>
      <c r="D95" s="980"/>
      <c r="E95" s="959"/>
      <c r="G95" s="959"/>
      <c r="H95" s="1014"/>
      <c r="I95" s="1014"/>
      <c r="J95" s="1014"/>
      <c r="K95" s="1014"/>
      <c r="L95" s="1014"/>
    </row>
    <row r="96" spans="1:12" outlineLevel="1">
      <c r="B96" s="909" t="s">
        <v>178</v>
      </c>
      <c r="C96" s="959"/>
      <c r="D96" s="493"/>
      <c r="E96" s="959"/>
      <c r="G96" s="959"/>
      <c r="H96" s="1003">
        <f t="array" ref="H96">INDEX(H98:H100,$E$87)</f>
        <v>0</v>
      </c>
      <c r="I96" s="1004">
        <f t="array" ref="I96">INDEX(I98:I100,$E$87)</f>
        <v>0</v>
      </c>
      <c r="J96" s="1004">
        <f t="array" ref="J96">INDEX(J98:J100,$E$87)</f>
        <v>0</v>
      </c>
      <c r="K96" s="1004">
        <f t="array" ref="K96">INDEX(K98:K100,$E$87)</f>
        <v>0</v>
      </c>
      <c r="L96" s="1005">
        <f t="array" ref="L96">INDEX(L98:L100,$E$87)</f>
        <v>0</v>
      </c>
    </row>
    <row r="97" spans="2:13" outlineLevel="1">
      <c r="B97" s="909"/>
      <c r="C97" s="959"/>
      <c r="D97" s="980"/>
      <c r="E97" s="959"/>
      <c r="G97" s="959"/>
      <c r="H97" s="964"/>
      <c r="I97" s="965"/>
      <c r="J97" s="966"/>
      <c r="K97" s="967"/>
      <c r="L97" s="967"/>
    </row>
    <row r="98" spans="2:13" outlineLevel="1">
      <c r="B98" s="463" t="str">
        <f>$B$22</f>
        <v>Best Case</v>
      </c>
      <c r="D98" s="493" t="s">
        <v>271</v>
      </c>
      <c r="E98" s="467"/>
      <c r="F98" s="467"/>
      <c r="G98" s="467"/>
      <c r="H98" s="1010">
        <v>0</v>
      </c>
      <c r="I98" s="1011">
        <v>0</v>
      </c>
      <c r="J98" s="1011">
        <v>0</v>
      </c>
      <c r="K98" s="1011">
        <v>0</v>
      </c>
      <c r="L98" s="1012">
        <v>0</v>
      </c>
    </row>
    <row r="99" spans="2:13" outlineLevel="1">
      <c r="B99" s="463" t="str">
        <f>$B$23</f>
        <v>Base Case</v>
      </c>
      <c r="D99" s="493" t="s">
        <v>271</v>
      </c>
      <c r="E99" s="467"/>
      <c r="F99" s="467"/>
      <c r="G99" s="467"/>
      <c r="H99" s="1013">
        <v>0</v>
      </c>
      <c r="I99" s="1014">
        <v>0</v>
      </c>
      <c r="J99" s="1014">
        <v>0</v>
      </c>
      <c r="K99" s="1014">
        <v>0</v>
      </c>
      <c r="L99" s="1015">
        <v>0</v>
      </c>
    </row>
    <row r="100" spans="2:13" outlineLevel="1">
      <c r="B100" s="463" t="str">
        <f>$B$24</f>
        <v>Worst Case</v>
      </c>
      <c r="D100" s="493" t="s">
        <v>271</v>
      </c>
      <c r="E100" s="467"/>
      <c r="F100" s="467"/>
      <c r="G100" s="467"/>
      <c r="H100" s="1016">
        <v>0</v>
      </c>
      <c r="I100" s="1017">
        <v>0</v>
      </c>
      <c r="J100" s="1017">
        <v>0</v>
      </c>
      <c r="K100" s="1017">
        <v>0</v>
      </c>
      <c r="L100" s="1018">
        <v>0</v>
      </c>
    </row>
    <row r="101" spans="2:13" outlineLevel="1">
      <c r="B101" s="463"/>
      <c r="D101" s="1019"/>
      <c r="E101" s="467"/>
      <c r="G101" s="467"/>
      <c r="H101" s="1014"/>
      <c r="I101" s="1014"/>
      <c r="J101" s="1014"/>
      <c r="K101" s="1014"/>
      <c r="L101" s="1014"/>
    </row>
    <row r="102" spans="2:13" outlineLevel="1">
      <c r="D102" s="1020"/>
      <c r="H102" s="1021"/>
      <c r="I102" s="1021"/>
      <c r="J102" s="1021"/>
      <c r="K102" s="1021"/>
      <c r="L102" s="1021"/>
    </row>
    <row r="103" spans="2:13" outlineLevel="1">
      <c r="B103" s="909" t="s">
        <v>276</v>
      </c>
      <c r="C103" s="959"/>
      <c r="D103" s="493"/>
      <c r="E103" s="959"/>
      <c r="G103" s="959"/>
      <c r="H103" s="1003">
        <f t="array" ref="H103">INDEX(H105:H107,$E$87)</f>
        <v>16737.860096249999</v>
      </c>
      <c r="I103" s="1004">
        <f t="array" ref="I103">INDEX(I105:I107,$E$87)</f>
        <v>0</v>
      </c>
      <c r="J103" s="1004">
        <f t="array" ref="J103">INDEX(J105:J107,$E$87)</f>
        <v>0</v>
      </c>
      <c r="K103" s="1004">
        <f t="array" ref="K103">INDEX(K105:K107,$E$87)</f>
        <v>0</v>
      </c>
      <c r="L103" s="1005">
        <f t="array" ref="L103">INDEX(L105:L107,$E$87)</f>
        <v>0</v>
      </c>
      <c r="M103" s="1022"/>
    </row>
    <row r="104" spans="2:13" outlineLevel="1">
      <c r="B104" s="909"/>
      <c r="C104" s="959"/>
      <c r="D104" s="980"/>
      <c r="E104" s="959"/>
      <c r="G104" s="959"/>
      <c r="H104" s="1023"/>
      <c r="I104" s="1023"/>
      <c r="J104" s="1023"/>
      <c r="K104" s="1023"/>
      <c r="L104" s="1023"/>
      <c r="M104" s="1024"/>
    </row>
    <row r="105" spans="2:13" outlineLevel="1">
      <c r="B105" s="463" t="str">
        <f>$B$22</f>
        <v>Best Case</v>
      </c>
      <c r="C105" s="959"/>
      <c r="D105" s="493" t="s">
        <v>272</v>
      </c>
      <c r="E105" s="959"/>
      <c r="F105" s="467"/>
      <c r="G105" s="959"/>
      <c r="H105" s="1010">
        <f>+H106+2000</f>
        <v>18737.860096249999</v>
      </c>
      <c r="I105" s="1011">
        <v>0</v>
      </c>
      <c r="J105" s="1011">
        <v>0</v>
      </c>
      <c r="K105" s="1011">
        <v>0</v>
      </c>
      <c r="L105" s="1012">
        <v>0</v>
      </c>
      <c r="M105" s="1022"/>
    </row>
    <row r="106" spans="2:13" outlineLevel="1">
      <c r="B106" s="463" t="str">
        <f>$B$23</f>
        <v>Base Case</v>
      </c>
      <c r="C106" s="959"/>
      <c r="D106" s="493" t="s">
        <v>272</v>
      </c>
      <c r="E106" s="959"/>
      <c r="F106" s="467"/>
      <c r="G106" s="959"/>
      <c r="H106" s="1013">
        <f>Transaction!C21</f>
        <v>16737.860096249999</v>
      </c>
      <c r="I106" s="1014">
        <v>0</v>
      </c>
      <c r="J106" s="1014">
        <v>0</v>
      </c>
      <c r="K106" s="1014">
        <v>0</v>
      </c>
      <c r="L106" s="1015">
        <v>0</v>
      </c>
    </row>
    <row r="107" spans="2:13" outlineLevel="1">
      <c r="B107" s="463" t="str">
        <f>$B$24</f>
        <v>Worst Case</v>
      </c>
      <c r="C107" s="959"/>
      <c r="D107" s="493" t="s">
        <v>272</v>
      </c>
      <c r="E107" s="959"/>
      <c r="F107" s="467"/>
      <c r="G107" s="959"/>
      <c r="H107" s="1016">
        <f>16000</f>
        <v>16000</v>
      </c>
      <c r="I107" s="1017">
        <v>0</v>
      </c>
      <c r="J107" s="1017">
        <v>0</v>
      </c>
      <c r="K107" s="1017">
        <v>0</v>
      </c>
      <c r="L107" s="1018">
        <v>0</v>
      </c>
    </row>
    <row r="108" spans="2:13" outlineLevel="1">
      <c r="B108" s="909"/>
      <c r="C108" s="959"/>
      <c r="D108" s="980"/>
      <c r="E108" s="959"/>
      <c r="G108" s="959"/>
      <c r="H108" s="1014"/>
      <c r="I108" s="1014"/>
      <c r="J108" s="1014"/>
      <c r="K108" s="1014"/>
      <c r="L108" s="1014"/>
    </row>
    <row r="109" spans="2:13" outlineLevel="1">
      <c r="B109" s="909"/>
      <c r="C109" s="959"/>
      <c r="D109" s="980"/>
      <c r="E109" s="959"/>
      <c r="G109" s="959"/>
      <c r="H109" s="1014"/>
      <c r="I109" s="1014"/>
      <c r="J109" s="1014"/>
      <c r="K109" s="1014"/>
      <c r="L109" s="1014"/>
    </row>
    <row r="110" spans="2:13" outlineLevel="1">
      <c r="B110" s="909" t="s">
        <v>277</v>
      </c>
      <c r="C110" s="959"/>
      <c r="D110" s="493"/>
      <c r="E110" s="959"/>
      <c r="G110" s="959"/>
      <c r="H110" s="1003">
        <f t="array" ref="H110">INDEX(H112:H114,$E$87)</f>
        <v>0</v>
      </c>
      <c r="I110" s="1004">
        <f t="array" ref="I110">INDEX(I112:I114,$E$87)</f>
        <v>0</v>
      </c>
      <c r="J110" s="1004">
        <f t="array" ref="J110">INDEX(J112:J114,$E$87)</f>
        <v>0</v>
      </c>
      <c r="K110" s="1004">
        <f t="array" ref="K110">INDEX(K112:K114,$E$87)</f>
        <v>0</v>
      </c>
      <c r="L110" s="1005">
        <f t="array" ref="L110">INDEX(L112:L114,$E$87)</f>
        <v>0</v>
      </c>
    </row>
    <row r="111" spans="2:13" outlineLevel="1">
      <c r="B111" s="909"/>
      <c r="C111" s="959"/>
      <c r="D111" s="980"/>
      <c r="E111" s="959"/>
      <c r="G111" s="959"/>
      <c r="H111" s="1023"/>
      <c r="I111" s="1023"/>
      <c r="J111" s="1023"/>
      <c r="K111" s="1023"/>
      <c r="L111" s="1023"/>
    </row>
    <row r="112" spans="2:13" outlineLevel="1">
      <c r="B112" s="463" t="str">
        <f>$B$22</f>
        <v>Best Case</v>
      </c>
      <c r="C112" s="959"/>
      <c r="D112" s="493" t="s">
        <v>271</v>
      </c>
      <c r="E112" s="959"/>
      <c r="F112" s="467"/>
      <c r="G112" s="959"/>
      <c r="H112" s="1010">
        <v>0</v>
      </c>
      <c r="I112" s="1011">
        <v>0</v>
      </c>
      <c r="J112" s="1011">
        <v>0</v>
      </c>
      <c r="K112" s="1011">
        <v>0</v>
      </c>
      <c r="L112" s="1012">
        <v>0</v>
      </c>
    </row>
    <row r="113" spans="2:12" outlineLevel="1">
      <c r="B113" s="463" t="str">
        <f>$B$23</f>
        <v>Base Case</v>
      </c>
      <c r="C113" s="959"/>
      <c r="D113" s="493" t="s">
        <v>271</v>
      </c>
      <c r="E113" s="959"/>
      <c r="F113" s="467"/>
      <c r="G113" s="959"/>
      <c r="H113" s="1013">
        <v>0</v>
      </c>
      <c r="I113" s="1014">
        <v>0</v>
      </c>
      <c r="J113" s="1014">
        <v>0</v>
      </c>
      <c r="K113" s="1014">
        <v>0</v>
      </c>
      <c r="L113" s="1015">
        <v>0</v>
      </c>
    </row>
    <row r="114" spans="2:12" outlineLevel="1">
      <c r="B114" s="463" t="str">
        <f>$B$24</f>
        <v>Worst Case</v>
      </c>
      <c r="C114" s="959"/>
      <c r="D114" s="493" t="s">
        <v>271</v>
      </c>
      <c r="E114" s="959"/>
      <c r="F114" s="467"/>
      <c r="G114" s="959"/>
      <c r="H114" s="1016">
        <v>0</v>
      </c>
      <c r="I114" s="1017">
        <v>0</v>
      </c>
      <c r="J114" s="1017">
        <v>0</v>
      </c>
      <c r="K114" s="1017">
        <v>0</v>
      </c>
      <c r="L114" s="1018">
        <v>0</v>
      </c>
    </row>
    <row r="115" spans="2:12" outlineLevel="1"/>
    <row r="116" spans="2:12" outlineLevel="1">
      <c r="B116" s="1025"/>
      <c r="C116" s="1025"/>
      <c r="D116" s="1025"/>
      <c r="E116" s="1025"/>
      <c r="F116" s="1025"/>
      <c r="G116" s="1025"/>
      <c r="H116" s="1025"/>
      <c r="I116" s="1025"/>
      <c r="J116" s="1025"/>
      <c r="K116" s="1025"/>
      <c r="L116" s="1025" t="s">
        <v>80</v>
      </c>
    </row>
  </sheetData>
  <conditionalFormatting sqref="H2:K2 I6:L6 H7:L7 H22:L22 H31:L31 H32:K32 H33:L33 H34:K43 I40:L41 H49:L54">
    <cfRule type="containsText" dxfId="41" priority="146" operator="containsText" text="ERROR">
      <formula>NOT(ISERROR(SEARCH("ERROR",H2)))</formula>
    </cfRule>
  </conditionalFormatting>
  <conditionalFormatting sqref="H2:K2 I6:L6 H7:L7 H22:L22 H31:L31 H32:K32 H33:L33 H34:K43 I40:L41">
    <cfRule type="containsText" dxfId="40" priority="145" operator="containsText" text="OK">
      <formula>NOT(ISERROR(SEARCH("OK",H2)))</formula>
    </cfRule>
  </conditionalFormatting>
  <conditionalFormatting sqref="H8:K21 H52:K54">
    <cfRule type="containsText" dxfId="39" priority="9" operator="containsText" text="OK">
      <formula>NOT(ISERROR(SEARCH("OK",H8)))</formula>
    </cfRule>
    <cfRule type="containsText" dxfId="38" priority="10" operator="containsText" text="ERROR">
      <formula>NOT(ISERROR(SEARCH("ERROR",H8)))</formula>
    </cfRule>
  </conditionalFormatting>
  <conditionalFormatting sqref="H23:K30">
    <cfRule type="containsText" dxfId="37" priority="135" operator="containsText" text="OK">
      <formula>NOT(ISERROR(SEARCH("OK",H23)))</formula>
    </cfRule>
    <cfRule type="containsText" dxfId="36" priority="136" operator="containsText" text="ERROR">
      <formula>NOT(ISERROR(SEARCH("ERROR",H23)))</formula>
    </cfRule>
  </conditionalFormatting>
  <conditionalFormatting sqref="H60:K62">
    <cfRule type="containsText" dxfId="35" priority="63" operator="containsText" text="OK">
      <formula>NOT(ISERROR(SEARCH("OK",H60)))</formula>
    </cfRule>
    <cfRule type="containsText" dxfId="34" priority="64" operator="containsText" text="ERROR">
      <formula>NOT(ISERROR(SEARCH("ERROR",H60)))</formula>
    </cfRule>
  </conditionalFormatting>
  <conditionalFormatting sqref="H64:K64 H65:L65 H67:L67">
    <cfRule type="containsText" dxfId="33" priority="133" operator="containsText" text="OK">
      <formula>NOT(ISERROR(SEARCH("OK",H64)))</formula>
    </cfRule>
    <cfRule type="containsText" dxfId="32" priority="134" operator="containsText" text="ERROR">
      <formula>NOT(ISERROR(SEARCH("ERROR",H64)))</formula>
    </cfRule>
  </conditionalFormatting>
  <conditionalFormatting sqref="H68:K68 H70:K70 H71:L73 H74:K74 H76:K76 H77:L79 I80:L82 H94:K102 H104:K104 H108:K109 H111:K111">
    <cfRule type="containsText" dxfId="31" priority="140" operator="containsText" text="ERROR">
      <formula>NOT(ISERROR(SEARCH("ERROR",H68)))</formula>
    </cfRule>
  </conditionalFormatting>
  <conditionalFormatting sqref="H90:K90 H91:L91 H93:L93">
    <cfRule type="containsText" dxfId="30" priority="115" operator="containsText" text="OK">
      <formula>NOT(ISERROR(SEARCH("OK",H90)))</formula>
    </cfRule>
    <cfRule type="containsText" dxfId="29" priority="116" operator="containsText" text="ERROR">
      <formula>NOT(ISERROR(SEARCH("ERROR",H90)))</formula>
    </cfRule>
  </conditionalFormatting>
  <conditionalFormatting sqref="H94:K102 H49:L54 H68:K68 H70:K70 H71:L73 H74:K74 H76:K76 H77:L79 I80:L82 H104:K104 H108:K109 H111:K111">
    <cfRule type="containsText" dxfId="28" priority="139" operator="containsText" text="OK">
      <formula>NOT(ISERROR(SEARCH("OK",H49)))</formula>
    </cfRule>
  </conditionalFormatting>
  <conditionalFormatting sqref="H60:L62">
    <cfRule type="containsText" dxfId="27" priority="73" operator="containsText" text="OK">
      <formula>NOT(ISERROR(SEARCH("OK",H60)))</formula>
    </cfRule>
    <cfRule type="containsText" dxfId="26" priority="74" operator="containsText" text="ERROR">
      <formula>NOT(ISERROR(SEARCH("ERROR",H60)))</formula>
    </cfRule>
  </conditionalFormatting>
  <conditionalFormatting sqref="H86:L88">
    <cfRule type="containsText" dxfId="25" priority="131" operator="containsText" text="OK">
      <formula>NOT(ISERROR(SEARCH("OK",H86)))</formula>
    </cfRule>
    <cfRule type="containsText" dxfId="24" priority="132" operator="containsText" text="ERROR">
      <formula>NOT(ISERROR(SEARCH("ERROR",H86)))</formula>
    </cfRule>
  </conditionalFormatting>
  <conditionalFormatting sqref="H98:L98 H100:L101">
    <cfRule type="containsText" dxfId="23" priority="123" operator="containsText" text="OK">
      <formula>NOT(ISERROR(SEARCH("OK",H98)))</formula>
    </cfRule>
    <cfRule type="containsText" dxfId="22" priority="124" operator="containsText" text="ERROR">
      <formula>NOT(ISERROR(SEARCH("ERROR",H98)))</formula>
    </cfRule>
  </conditionalFormatting>
  <conditionalFormatting sqref="H105:L105 H107:L107">
    <cfRule type="containsText" dxfId="21" priority="127" operator="containsText" text="OK">
      <formula>NOT(ISERROR(SEARCH("OK",H105)))</formula>
    </cfRule>
    <cfRule type="containsText" dxfId="20" priority="128" operator="containsText" text="ERROR">
      <formula>NOT(ISERROR(SEARCH("ERROR",H105)))</formula>
    </cfRule>
  </conditionalFormatting>
  <conditionalFormatting sqref="H112:L112 H114:L114">
    <cfRule type="containsText" dxfId="19" priority="125" operator="containsText" text="OK">
      <formula>NOT(ISERROR(SEARCH("OK",H112)))</formula>
    </cfRule>
    <cfRule type="containsText" dxfId="18" priority="126" operator="containsText" text="ERROR">
      <formula>NOT(ISERROR(SEARCH("ERROR",H112)))</formula>
    </cfRule>
  </conditionalFormatting>
  <printOptions horizontalCentered="1"/>
  <pageMargins left="0.118110236220472" right="0.118110236220472" top="0.118110236220472" bottom="0.118110236220472" header="0.118110236220472" footer="0.118110236220472"/>
  <pageSetup scale="73" fitToHeight="0" orientation="landscape" r:id="rId1"/>
  <headerFooter>
    <oddFooter>&amp;L&amp;"Open Sans,Bold"&amp;KC00000Flexxo Labels Financial  Model&amp;C&amp;"Open Sans,Bold"&amp;KC00000Page &amp;P of &amp;N</oddFooter>
  </headerFooter>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4144" r:id="rId5" name="Drop Down 48">
              <controlPr defaultSize="0" autoLine="0" autoPict="0">
                <anchor moveWithCells="1">
                  <from>
                    <xdr:col>3</xdr:col>
                    <xdr:colOff>449580</xdr:colOff>
                    <xdr:row>6</xdr:row>
                    <xdr:rowOff>0</xdr:rowOff>
                  </from>
                  <to>
                    <xdr:col>5</xdr:col>
                    <xdr:colOff>0</xdr:colOff>
                    <xdr:row>7</xdr:row>
                    <xdr:rowOff>45720</xdr:rowOff>
                  </to>
                </anchor>
              </controlPr>
            </control>
          </mc:Choice>
        </mc:AlternateContent>
        <mc:AlternateContent xmlns:mc="http://schemas.openxmlformats.org/markup-compatibility/2006">
          <mc:Choice Requires="x14">
            <control shapeId="4146" r:id="rId6" name="Drop Down 50">
              <controlPr defaultSize="0" autoLine="0" autoPict="0">
                <anchor moveWithCells="1">
                  <from>
                    <xdr:col>3</xdr:col>
                    <xdr:colOff>487680</xdr:colOff>
                    <xdr:row>85</xdr:row>
                    <xdr:rowOff>190500</xdr:rowOff>
                  </from>
                  <to>
                    <xdr:col>4</xdr:col>
                    <xdr:colOff>144780</xdr:colOff>
                    <xdr:row>87</xdr:row>
                    <xdr:rowOff>60960</xdr:rowOff>
                  </to>
                </anchor>
              </controlPr>
            </control>
          </mc:Choice>
        </mc:AlternateContent>
        <mc:AlternateContent xmlns:mc="http://schemas.openxmlformats.org/markup-compatibility/2006">
          <mc:Choice Requires="x14">
            <control shapeId="4148" r:id="rId7" name="Drop Down 52">
              <controlPr defaultSize="0" autoLine="0" autoPict="0">
                <anchor moveWithCells="1">
                  <from>
                    <xdr:col>3</xdr:col>
                    <xdr:colOff>449580</xdr:colOff>
                    <xdr:row>48</xdr:row>
                    <xdr:rowOff>0</xdr:rowOff>
                  </from>
                  <to>
                    <xdr:col>5</xdr:col>
                    <xdr:colOff>0</xdr:colOff>
                    <xdr:row>49</xdr:row>
                    <xdr:rowOff>45720</xdr:rowOff>
                  </to>
                </anchor>
              </controlPr>
            </control>
          </mc:Choice>
        </mc:AlternateContent>
        <mc:AlternateContent xmlns:mc="http://schemas.openxmlformats.org/markup-compatibility/2006">
          <mc:Choice Requires="x14">
            <control shapeId="4150" r:id="rId8" name="Drop Down 54">
              <controlPr defaultSize="0" autoLine="0" autoPict="0">
                <anchor moveWithCells="1">
                  <from>
                    <xdr:col>3</xdr:col>
                    <xdr:colOff>449580</xdr:colOff>
                    <xdr:row>60</xdr:row>
                    <xdr:rowOff>0</xdr:rowOff>
                  </from>
                  <to>
                    <xdr:col>5</xdr:col>
                    <xdr:colOff>0</xdr:colOff>
                    <xdr:row>61</xdr:row>
                    <xdr:rowOff>45720</xdr:rowOff>
                  </to>
                </anchor>
              </controlPr>
            </control>
          </mc:Choice>
        </mc:AlternateContent>
      </controls>
    </mc:Choice>
  </mc:AlternateContent>
  <extLst>
    <ext xmlns:x14="http://schemas.microsoft.com/office/spreadsheetml/2009/9/main" uri="{05C60535-1F16-4fd2-B633-F4F36F0B64E0}">
      <x14:sparklineGroups xmlns:xm="http://schemas.microsoft.com/office/excel/2006/main">
        <x14:sparklineGroup manualMax="0" manualMin="0" type="column" displayEmptyCellsAs="gap" xr2:uid="{00000000-0003-0000-0300-000007000000}">
          <x14:colorSeries theme="9" tint="-0.499984740745262"/>
          <x14:colorNegative rgb="FFD00000"/>
          <x14:colorAxis rgb="FF000000"/>
          <x14:colorMarkers rgb="FFD00000"/>
          <x14:colorFirst rgb="FFD00000"/>
          <x14:colorLast rgb="FFD00000"/>
          <x14:colorHigh rgb="FFD00000"/>
          <x14:colorLow rgb="FFD00000"/>
          <x14:sparklines>
            <x14:sparkline>
              <xm:f>Inputs!H65:L65</xm:f>
              <xm:sqref>F65</xm:sqref>
            </x14:sparkline>
          </x14:sparklines>
        </x14:sparklineGroup>
        <x14:sparklineGroup manualMax="0" manualMin="0" type="column" displayEmptyCellsAs="gap" xr2:uid="{00000000-0003-0000-0300-000008000000}">
          <x14:colorSeries theme="9" tint="-0.499984740745262"/>
          <x14:colorNegative rgb="FFD00000"/>
          <x14:colorAxis rgb="FF000000"/>
          <x14:colorMarkers rgb="FFD00000"/>
          <x14:colorFirst rgb="FFD00000"/>
          <x14:colorLast rgb="FFD00000"/>
          <x14:colorHigh rgb="FFD00000"/>
          <x14:colorLow rgb="FFD00000"/>
          <x14:sparklines>
            <x14:sparkline>
              <xm:f>Inputs!H66:L66</xm:f>
              <xm:sqref>F66</xm:sqref>
            </x14:sparkline>
          </x14:sparklines>
        </x14:sparklineGroup>
        <x14:sparklineGroup manualMax="0" manualMin="0" type="column" displayEmptyCellsAs="gap" xr2:uid="{00000000-0003-0000-0300-000009000000}">
          <x14:colorSeries theme="9" tint="-0.499984740745262"/>
          <x14:colorNegative rgb="FFD00000"/>
          <x14:colorAxis rgb="FF000000"/>
          <x14:colorMarkers rgb="FFD00000"/>
          <x14:colorFirst rgb="FFD00000"/>
          <x14:colorLast rgb="FFD00000"/>
          <x14:colorHigh rgb="FFD00000"/>
          <x14:colorLow rgb="FFD00000"/>
          <x14:sparklines>
            <x14:sparkline>
              <xm:f>Inputs!H67:L67</xm:f>
              <xm:sqref>F67</xm:sqref>
            </x14:sparkline>
          </x14:sparklines>
        </x14:sparklineGroup>
        <x14:sparklineGroup manualMax="0" manualMin="0" type="column" displayEmptyCellsAs="gap" xr2:uid="{00000000-0003-0000-0300-00000A000000}">
          <x14:colorSeries theme="9" tint="-0.499984740745262"/>
          <x14:colorNegative rgb="FFD00000"/>
          <x14:colorAxis rgb="FF000000"/>
          <x14:colorMarkers rgb="FFD00000"/>
          <x14:colorFirst rgb="FFD00000"/>
          <x14:colorLast rgb="FFD00000"/>
          <x14:colorHigh rgb="FFD00000"/>
          <x14:colorLow rgb="FFD00000"/>
          <x14:sparklines>
            <x14:sparkline>
              <xm:f>Inputs!H71:L71</xm:f>
              <xm:sqref>F71</xm:sqref>
            </x14:sparkline>
          </x14:sparklines>
        </x14:sparklineGroup>
        <x14:sparklineGroup manualMax="0" manualMin="0" type="column" displayEmptyCellsAs="gap" xr2:uid="{00000000-0003-0000-0300-00000B000000}">
          <x14:colorSeries theme="9" tint="-0.499984740745262"/>
          <x14:colorNegative rgb="FFD00000"/>
          <x14:colorAxis rgb="FF000000"/>
          <x14:colorMarkers rgb="FFD00000"/>
          <x14:colorFirst rgb="FFD00000"/>
          <x14:colorLast rgb="FFD00000"/>
          <x14:colorHigh rgb="FFD00000"/>
          <x14:colorLow rgb="FFD00000"/>
          <x14:sparklines>
            <x14:sparkline>
              <xm:f>Inputs!H72:L72</xm:f>
              <xm:sqref>F72</xm:sqref>
            </x14:sparkline>
          </x14:sparklines>
        </x14:sparklineGroup>
        <x14:sparklineGroup manualMax="0" manualMin="0" type="column" displayEmptyCellsAs="gap" xr2:uid="{00000000-0003-0000-0300-00000C000000}">
          <x14:colorSeries theme="9" tint="-0.499984740745262"/>
          <x14:colorNegative rgb="FFD00000"/>
          <x14:colorAxis rgb="FF000000"/>
          <x14:colorMarkers rgb="FFD00000"/>
          <x14:colorFirst rgb="FFD00000"/>
          <x14:colorLast rgb="FFD00000"/>
          <x14:colorHigh rgb="FFD00000"/>
          <x14:colorLow rgb="FFD00000"/>
          <x14:sparklines>
            <x14:sparkline>
              <xm:f>Inputs!H73:L73</xm:f>
              <xm:sqref>F73</xm:sqref>
            </x14:sparkline>
          </x14:sparklines>
        </x14:sparklineGroup>
        <x14:sparklineGroup manualMax="0" manualMin="0" type="column" displayEmptyCellsAs="gap" xr2:uid="{00000000-0003-0000-0300-00000D000000}">
          <x14:colorSeries theme="9" tint="-0.499984740745262"/>
          <x14:colorNegative rgb="FFD00000"/>
          <x14:colorAxis rgb="FF000000"/>
          <x14:colorMarkers rgb="FFD00000"/>
          <x14:colorFirst rgb="FFD00000"/>
          <x14:colorLast rgb="FFD00000"/>
          <x14:colorHigh rgb="FFD00000"/>
          <x14:colorLow rgb="FFD00000"/>
          <x14:sparklines>
            <x14:sparkline>
              <xm:f>Inputs!H77:L77</xm:f>
              <xm:sqref>F77</xm:sqref>
            </x14:sparkline>
          </x14:sparklines>
        </x14:sparklineGroup>
        <x14:sparklineGroup manualMax="0" manualMin="0" type="column" displayEmptyCellsAs="gap" xr2:uid="{00000000-0003-0000-0300-00000E000000}">
          <x14:colorSeries theme="9" tint="-0.499984740745262"/>
          <x14:colorNegative rgb="FFD00000"/>
          <x14:colorAxis rgb="FF000000"/>
          <x14:colorMarkers rgb="FFD00000"/>
          <x14:colorFirst rgb="FFD00000"/>
          <x14:colorLast rgb="FFD00000"/>
          <x14:colorHigh rgb="FFD00000"/>
          <x14:colorLow rgb="FFD00000"/>
          <x14:sparklines>
            <x14:sparkline>
              <xm:f>Inputs!H78:L78</xm:f>
              <xm:sqref>F78</xm:sqref>
            </x14:sparkline>
          </x14:sparklines>
        </x14:sparklineGroup>
        <x14:sparklineGroup manualMax="0" manualMin="0" type="column" displayEmptyCellsAs="gap" xr2:uid="{00000000-0003-0000-0300-00000F000000}">
          <x14:colorSeries theme="9" tint="-0.499984740745262"/>
          <x14:colorNegative rgb="FFD00000"/>
          <x14:colorAxis rgb="FF000000"/>
          <x14:colorMarkers rgb="FFD00000"/>
          <x14:colorFirst rgb="FFD00000"/>
          <x14:colorLast rgb="FFD00000"/>
          <x14:colorHigh rgb="FFD00000"/>
          <x14:colorLow rgb="FFD00000"/>
          <x14:sparklines>
            <x14:sparkline>
              <xm:f>Inputs!H79:L79</xm:f>
              <xm:sqref>F79</xm:sqref>
            </x14:sparkline>
          </x14:sparklines>
        </x14:sparklineGroup>
        <x14:sparklineGroup manualMax="0" manualMin="0" type="column" displayEmptyCellsAs="gap" xr2:uid="{00000000-0003-0000-0300-000010000000}">
          <x14:colorSeries theme="9" tint="-0.499984740745262"/>
          <x14:colorNegative rgb="FFD00000"/>
          <x14:colorAxis rgb="FF000000"/>
          <x14:colorMarkers rgb="FFD00000"/>
          <x14:colorFirst rgb="FFD00000"/>
          <x14:colorLast rgb="FFD00000"/>
          <x14:colorHigh rgb="FFD00000"/>
          <x14:colorLow rgb="FFD00000"/>
          <x14:sparklines>
            <x14:sparkline>
              <xm:f>Inputs!H91:L91</xm:f>
              <xm:sqref>F91</xm:sqref>
            </x14:sparkline>
          </x14:sparklines>
        </x14:sparklineGroup>
        <x14:sparklineGroup manualMax="0" manualMin="0" type="column" displayEmptyCellsAs="gap" xr2:uid="{00000000-0003-0000-0300-000011000000}">
          <x14:colorSeries theme="9" tint="-0.499984740745262"/>
          <x14:colorNegative rgb="FFD00000"/>
          <x14:colorAxis rgb="FF000000"/>
          <x14:colorMarkers rgb="FFD00000"/>
          <x14:colorFirst rgb="FFD00000"/>
          <x14:colorLast rgb="FFD00000"/>
          <x14:colorHigh rgb="FFD00000"/>
          <x14:colorLow rgb="FFD00000"/>
          <x14:sparklines>
            <x14:sparkline>
              <xm:f>Inputs!H92:L92</xm:f>
              <xm:sqref>F92</xm:sqref>
            </x14:sparkline>
          </x14:sparklines>
        </x14:sparklineGroup>
        <x14:sparklineGroup manualMax="0" manualMin="0" type="column" displayEmptyCellsAs="gap" xr2:uid="{00000000-0003-0000-0300-000012000000}">
          <x14:colorSeries theme="9" tint="-0.499984740745262"/>
          <x14:colorNegative rgb="FFD00000"/>
          <x14:colorAxis rgb="FF000000"/>
          <x14:colorMarkers rgb="FFD00000"/>
          <x14:colorFirst rgb="FFD00000"/>
          <x14:colorLast rgb="FFD00000"/>
          <x14:colorHigh rgb="FFD00000"/>
          <x14:colorLow rgb="FFD00000"/>
          <x14:sparklines>
            <x14:sparkline>
              <xm:f>Inputs!H93:L93</xm:f>
              <xm:sqref>F93</xm:sqref>
            </x14:sparkline>
          </x14:sparklines>
        </x14:sparklineGroup>
        <x14:sparklineGroup manualMax="0" manualMin="0" type="column" displayEmptyCellsAs="gap" xr2:uid="{00000000-0003-0000-0300-000013000000}">
          <x14:colorSeries theme="9" tint="-0.499984740745262"/>
          <x14:colorNegative rgb="FFD00000"/>
          <x14:colorAxis rgb="FF000000"/>
          <x14:colorMarkers rgb="FFD00000"/>
          <x14:colorFirst rgb="FFD00000"/>
          <x14:colorLast rgb="FFD00000"/>
          <x14:colorHigh rgb="FFD00000"/>
          <x14:colorLow rgb="FFD00000"/>
          <x14:sparklines>
            <x14:sparkline>
              <xm:f>Inputs!H100:L100</xm:f>
              <xm:sqref>F100</xm:sqref>
            </x14:sparkline>
          </x14:sparklines>
        </x14:sparklineGroup>
        <x14:sparklineGroup manualMax="0" manualMin="0" type="column" displayEmptyCellsAs="gap" xr2:uid="{00000000-0003-0000-0300-000014000000}">
          <x14:colorSeries theme="9" tint="-0.499984740745262"/>
          <x14:colorNegative rgb="FFD00000"/>
          <x14:colorAxis rgb="FF000000"/>
          <x14:colorMarkers rgb="FFD00000"/>
          <x14:colorFirst rgb="FFD00000"/>
          <x14:colorLast rgb="FFD00000"/>
          <x14:colorHigh rgb="FFD00000"/>
          <x14:colorLow rgb="FFD00000"/>
          <x14:sparklines>
            <x14:sparkline>
              <xm:f>Inputs!H99:L99</xm:f>
              <xm:sqref>F99</xm:sqref>
            </x14:sparkline>
          </x14:sparklines>
        </x14:sparklineGroup>
        <x14:sparklineGroup manualMax="0" manualMin="0" type="column" displayEmptyCellsAs="gap" xr2:uid="{00000000-0003-0000-0300-000015000000}">
          <x14:colorSeries theme="9" tint="-0.499984740745262"/>
          <x14:colorNegative rgb="FFD00000"/>
          <x14:colorAxis rgb="FF000000"/>
          <x14:colorMarkers rgb="FFD00000"/>
          <x14:colorFirst rgb="FFD00000"/>
          <x14:colorLast rgb="FFD00000"/>
          <x14:colorHigh rgb="FFD00000"/>
          <x14:colorLow rgb="FFD00000"/>
          <x14:sparklines>
            <x14:sparkline>
              <xm:f>Inputs!H98:L98</xm:f>
              <xm:sqref>F98</xm:sqref>
            </x14:sparkline>
          </x14:sparklines>
        </x14:sparklineGroup>
        <x14:sparklineGroup manualMax="0" manualMin="0" type="column" displayEmptyCellsAs="gap" xr2:uid="{00000000-0003-0000-0300-000016000000}">
          <x14:colorSeries theme="9" tint="-0.499984740745262"/>
          <x14:colorNegative rgb="FFD00000"/>
          <x14:colorAxis rgb="FF000000"/>
          <x14:colorMarkers rgb="FFD00000"/>
          <x14:colorFirst rgb="FFD00000"/>
          <x14:colorLast rgb="FFD00000"/>
          <x14:colorHigh rgb="FFD00000"/>
          <x14:colorLow rgb="FFD00000"/>
          <x14:sparklines>
            <x14:sparkline>
              <xm:f>Inputs!H107:L107</xm:f>
              <xm:sqref>F107</xm:sqref>
            </x14:sparkline>
          </x14:sparklines>
        </x14:sparklineGroup>
        <x14:sparklineGroup manualMax="0" manualMin="0" type="column" displayEmptyCellsAs="gap" xr2:uid="{00000000-0003-0000-0300-000017000000}">
          <x14:colorSeries theme="9" tint="-0.499984740745262"/>
          <x14:colorNegative rgb="FFD00000"/>
          <x14:colorAxis rgb="FF000000"/>
          <x14:colorMarkers rgb="FFD00000"/>
          <x14:colorFirst rgb="FFD00000"/>
          <x14:colorLast rgb="FFD00000"/>
          <x14:colorHigh rgb="FFD00000"/>
          <x14:colorLow rgb="FFD00000"/>
          <x14:sparklines>
            <x14:sparkline>
              <xm:f>Inputs!H106:L106</xm:f>
              <xm:sqref>F106</xm:sqref>
            </x14:sparkline>
          </x14:sparklines>
        </x14:sparklineGroup>
        <x14:sparklineGroup manualMax="0" manualMin="0" type="column" displayEmptyCellsAs="gap" xr2:uid="{00000000-0003-0000-0300-000018000000}">
          <x14:colorSeries theme="9" tint="-0.499984740745262"/>
          <x14:colorNegative rgb="FFD00000"/>
          <x14:colorAxis rgb="FF000000"/>
          <x14:colorMarkers rgb="FFD00000"/>
          <x14:colorFirst rgb="FFD00000"/>
          <x14:colorLast rgb="FFD00000"/>
          <x14:colorHigh rgb="FFD00000"/>
          <x14:colorLow rgb="FFD00000"/>
          <x14:sparklines>
            <x14:sparkline>
              <xm:f>Inputs!H105:L105</xm:f>
              <xm:sqref>F105</xm:sqref>
            </x14:sparkline>
          </x14:sparklines>
        </x14:sparklineGroup>
        <x14:sparklineGroup manualMax="0" manualMin="0" type="column" displayEmptyCellsAs="gap" xr2:uid="{00000000-0003-0000-0300-000019000000}">
          <x14:colorSeries theme="9" tint="-0.499984740745262"/>
          <x14:colorNegative rgb="FFD00000"/>
          <x14:colorAxis rgb="FF000000"/>
          <x14:colorMarkers rgb="FFD00000"/>
          <x14:colorFirst rgb="FFD00000"/>
          <x14:colorLast rgb="FFD00000"/>
          <x14:colorHigh rgb="FFD00000"/>
          <x14:colorLow rgb="FFD00000"/>
          <x14:sparklines>
            <x14:sparkline>
              <xm:f>Inputs!H114:L114</xm:f>
              <xm:sqref>F114</xm:sqref>
            </x14:sparkline>
          </x14:sparklines>
        </x14:sparklineGroup>
        <x14:sparklineGroup manualMax="0" manualMin="0" type="column" displayEmptyCellsAs="gap" xr2:uid="{00000000-0003-0000-0300-00001A000000}">
          <x14:colorSeries theme="9" tint="-0.499984740745262"/>
          <x14:colorNegative rgb="FFD00000"/>
          <x14:colorAxis rgb="FF000000"/>
          <x14:colorMarkers rgb="FFD00000"/>
          <x14:colorFirst rgb="FFD00000"/>
          <x14:colorLast rgb="FFD00000"/>
          <x14:colorHigh rgb="FFD00000"/>
          <x14:colorLow rgb="FFD00000"/>
          <x14:sparklines>
            <x14:sparkline>
              <xm:f>Inputs!H113:L113</xm:f>
              <xm:sqref>F113</xm:sqref>
            </x14:sparkline>
          </x14:sparklines>
        </x14:sparklineGroup>
        <x14:sparklineGroup manualMax="0" manualMin="0" type="column" displayEmptyCellsAs="gap" xr2:uid="{00000000-0003-0000-0300-00001B000000}">
          <x14:colorSeries theme="9" tint="-0.499984740745262"/>
          <x14:colorNegative rgb="FFD00000"/>
          <x14:colorAxis rgb="FF000000"/>
          <x14:colorMarkers rgb="FFD00000"/>
          <x14:colorFirst rgb="FFD00000"/>
          <x14:colorLast rgb="FFD00000"/>
          <x14:colorHigh rgb="FFD00000"/>
          <x14:colorLow rgb="FFD00000"/>
          <x14:sparklines>
            <x14:sparkline>
              <xm:f>Inputs!H112:L112</xm:f>
              <xm:sqref>F112</xm:sqref>
            </x14:sparkline>
          </x14:sparklines>
        </x14:sparklineGroup>
        <x14:sparklineGroup manualMax="0" manualMin="0" type="column" displayEmptyCellsAs="gap" high="1" xr2:uid="{00000000-0003-0000-0300-00001C000000}">
          <x14:colorSeries theme="6" tint="0.59999389629810485"/>
          <x14:colorNegative rgb="FFD00000"/>
          <x14:colorAxis rgb="FF000000"/>
          <x14:colorMarkers rgb="FFD00000"/>
          <x14:colorFirst rgb="FFD00000"/>
          <x14:colorLast rgb="FFD00000"/>
          <x14:colorHigh theme="6" tint="-0.249977111117893"/>
          <x14:colorLow rgb="FFD00000"/>
          <x14:sparklines>
            <x14:sparkline>
              <xm:f>Inputs!H22:L22</xm:f>
              <xm:sqref>F22</xm:sqref>
            </x14:sparkline>
            <x14:sparkline>
              <xm:f>Inputs!H23:L23</xm:f>
              <xm:sqref>F23</xm:sqref>
            </x14:sparkline>
            <x14:sparkline>
              <xm:f>Inputs!H24:L24</xm:f>
              <xm:sqref>F24</xm:sqref>
            </x14:sparkline>
          </x14:sparklines>
        </x14:sparklineGroup>
        <x14:sparklineGroup manualMax="0" manualMin="0" type="column" displayEmptyCellsAs="gap" high="1" xr2:uid="{00000000-0003-0000-0300-00001D000000}">
          <x14:colorSeries theme="6" tint="0.79998168889431442"/>
          <x14:colorNegative rgb="FFD00000"/>
          <x14:colorAxis rgb="FF000000"/>
          <x14:colorMarkers rgb="FFD00000"/>
          <x14:colorFirst rgb="FFD00000"/>
          <x14:colorLast rgb="FFD00000"/>
          <x14:colorHigh theme="6" tint="-0.249977111117893"/>
          <x14:colorLow rgb="FFD00000"/>
          <x14:sparklines>
            <x14:sparkline>
              <xm:f>Inputs!H28:L28</xm:f>
              <xm:sqref>F28</xm:sqref>
            </x14:sparkline>
            <x14:sparkline>
              <xm:f>Inputs!H29:L29</xm:f>
              <xm:sqref>F29</xm:sqref>
            </x14:sparkline>
            <x14:sparkline>
              <xm:f>Inputs!H30:L30</xm:f>
              <xm:sqref>F30</xm:sqref>
            </x14:sparkline>
          </x14:sparklines>
        </x14:sparklineGroup>
        <x14:sparklineGroup manualMax="0" manualMin="0" type="column" displayEmptyCellsAs="gap" high="1" xr2:uid="{00000000-0003-0000-0300-00001E000000}">
          <x14:colorSeries theme="6" tint="0.59999389629810485"/>
          <x14:colorNegative rgb="FFD00000"/>
          <x14:colorAxis rgb="FF000000"/>
          <x14:colorMarkers rgb="FFD00000"/>
          <x14:colorFirst rgb="FFD00000"/>
          <x14:colorLast rgb="FFD00000"/>
          <x14:colorHigh theme="6" tint="-0.249977111117893"/>
          <x14:colorLow rgb="FFD00000"/>
          <x14:sparklines>
            <x14:sparkline>
              <xm:f>Inputs!H34:L34</xm:f>
              <xm:sqref>F34</xm:sqref>
            </x14:sparkline>
            <x14:sparkline>
              <xm:f>Inputs!H35:L35</xm:f>
              <xm:sqref>F35</xm:sqref>
            </x14:sparkline>
            <x14:sparkline>
              <xm:f>Inputs!H36:L36</xm:f>
              <xm:sqref>F36</xm:sqref>
            </x14:sparkline>
          </x14:sparklines>
        </x14:sparklineGroup>
        <x14:sparklineGroup manualMax="0" manualMin="0" type="column" displayEmptyCellsAs="gap" high="1" negative="1" xr2:uid="{00000000-0003-0000-0300-00001F000000}">
          <x14:colorSeries theme="6" tint="0.59999389629810485"/>
          <x14:colorNegative theme="6"/>
          <x14:colorAxis rgb="FF000000"/>
          <x14:colorMarkers rgb="FFD00000"/>
          <x14:colorFirst rgb="FFD00000"/>
          <x14:colorLast rgb="FFD00000"/>
          <x14:colorHigh theme="6" tint="-0.249977111117893"/>
          <x14:colorLow rgb="FFD00000"/>
          <x14:sparklines>
            <x14:sparkline>
              <xm:f>Inputs!H40:L40</xm:f>
              <xm:sqref>F40</xm:sqref>
            </x14:sparkline>
            <x14:sparkline>
              <xm:f>Inputs!H41:L41</xm:f>
              <xm:sqref>F41</xm:sqref>
            </x14:sparkline>
            <x14:sparkline>
              <xm:f>Inputs!H42:L42</xm:f>
              <xm:sqref>F42</xm:sqref>
            </x14:sparkline>
          </x14:sparklines>
        </x14:sparklineGroup>
        <x14:sparklineGroup manualMax="0" manualMin="0" displayEmptyCellsAs="gap" high="1" xr2:uid="{00000000-0003-0000-0300-000020000000}">
          <x14:colorSeries theme="6" tint="0.59999389629810485"/>
          <x14:colorNegative rgb="FFD00000"/>
          <x14:colorAxis rgb="FF000000"/>
          <x14:colorMarkers rgb="FFD00000"/>
          <x14:colorFirst rgb="FFD00000"/>
          <x14:colorLast rgb="FFD00000"/>
          <x14:colorHigh theme="6" tint="-0.249977111117893"/>
          <x14:colorLow rgb="FFD00000"/>
          <x14:sparklines>
            <x14:sparkline>
              <xm:f>Inputs!H16:L16</xm:f>
              <xm:sqref>F16</xm:sqref>
            </x14:sparkline>
            <x14:sparkline>
              <xm:f>Inputs!H17:L17</xm:f>
              <xm:sqref>F17</xm:sqref>
            </x14:sparkline>
            <x14:sparkline>
              <xm:f>Inputs!H18:L18</xm:f>
              <xm:sqref>F18</xm:sqref>
            </x14:sparkline>
          </x14:sparklines>
        </x14:sparklineGroup>
        <x14:sparklineGroup manualMax="0" manualMin="0" displayEmptyCellsAs="gap" high="1" low="1" last="1" xr2:uid="{00000000-0003-0000-0300-000021000000}">
          <x14:colorSeries theme="6" tint="0.59999389629810485"/>
          <x14:colorNegative rgb="FFD00000"/>
          <x14:colorAxis rgb="FF000000"/>
          <x14:colorMarkers rgb="FFD00000"/>
          <x14:colorFirst rgb="FFD00000"/>
          <x14:colorLast theme="1"/>
          <x14:colorHigh theme="6" tint="-0.249977111117893"/>
          <x14:colorLow rgb="FFC00000"/>
          <x14:sparklines>
            <x14:sparkline>
              <xm:f>Inputs!H10:L10</xm:f>
              <xm:sqref>F10</xm:sqref>
            </x14:sparkline>
            <x14:sparkline>
              <xm:f>Inputs!H11:L11</xm:f>
              <xm:sqref>F11</xm:sqref>
            </x14:sparkline>
            <x14:sparkline>
              <xm:f>Inputs!H12:L12</xm:f>
              <xm:sqref>F12</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autoPageBreaks="0"/>
  </sheetPr>
  <dimension ref="A1:R650"/>
  <sheetViews>
    <sheetView showGridLines="0" tabSelected="1" topLeftCell="A612" zoomScale="88" zoomScaleNormal="88" workbookViewId="0">
      <selection activeCell="C12" sqref="C12"/>
    </sheetView>
  </sheetViews>
  <sheetFormatPr defaultColWidth="9.109375" defaultRowHeight="12" outlineLevelRow="1"/>
  <cols>
    <col min="1" max="1" width="9.109375" style="467"/>
    <col min="2" max="3" width="1.6640625" style="467" customWidth="1"/>
    <col min="4" max="4" width="15.6640625" style="467" customWidth="1"/>
    <col min="5" max="5" width="11.6640625" style="467" bestFit="1" customWidth="1"/>
    <col min="6" max="6" width="15.6640625" style="467" customWidth="1"/>
    <col min="7" max="7" width="1.6640625" style="467" customWidth="1"/>
    <col min="8" max="9" width="10.33203125" style="467" customWidth="1"/>
    <col min="10" max="10" width="10.6640625" style="467" customWidth="1"/>
    <col min="11" max="11" width="13.5546875" style="467" bestFit="1" customWidth="1"/>
    <col min="12" max="15" width="13.6640625" style="467" bestFit="1" customWidth="1"/>
    <col min="16" max="16" width="10.6640625" style="467" bestFit="1" customWidth="1"/>
    <col min="17" max="16384" width="9.109375" style="467"/>
  </cols>
  <sheetData>
    <row r="1" spans="1:16">
      <c r="A1" s="463"/>
      <c r="B1" s="464"/>
      <c r="C1" s="464"/>
      <c r="D1" s="464"/>
      <c r="E1" s="464"/>
      <c r="F1" s="464"/>
      <c r="G1" s="464"/>
      <c r="H1" s="465"/>
      <c r="I1" s="465"/>
      <c r="J1" s="465"/>
      <c r="K1" s="464"/>
      <c r="L1" s="464"/>
      <c r="M1" s="464"/>
      <c r="N1" s="464"/>
      <c r="O1" s="464"/>
      <c r="P1" s="466"/>
    </row>
    <row r="2" spans="1:16">
      <c r="A2" s="468"/>
      <c r="B2" s="468"/>
      <c r="C2" s="468"/>
      <c r="D2" s="469"/>
      <c r="E2" s="469"/>
      <c r="F2" s="469"/>
      <c r="G2" s="469"/>
      <c r="H2" s="470"/>
      <c r="I2" s="470"/>
      <c r="J2" s="471"/>
      <c r="K2" s="471"/>
      <c r="L2" s="471"/>
      <c r="M2" s="471"/>
      <c r="N2" s="471"/>
      <c r="O2" s="468"/>
      <c r="P2" s="466"/>
    </row>
    <row r="3" spans="1:16">
      <c r="A3" s="468" t="s">
        <v>80</v>
      </c>
      <c r="B3" s="472" t="s">
        <v>828</v>
      </c>
      <c r="C3" s="473"/>
      <c r="D3" s="474"/>
      <c r="E3" s="474"/>
      <c r="F3" s="475"/>
      <c r="G3" s="475"/>
      <c r="H3" s="476"/>
      <c r="I3" s="476"/>
      <c r="J3" s="476"/>
      <c r="K3" s="476"/>
      <c r="L3" s="476"/>
      <c r="M3" s="476"/>
      <c r="N3" s="476"/>
      <c r="O3" s="476"/>
      <c r="P3" s="466"/>
    </row>
    <row r="4" spans="1:16" outlineLevel="1">
      <c r="A4" s="468"/>
      <c r="B4" s="477"/>
      <c r="C4" s="477"/>
      <c r="D4" s="478"/>
      <c r="E4" s="478"/>
      <c r="F4" s="479"/>
      <c r="G4" s="479"/>
      <c r="H4" s="480"/>
      <c r="I4" s="480"/>
      <c r="J4" s="481"/>
      <c r="K4" s="482"/>
      <c r="L4" s="482"/>
      <c r="M4" s="482"/>
      <c r="N4" s="482"/>
      <c r="O4" s="482"/>
    </row>
    <row r="5" spans="1:16" ht="12.6" outlineLevel="1" thickBot="1">
      <c r="A5" s="468"/>
      <c r="B5" s="483" t="s">
        <v>344</v>
      </c>
      <c r="C5" s="483"/>
      <c r="D5" s="478"/>
      <c r="E5" s="478"/>
      <c r="F5" s="484"/>
      <c r="G5" s="484"/>
      <c r="H5" s="480"/>
      <c r="I5" s="480"/>
      <c r="J5" s="485">
        <f>K5-1</f>
        <v>2024</v>
      </c>
      <c r="K5" s="486">
        <f>Transaction!$I$25</f>
        <v>2025</v>
      </c>
      <c r="L5" s="486">
        <f>K5+1</f>
        <v>2026</v>
      </c>
      <c r="M5" s="486">
        <f>L5+1</f>
        <v>2027</v>
      </c>
      <c r="N5" s="486">
        <f>M5+1</f>
        <v>2028</v>
      </c>
      <c r="O5" s="486">
        <f>N5+1</f>
        <v>2029</v>
      </c>
      <c r="P5" s="466"/>
    </row>
    <row r="6" spans="1:16" outlineLevel="1">
      <c r="A6" s="468"/>
      <c r="B6" s="483" t="str">
        <f t="array" ref="B6">CONCATENATE("Model Running: ",INDEX(Inputs!$B$22:$B$24,Inputs!$E$7)," Drivers")</f>
        <v>Model Running: Base Case Drivers</v>
      </c>
      <c r="C6" s="483"/>
      <c r="D6" s="478"/>
      <c r="E6" s="478"/>
      <c r="F6" s="484"/>
      <c r="G6" s="484"/>
      <c r="H6" s="484"/>
      <c r="I6" s="484"/>
      <c r="J6" s="484"/>
      <c r="K6" s="487"/>
      <c r="L6" s="487"/>
      <c r="M6" s="487"/>
      <c r="N6" s="487"/>
      <c r="O6" s="487"/>
      <c r="P6" s="466"/>
    </row>
    <row r="7" spans="1:16" outlineLevel="1">
      <c r="A7" s="488"/>
      <c r="B7" s="483"/>
      <c r="C7" s="483"/>
      <c r="D7" s="478"/>
      <c r="E7" s="478"/>
      <c r="F7" s="484"/>
      <c r="G7" s="484"/>
      <c r="H7" s="484"/>
      <c r="I7" s="484"/>
      <c r="J7" s="484"/>
      <c r="K7" s="484"/>
      <c r="L7" s="484"/>
      <c r="M7" s="484"/>
      <c r="N7" s="484"/>
      <c r="O7" s="484"/>
    </row>
    <row r="8" spans="1:16" s="463" customFormat="1" outlineLevel="1">
      <c r="B8" s="489" t="s">
        <v>1</v>
      </c>
      <c r="C8" s="490"/>
      <c r="D8" s="491"/>
      <c r="E8" s="492">
        <f>Transaction!$I$26</f>
        <v>365</v>
      </c>
      <c r="F8" s="493"/>
      <c r="H8" s="494"/>
      <c r="I8" s="494"/>
      <c r="J8" s="494"/>
      <c r="K8" s="495">
        <f>$E$8</f>
        <v>365</v>
      </c>
      <c r="L8" s="496">
        <f>$E$8</f>
        <v>365</v>
      </c>
      <c r="M8" s="496">
        <f>$E$8</f>
        <v>365</v>
      </c>
      <c r="N8" s="496">
        <f>$E$8</f>
        <v>365</v>
      </c>
      <c r="O8" s="497">
        <f>$E$8</f>
        <v>365</v>
      </c>
    </row>
    <row r="9" spans="1:16" s="463" customFormat="1" outlineLevel="1">
      <c r="B9" s="498" t="s">
        <v>1</v>
      </c>
      <c r="D9" s="499"/>
      <c r="E9" s="500">
        <f>Transaction!$I$27</f>
        <v>12</v>
      </c>
      <c r="F9" s="493"/>
      <c r="H9" s="494"/>
      <c r="I9" s="494"/>
      <c r="J9" s="494"/>
      <c r="K9" s="501">
        <f>$E$9</f>
        <v>12</v>
      </c>
      <c r="L9" s="502">
        <f>$E$9</f>
        <v>12</v>
      </c>
      <c r="M9" s="502">
        <f>$E$9</f>
        <v>12</v>
      </c>
      <c r="N9" s="502">
        <f>$E$9</f>
        <v>12</v>
      </c>
      <c r="O9" s="503">
        <f>$E$9</f>
        <v>12</v>
      </c>
    </row>
    <row r="10" spans="1:16" s="463" customFormat="1" outlineLevel="1">
      <c r="B10" s="504" t="s">
        <v>9</v>
      </c>
      <c r="C10" s="505"/>
      <c r="D10" s="506"/>
      <c r="E10" s="507">
        <f>Transaction!$I$38</f>
        <v>9000000</v>
      </c>
      <c r="F10" s="493"/>
      <c r="H10" s="494"/>
      <c r="I10" s="494"/>
      <c r="J10" s="494"/>
      <c r="K10" s="494"/>
      <c r="L10" s="494"/>
      <c r="M10" s="494"/>
      <c r="N10" s="494"/>
      <c r="O10" s="494"/>
    </row>
    <row r="11" spans="1:16" s="463" customFormat="1" outlineLevel="1">
      <c r="F11" s="493"/>
      <c r="H11" s="494"/>
      <c r="I11" s="494"/>
      <c r="J11" s="494"/>
      <c r="K11" s="494"/>
      <c r="L11" s="494"/>
      <c r="M11" s="494"/>
      <c r="N11" s="494"/>
      <c r="O11" s="494"/>
    </row>
    <row r="12" spans="1:16" s="463" customFormat="1" outlineLevel="1">
      <c r="B12" s="509" t="s">
        <v>69</v>
      </c>
      <c r="D12" s="499"/>
      <c r="E12" s="499"/>
      <c r="F12" s="493"/>
      <c r="H12" s="510"/>
      <c r="I12" s="511"/>
      <c r="J12" s="511"/>
      <c r="K12" s="488"/>
      <c r="L12" s="488"/>
      <c r="M12" s="488"/>
      <c r="N12" s="488"/>
      <c r="O12" s="488"/>
      <c r="P12" s="466"/>
    </row>
    <row r="13" spans="1:16" outlineLevel="1">
      <c r="A13" s="488"/>
      <c r="C13" s="508"/>
      <c r="D13" s="478"/>
      <c r="E13" s="478"/>
      <c r="F13" s="484"/>
      <c r="G13" s="484"/>
      <c r="H13" s="484"/>
      <c r="I13" s="512"/>
      <c r="J13" s="512"/>
      <c r="K13" s="513"/>
      <c r="L13" s="513"/>
      <c r="M13" s="513"/>
      <c r="N13" s="513"/>
      <c r="O13" s="513"/>
    </row>
    <row r="14" spans="1:16" outlineLevel="1">
      <c r="A14" s="488"/>
      <c r="C14" s="508" t="s">
        <v>829</v>
      </c>
      <c r="D14" s="478"/>
      <c r="E14" s="478"/>
      <c r="F14" s="493" t="s">
        <v>352</v>
      </c>
      <c r="G14" s="484"/>
      <c r="H14" s="514"/>
      <c r="I14" s="514"/>
      <c r="J14" s="514"/>
      <c r="K14" s="515">
        <f>Inputs!H8</f>
        <v>5000000</v>
      </c>
      <c r="L14" s="515">
        <f>Inputs!I8</f>
        <v>5500000</v>
      </c>
      <c r="M14" s="515">
        <f>Inputs!J8</f>
        <v>6000000</v>
      </c>
      <c r="N14" s="515">
        <f>Inputs!K8</f>
        <v>6500000</v>
      </c>
      <c r="O14" s="515">
        <f>Inputs!L8</f>
        <v>7000000</v>
      </c>
    </row>
    <row r="15" spans="1:16" s="463" customFormat="1" outlineLevel="1">
      <c r="C15" s="508" t="s">
        <v>9</v>
      </c>
      <c r="D15" s="499"/>
      <c r="E15" s="499"/>
      <c r="F15" s="493" t="s">
        <v>352</v>
      </c>
      <c r="H15" s="514"/>
      <c r="I15" s="514"/>
      <c r="J15" s="514"/>
      <c r="K15" s="516">
        <f>$E$10</f>
        <v>9000000</v>
      </c>
      <c r="L15" s="516">
        <f>$E$10</f>
        <v>9000000</v>
      </c>
      <c r="M15" s="516">
        <f>$E$10</f>
        <v>9000000</v>
      </c>
      <c r="N15" s="516">
        <f>$E$10</f>
        <v>9000000</v>
      </c>
      <c r="O15" s="516">
        <f>$E$10</f>
        <v>9000000</v>
      </c>
      <c r="P15" s="467"/>
    </row>
    <row r="16" spans="1:16" s="463" customFormat="1" outlineLevel="1">
      <c r="C16" s="508" t="s">
        <v>12</v>
      </c>
      <c r="D16" s="478"/>
      <c r="E16" s="478"/>
      <c r="F16" s="484"/>
      <c r="G16" s="484"/>
      <c r="H16" s="512"/>
      <c r="I16" s="512"/>
      <c r="J16" s="512"/>
      <c r="K16" s="512">
        <f>K14/K15</f>
        <v>0.55555555555555558</v>
      </c>
      <c r="L16" s="512">
        <f>L14/L15</f>
        <v>0.61111111111111116</v>
      </c>
      <c r="M16" s="512">
        <f>M14/M15</f>
        <v>0.66666666666666663</v>
      </c>
      <c r="N16" s="512">
        <f>N14/N15</f>
        <v>0.72222222222222221</v>
      </c>
      <c r="O16" s="512">
        <f>O14/O15</f>
        <v>0.77777777777777779</v>
      </c>
      <c r="P16" s="467"/>
    </row>
    <row r="17" spans="1:16" outlineLevel="1">
      <c r="A17" s="488"/>
      <c r="C17" s="517"/>
      <c r="D17" s="518"/>
      <c r="E17" s="518"/>
      <c r="F17" s="519"/>
      <c r="G17" s="520"/>
      <c r="H17" s="521"/>
      <c r="I17" s="521"/>
      <c r="J17" s="521"/>
      <c r="K17" s="521"/>
      <c r="L17" s="521"/>
      <c r="M17" s="521"/>
      <c r="N17" s="521"/>
      <c r="O17" s="521"/>
    </row>
    <row r="18" spans="1:16" outlineLevel="1">
      <c r="A18" s="488"/>
      <c r="B18" s="483"/>
      <c r="C18" s="483"/>
      <c r="D18" s="478"/>
      <c r="E18" s="478"/>
      <c r="F18" s="484"/>
      <c r="G18" s="484"/>
      <c r="H18" s="484"/>
      <c r="I18" s="484"/>
      <c r="J18" s="484"/>
      <c r="K18" s="488"/>
      <c r="L18" s="488"/>
      <c r="M18" s="488"/>
      <c r="N18" s="488"/>
      <c r="O18" s="488"/>
    </row>
    <row r="19" spans="1:16" s="463" customFormat="1" outlineLevel="1">
      <c r="B19" s="509" t="s">
        <v>65</v>
      </c>
      <c r="D19" s="499"/>
      <c r="E19" s="499"/>
      <c r="F19" s="493"/>
      <c r="H19" s="511"/>
      <c r="I19" s="511"/>
      <c r="J19" s="511"/>
      <c r="K19" s="511"/>
      <c r="L19" s="511"/>
      <c r="M19" s="511"/>
      <c r="N19" s="511"/>
      <c r="O19" s="511"/>
      <c r="P19" s="466"/>
    </row>
    <row r="20" spans="1:16" outlineLevel="1">
      <c r="A20" s="488"/>
      <c r="C20" s="508" t="s">
        <v>350</v>
      </c>
      <c r="D20" s="478"/>
      <c r="E20" s="478"/>
      <c r="F20" s="484"/>
      <c r="G20" s="484"/>
      <c r="H20" s="511"/>
      <c r="I20" s="511"/>
      <c r="J20" s="511"/>
      <c r="K20" s="522">
        <f>K9</f>
        <v>12</v>
      </c>
      <c r="L20" s="522">
        <f>L9</f>
        <v>12</v>
      </c>
      <c r="M20" s="522">
        <f>M9</f>
        <v>12</v>
      </c>
      <c r="N20" s="522">
        <f>N9</f>
        <v>12</v>
      </c>
      <c r="O20" s="522">
        <f>O9</f>
        <v>12</v>
      </c>
      <c r="P20" s="466"/>
    </row>
    <row r="21" spans="1:16" outlineLevel="1">
      <c r="A21" s="488"/>
      <c r="C21" s="508" t="s">
        <v>11</v>
      </c>
      <c r="D21" s="478"/>
      <c r="E21" s="478"/>
      <c r="F21" s="493" t="s">
        <v>352</v>
      </c>
      <c r="G21" s="484"/>
      <c r="H21" s="515"/>
      <c r="I21" s="515"/>
      <c r="J21" s="515"/>
      <c r="K21" s="515">
        <f>K14</f>
        <v>5000000</v>
      </c>
      <c r="L21" s="521">
        <f>L14</f>
        <v>5500000</v>
      </c>
      <c r="M21" s="521">
        <f>M14</f>
        <v>6000000</v>
      </c>
      <c r="N21" s="521">
        <f>N14</f>
        <v>6500000</v>
      </c>
      <c r="O21" s="521">
        <f>O14</f>
        <v>7000000</v>
      </c>
      <c r="P21" s="466"/>
    </row>
    <row r="22" spans="1:16" outlineLevel="1">
      <c r="A22" s="488"/>
      <c r="C22" s="508" t="s">
        <v>11</v>
      </c>
      <c r="D22" s="478"/>
      <c r="E22" s="478"/>
      <c r="F22" s="493" t="s">
        <v>13</v>
      </c>
      <c r="G22" s="484"/>
      <c r="H22" s="515"/>
      <c r="I22" s="515"/>
      <c r="J22" s="515"/>
      <c r="K22" s="523">
        <f>K21*K20</f>
        <v>60000000</v>
      </c>
      <c r="L22" s="515">
        <f>L21*L20</f>
        <v>66000000</v>
      </c>
      <c r="M22" s="515">
        <f>M21*M20</f>
        <v>72000000</v>
      </c>
      <c r="N22" s="515">
        <f>N21*N20</f>
        <v>78000000</v>
      </c>
      <c r="O22" s="515">
        <f>O21*O20</f>
        <v>84000000</v>
      </c>
    </row>
    <row r="23" spans="1:16" outlineLevel="1">
      <c r="A23" s="488"/>
      <c r="B23" s="508"/>
      <c r="C23" s="483"/>
      <c r="D23" s="478"/>
      <c r="E23" s="478"/>
      <c r="F23" s="493"/>
      <c r="G23" s="484"/>
      <c r="H23" s="515"/>
      <c r="I23" s="515"/>
      <c r="J23" s="515"/>
      <c r="K23" s="524"/>
      <c r="L23" s="524"/>
      <c r="M23" s="524"/>
      <c r="N23" s="524"/>
      <c r="O23" s="524"/>
    </row>
    <row r="24" spans="1:16" s="463" customFormat="1" outlineLevel="1">
      <c r="B24" s="509" t="s">
        <v>64</v>
      </c>
      <c r="D24" s="499"/>
      <c r="E24" s="499"/>
      <c r="F24" s="493"/>
      <c r="G24" s="493"/>
      <c r="H24" s="493"/>
      <c r="I24" s="493"/>
      <c r="J24" s="493"/>
      <c r="K24" s="493"/>
      <c r="L24" s="493"/>
      <c r="M24" s="493"/>
      <c r="N24" s="493"/>
      <c r="O24" s="515"/>
      <c r="P24" s="466"/>
    </row>
    <row r="25" spans="1:16" outlineLevel="1">
      <c r="A25" s="488"/>
      <c r="C25" s="508" t="s">
        <v>14</v>
      </c>
      <c r="D25" s="478"/>
      <c r="E25" s="478"/>
      <c r="F25" s="484"/>
      <c r="G25" s="484"/>
      <c r="H25" s="484"/>
      <c r="I25" s="512"/>
      <c r="J25" s="512"/>
      <c r="K25" s="525">
        <f>Inputs!H26</f>
        <v>0</v>
      </c>
      <c r="L25" s="525">
        <f>Inputs!I26</f>
        <v>0.01</v>
      </c>
      <c r="M25" s="525">
        <f>Inputs!J26</f>
        <v>0.01</v>
      </c>
      <c r="N25" s="525">
        <f>Inputs!K26</f>
        <v>0.01</v>
      </c>
      <c r="O25" s="525">
        <f>Inputs!L26</f>
        <v>0.01</v>
      </c>
      <c r="P25" s="466"/>
    </row>
    <row r="26" spans="1:16" outlineLevel="1">
      <c r="A26" s="488"/>
      <c r="C26" s="508" t="s">
        <v>830</v>
      </c>
      <c r="D26" s="478"/>
      <c r="E26" s="478"/>
      <c r="F26" s="493" t="s">
        <v>345</v>
      </c>
      <c r="G26" s="484"/>
      <c r="H26" s="526"/>
      <c r="I26" s="526"/>
      <c r="J26" s="526">
        <v>2.2999999999999998</v>
      </c>
      <c r="K26" s="527">
        <f>Inputs!H14*(1+K25)</f>
        <v>2.2999999999999998</v>
      </c>
      <c r="L26" s="527">
        <f>Inputs!I14*(1+L25)</f>
        <v>2.4239999999999999</v>
      </c>
      <c r="M26" s="527">
        <f>Inputs!J14*(1+M25)</f>
        <v>2.5249999999999999</v>
      </c>
      <c r="N26" s="527">
        <f>Inputs!K14*(1+N25)</f>
        <v>2.6260000000000003</v>
      </c>
      <c r="O26" s="527">
        <f>Inputs!L14*(1+O25)</f>
        <v>2.7270000000000003</v>
      </c>
    </row>
    <row r="27" spans="1:16" outlineLevel="1">
      <c r="A27" s="488"/>
      <c r="C27" s="508"/>
      <c r="D27" s="478"/>
      <c r="E27" s="478"/>
      <c r="F27" s="493"/>
      <c r="G27" s="484"/>
      <c r="H27" s="526"/>
      <c r="I27" s="526"/>
      <c r="J27" s="526"/>
      <c r="K27" s="527"/>
      <c r="L27" s="527"/>
      <c r="M27" s="527"/>
      <c r="N27" s="527"/>
      <c r="O27" s="527"/>
    </row>
    <row r="28" spans="1:16" s="463" customFormat="1" outlineLevel="1">
      <c r="B28" s="509" t="s">
        <v>63</v>
      </c>
      <c r="D28" s="499"/>
      <c r="E28" s="499"/>
      <c r="F28" s="493"/>
      <c r="H28" s="511"/>
      <c r="I28" s="511"/>
      <c r="J28" s="511"/>
      <c r="K28" s="511"/>
      <c r="L28" s="511"/>
      <c r="M28" s="511"/>
      <c r="N28" s="511"/>
      <c r="O28" s="511"/>
      <c r="P28" s="466"/>
    </row>
    <row r="29" spans="1:16" outlineLevel="1">
      <c r="A29" s="488"/>
      <c r="C29" s="508" t="s">
        <v>11</v>
      </c>
      <c r="D29" s="478"/>
      <c r="E29" s="478"/>
      <c r="F29" s="493" t="s">
        <v>13</v>
      </c>
      <c r="G29" s="484"/>
      <c r="H29" s="515"/>
      <c r="I29" s="515"/>
      <c r="J29" s="515"/>
      <c r="K29" s="515">
        <f>K22</f>
        <v>60000000</v>
      </c>
      <c r="L29" s="515">
        <f>L22</f>
        <v>66000000</v>
      </c>
      <c r="M29" s="515">
        <f>M22</f>
        <v>72000000</v>
      </c>
      <c r="N29" s="515">
        <f>N22</f>
        <v>78000000</v>
      </c>
      <c r="O29" s="515">
        <f>O22</f>
        <v>84000000</v>
      </c>
    </row>
    <row r="30" spans="1:16" outlineLevel="1">
      <c r="A30" s="488"/>
      <c r="C30" s="508" t="s">
        <v>62</v>
      </c>
      <c r="D30" s="478"/>
      <c r="E30" s="478"/>
      <c r="F30" s="493" t="s">
        <v>345</v>
      </c>
      <c r="G30" s="484"/>
      <c r="H30" s="515"/>
      <c r="I30" s="515"/>
      <c r="J30" s="528"/>
      <c r="K30" s="528">
        <f>K26</f>
        <v>2.2999999999999998</v>
      </c>
      <c r="L30" s="528">
        <f>L26</f>
        <v>2.4239999999999999</v>
      </c>
      <c r="M30" s="528">
        <f>M26</f>
        <v>2.5249999999999999</v>
      </c>
      <c r="N30" s="528">
        <f>N26</f>
        <v>2.6260000000000003</v>
      </c>
      <c r="O30" s="528">
        <f>O26</f>
        <v>2.7270000000000003</v>
      </c>
    </row>
    <row r="31" spans="1:16" ht="12.6" outlineLevel="1" thickBot="1">
      <c r="A31" s="488"/>
      <c r="C31" s="508" t="s">
        <v>831</v>
      </c>
      <c r="D31" s="478"/>
      <c r="E31" s="478"/>
      <c r="F31" s="493"/>
      <c r="G31" s="484"/>
      <c r="H31" s="515"/>
      <c r="I31" s="515"/>
      <c r="J31" s="534">
        <f t="shared" ref="J31:O31" si="0">J29*J30/1000</f>
        <v>0</v>
      </c>
      <c r="K31" s="534">
        <f>K29*K30/1000</f>
        <v>138000</v>
      </c>
      <c r="L31" s="534">
        <f t="shared" si="0"/>
        <v>159984</v>
      </c>
      <c r="M31" s="534">
        <f t="shared" si="0"/>
        <v>181800</v>
      </c>
      <c r="N31" s="534">
        <f t="shared" si="0"/>
        <v>204828.00000000003</v>
      </c>
      <c r="O31" s="534">
        <f t="shared" si="0"/>
        <v>229068.00000000003</v>
      </c>
      <c r="P31" s="466"/>
    </row>
    <row r="32" spans="1:16" outlineLevel="1">
      <c r="A32" s="488"/>
      <c r="C32" s="508"/>
      <c r="D32" s="478"/>
      <c r="E32" s="478"/>
      <c r="F32" s="493"/>
      <c r="G32" s="484"/>
      <c r="H32" s="515"/>
      <c r="I32" s="515"/>
      <c r="J32" s="515"/>
      <c r="K32" s="515"/>
      <c r="L32" s="515"/>
      <c r="M32" s="515"/>
      <c r="N32" s="515"/>
      <c r="O32" s="515"/>
      <c r="P32" s="466"/>
    </row>
    <row r="33" spans="1:16" outlineLevel="1">
      <c r="A33" s="488"/>
      <c r="B33" s="508" t="s">
        <v>195</v>
      </c>
      <c r="D33" s="478"/>
      <c r="E33" s="478"/>
      <c r="F33" s="493"/>
      <c r="G33" s="484"/>
      <c r="H33" s="515"/>
      <c r="I33" s="515"/>
      <c r="J33" s="529">
        <f t="shared" ref="J33:O33" si="1">IF(J16&gt;=1,1,0)</f>
        <v>0</v>
      </c>
      <c r="K33" s="530">
        <f t="shared" si="1"/>
        <v>0</v>
      </c>
      <c r="L33" s="530">
        <f t="shared" si="1"/>
        <v>0</v>
      </c>
      <c r="M33" s="530">
        <f t="shared" si="1"/>
        <v>0</v>
      </c>
      <c r="N33" s="530">
        <f t="shared" si="1"/>
        <v>0</v>
      </c>
      <c r="O33" s="531">
        <f t="shared" si="1"/>
        <v>0</v>
      </c>
    </row>
    <row r="34" spans="1:16" outlineLevel="1">
      <c r="A34" s="488"/>
      <c r="B34" s="508"/>
      <c r="D34" s="478"/>
      <c r="E34" s="478"/>
      <c r="F34" s="493"/>
      <c r="G34" s="484"/>
      <c r="H34" s="515"/>
      <c r="I34" s="515"/>
      <c r="J34" s="532"/>
      <c r="K34" s="532"/>
      <c r="L34" s="532"/>
    </row>
    <row r="35" spans="1:16" outlineLevel="1">
      <c r="B35" s="533"/>
      <c r="C35" s="533"/>
      <c r="D35" s="533"/>
      <c r="E35" s="533"/>
      <c r="F35" s="533"/>
      <c r="G35" s="533"/>
      <c r="H35" s="533"/>
      <c r="I35" s="533"/>
      <c r="J35" s="533"/>
      <c r="K35" s="533"/>
      <c r="L35" s="533"/>
      <c r="M35" s="533"/>
      <c r="N35" s="533"/>
      <c r="O35" s="533"/>
    </row>
    <row r="36" spans="1:16" s="463" customFormat="1"/>
    <row r="37" spans="1:16" s="463" customFormat="1"/>
    <row r="38" spans="1:16">
      <c r="A38" s="463" t="s">
        <v>80</v>
      </c>
      <c r="B38" s="472" t="s">
        <v>15</v>
      </c>
      <c r="C38" s="473"/>
      <c r="D38" s="474"/>
      <c r="E38" s="474"/>
      <c r="F38" s="475"/>
      <c r="G38" s="475"/>
      <c r="H38" s="476"/>
      <c r="I38" s="476"/>
      <c r="J38" s="476"/>
      <c r="K38" s="476"/>
      <c r="L38" s="476"/>
      <c r="M38" s="476"/>
      <c r="N38" s="476"/>
      <c r="O38" s="476"/>
    </row>
    <row r="39" spans="1:16" outlineLevel="1">
      <c r="A39" s="463"/>
      <c r="B39" s="463"/>
      <c r="C39" s="463"/>
      <c r="D39" s="463"/>
      <c r="E39" s="463"/>
      <c r="F39" s="463"/>
      <c r="G39" s="463"/>
      <c r="H39" s="463"/>
      <c r="I39" s="463"/>
      <c r="J39" s="463"/>
      <c r="K39" s="482"/>
      <c r="L39" s="482"/>
      <c r="M39" s="482"/>
      <c r="N39" s="482"/>
      <c r="O39" s="482"/>
    </row>
    <row r="40" spans="1:16" ht="12.6" outlineLevel="1" thickBot="1">
      <c r="A40" s="463"/>
      <c r="B40" s="483" t="s">
        <v>344</v>
      </c>
      <c r="C40" s="483"/>
      <c r="D40" s="478"/>
      <c r="E40" s="478"/>
      <c r="F40" s="484"/>
      <c r="G40" s="484"/>
      <c r="H40" s="463"/>
      <c r="I40" s="463"/>
      <c r="J40" s="485">
        <f>K40-1</f>
        <v>2024</v>
      </c>
      <c r="K40" s="486">
        <f>$K$5</f>
        <v>2025</v>
      </c>
      <c r="L40" s="486">
        <f>K40+1</f>
        <v>2026</v>
      </c>
      <c r="M40" s="486">
        <f>L40+1</f>
        <v>2027</v>
      </c>
      <c r="N40" s="486">
        <f>M40+1</f>
        <v>2028</v>
      </c>
      <c r="O40" s="486">
        <f>N40+1</f>
        <v>2029</v>
      </c>
      <c r="P40" s="466"/>
    </row>
    <row r="41" spans="1:16" outlineLevel="1">
      <c r="A41" s="463"/>
      <c r="B41" s="483" t="str">
        <f>$B$6</f>
        <v>Model Running: Base Case Drivers</v>
      </c>
      <c r="C41" s="483"/>
      <c r="D41" s="478"/>
      <c r="E41" s="478"/>
      <c r="F41" s="484"/>
      <c r="G41" s="484"/>
      <c r="H41" s="484"/>
      <c r="I41" s="484"/>
      <c r="J41" s="484"/>
      <c r="K41" s="488"/>
      <c r="L41" s="488"/>
      <c r="M41" s="488"/>
      <c r="N41" s="488"/>
      <c r="O41" s="488"/>
    </row>
    <row r="42" spans="1:16" outlineLevel="1">
      <c r="A42" s="463"/>
      <c r="B42" s="535" t="s">
        <v>1</v>
      </c>
      <c r="C42" s="536"/>
      <c r="D42" s="537"/>
      <c r="E42" s="538">
        <f>Transaction!$I$26</f>
        <v>365</v>
      </c>
      <c r="F42" s="484"/>
      <c r="G42" s="484"/>
      <c r="H42" s="484"/>
      <c r="I42" s="484"/>
      <c r="J42" s="484"/>
      <c r="K42" s="488"/>
      <c r="L42" s="488"/>
      <c r="M42" s="488"/>
      <c r="N42" s="488"/>
      <c r="O42" s="488"/>
    </row>
    <row r="43" spans="1:16" outlineLevel="1">
      <c r="A43" s="463"/>
      <c r="B43" s="539" t="s">
        <v>350</v>
      </c>
      <c r="C43" s="540"/>
      <c r="D43" s="541"/>
      <c r="E43" s="542">
        <f>E9</f>
        <v>12</v>
      </c>
      <c r="F43" s="484"/>
      <c r="G43" s="484"/>
      <c r="H43" s="484"/>
      <c r="I43" s="484"/>
      <c r="J43" s="543"/>
      <c r="K43" s="544">
        <f>K9</f>
        <v>12</v>
      </c>
      <c r="L43" s="544">
        <f>L9</f>
        <v>12</v>
      </c>
      <c r="M43" s="544">
        <f>M9</f>
        <v>12</v>
      </c>
      <c r="N43" s="544">
        <f>N9</f>
        <v>12</v>
      </c>
      <c r="O43" s="545">
        <f>O9</f>
        <v>12</v>
      </c>
    </row>
    <row r="44" spans="1:16" outlineLevel="1">
      <c r="A44" s="463"/>
      <c r="B44" s="508" t="s">
        <v>0</v>
      </c>
      <c r="C44" s="483"/>
      <c r="D44" s="478"/>
      <c r="E44" s="478"/>
      <c r="F44" s="493"/>
      <c r="G44" s="484"/>
      <c r="H44" s="484"/>
      <c r="I44" s="484"/>
      <c r="J44" s="543"/>
      <c r="K44" s="546">
        <f>K31</f>
        <v>138000</v>
      </c>
      <c r="L44" s="546">
        <f>L31</f>
        <v>159984</v>
      </c>
      <c r="M44" s="546">
        <f>M31</f>
        <v>181800</v>
      </c>
      <c r="N44" s="546">
        <f>N31</f>
        <v>204828.00000000003</v>
      </c>
      <c r="O44" s="547">
        <f>O31</f>
        <v>229068.00000000003</v>
      </c>
    </row>
    <row r="45" spans="1:16" outlineLevel="1">
      <c r="A45" s="463"/>
      <c r="B45" s="508" t="s">
        <v>829</v>
      </c>
      <c r="C45" s="483"/>
      <c r="D45" s="478"/>
      <c r="E45" s="478"/>
      <c r="F45" s="493"/>
      <c r="G45" s="484"/>
      <c r="H45" s="484"/>
      <c r="I45" s="484"/>
      <c r="J45" s="543"/>
      <c r="K45" s="546">
        <f>K29</f>
        <v>60000000</v>
      </c>
      <c r="L45" s="546">
        <f>L29</f>
        <v>66000000</v>
      </c>
      <c r="M45" s="546">
        <f>M29</f>
        <v>72000000</v>
      </c>
      <c r="N45" s="546">
        <f>N29</f>
        <v>78000000</v>
      </c>
      <c r="O45" s="547">
        <f>O29</f>
        <v>84000000</v>
      </c>
    </row>
    <row r="46" spans="1:16" outlineLevel="1">
      <c r="A46" s="463"/>
      <c r="B46" s="508" t="s">
        <v>18</v>
      </c>
      <c r="C46" s="483"/>
      <c r="D46" s="478"/>
      <c r="E46" s="478"/>
      <c r="F46" s="493"/>
      <c r="G46" s="484"/>
      <c r="H46" s="484"/>
      <c r="I46" s="484"/>
      <c r="J46" s="543"/>
      <c r="K46" s="525">
        <f>Inputs!H32</f>
        <v>0</v>
      </c>
      <c r="L46" s="525">
        <f>Inputs!I32</f>
        <v>0.05</v>
      </c>
      <c r="M46" s="525">
        <f>Inputs!J32</f>
        <v>0.05</v>
      </c>
      <c r="N46" s="525">
        <f>Inputs!K32</f>
        <v>0.05</v>
      </c>
      <c r="O46" s="550">
        <f>Inputs!L32</f>
        <v>0.04</v>
      </c>
    </row>
    <row r="47" spans="1:16" outlineLevel="1">
      <c r="A47" s="463"/>
      <c r="B47" s="508"/>
      <c r="C47" s="483"/>
      <c r="D47" s="478"/>
      <c r="E47" s="478"/>
      <c r="F47" s="484"/>
      <c r="G47" s="484"/>
      <c r="H47" s="548"/>
      <c r="I47" s="548"/>
      <c r="J47" s="548"/>
      <c r="K47" s="548"/>
      <c r="L47" s="548"/>
      <c r="M47" s="548"/>
      <c r="N47" s="548"/>
      <c r="O47" s="548"/>
      <c r="P47" s="549"/>
    </row>
    <row r="48" spans="1:16" s="463" customFormat="1" outlineLevel="1">
      <c r="B48" s="509" t="s">
        <v>71</v>
      </c>
      <c r="D48" s="499"/>
      <c r="E48" s="499"/>
      <c r="F48" s="493"/>
      <c r="H48" s="554"/>
      <c r="I48" s="554"/>
      <c r="J48" s="554"/>
      <c r="K48" s="511"/>
      <c r="L48" s="511"/>
      <c r="M48" s="511"/>
      <c r="N48" s="511"/>
      <c r="O48" s="511"/>
      <c r="P48" s="466"/>
    </row>
    <row r="49" spans="2:16" s="463" customFormat="1" outlineLevel="1">
      <c r="B49" s="508"/>
      <c r="C49" s="463" t="s">
        <v>779</v>
      </c>
      <c r="D49" s="499"/>
      <c r="E49" s="499"/>
      <c r="F49" s="493" t="s">
        <v>345</v>
      </c>
      <c r="G49" s="484"/>
      <c r="H49" s="526"/>
      <c r="I49" s="526"/>
      <c r="J49" s="526"/>
      <c r="K49" s="1408">
        <v>0.4</v>
      </c>
      <c r="L49" s="527">
        <f>K49*(1+L$46)</f>
        <v>0.42000000000000004</v>
      </c>
      <c r="M49" s="527">
        <f t="shared" ref="M49:O49" si="2">L49*(1+M$46)</f>
        <v>0.44100000000000006</v>
      </c>
      <c r="N49" s="527">
        <f t="shared" si="2"/>
        <v>0.46305000000000007</v>
      </c>
      <c r="O49" s="527">
        <f t="shared" si="2"/>
        <v>0.48157200000000011</v>
      </c>
      <c r="P49" s="467"/>
    </row>
    <row r="50" spans="2:16" s="463" customFormat="1" outlineLevel="1">
      <c r="B50" s="508"/>
      <c r="C50" s="463" t="s">
        <v>780</v>
      </c>
      <c r="D50" s="499"/>
      <c r="E50" s="499"/>
      <c r="F50" s="493" t="s">
        <v>345</v>
      </c>
      <c r="G50" s="484"/>
      <c r="H50" s="526"/>
      <c r="I50" s="526"/>
      <c r="J50" s="526"/>
      <c r="K50" s="1408">
        <v>0.2</v>
      </c>
      <c r="L50" s="527">
        <f t="shared" ref="L50:O50" si="3">K50*(1+L$46)</f>
        <v>0.21000000000000002</v>
      </c>
      <c r="M50" s="527">
        <f t="shared" si="3"/>
        <v>0.22050000000000003</v>
      </c>
      <c r="N50" s="527">
        <f t="shared" si="3"/>
        <v>0.23152500000000004</v>
      </c>
      <c r="O50" s="527">
        <f t="shared" si="3"/>
        <v>0.24078600000000006</v>
      </c>
      <c r="P50" s="467"/>
    </row>
    <row r="51" spans="2:16" s="463" customFormat="1" outlineLevel="1">
      <c r="C51" s="508" t="s">
        <v>693</v>
      </c>
      <c r="E51" s="478"/>
      <c r="F51" s="493" t="s">
        <v>345</v>
      </c>
      <c r="G51" s="484"/>
      <c r="H51" s="526"/>
      <c r="I51" s="526"/>
      <c r="J51" s="526"/>
      <c r="K51" s="1408">
        <v>0.1</v>
      </c>
      <c r="L51" s="527">
        <f t="shared" ref="L51:O51" si="4">K51*(1+L$46)</f>
        <v>0.10500000000000001</v>
      </c>
      <c r="M51" s="527">
        <f t="shared" si="4"/>
        <v>0.11025000000000001</v>
      </c>
      <c r="N51" s="527">
        <f t="shared" si="4"/>
        <v>0.11576250000000002</v>
      </c>
      <c r="O51" s="527">
        <f t="shared" si="4"/>
        <v>0.12039300000000003</v>
      </c>
      <c r="P51" s="467"/>
    </row>
    <row r="52" spans="2:16" s="463" customFormat="1" outlineLevel="1">
      <c r="C52" s="508" t="s">
        <v>781</v>
      </c>
      <c r="E52" s="478"/>
      <c r="F52" s="493" t="s">
        <v>345</v>
      </c>
      <c r="G52" s="484"/>
      <c r="H52" s="526"/>
      <c r="I52" s="526"/>
      <c r="J52" s="526"/>
      <c r="K52" s="1408">
        <v>0.2</v>
      </c>
      <c r="L52" s="527">
        <f t="shared" ref="L52:O52" si="5">K52*(1+L$46)</f>
        <v>0.21000000000000002</v>
      </c>
      <c r="M52" s="527">
        <f t="shared" si="5"/>
        <v>0.22050000000000003</v>
      </c>
      <c r="N52" s="527">
        <f t="shared" si="5"/>
        <v>0.23152500000000004</v>
      </c>
      <c r="O52" s="527">
        <f t="shared" si="5"/>
        <v>0.24078600000000006</v>
      </c>
      <c r="P52" s="467"/>
    </row>
    <row r="53" spans="2:16" s="463" customFormat="1" outlineLevel="1">
      <c r="C53" s="508" t="s">
        <v>348</v>
      </c>
      <c r="E53" s="478"/>
      <c r="F53" s="493" t="s">
        <v>345</v>
      </c>
      <c r="G53" s="484"/>
      <c r="H53" s="526"/>
      <c r="I53" s="526"/>
      <c r="J53" s="526"/>
      <c r="K53" s="1408">
        <v>0.01</v>
      </c>
      <c r="L53" s="527">
        <f t="shared" ref="L53:O53" si="6">K53*(1+L$46)</f>
        <v>1.0500000000000001E-2</v>
      </c>
      <c r="M53" s="527">
        <f t="shared" si="6"/>
        <v>1.1025000000000002E-2</v>
      </c>
      <c r="N53" s="527">
        <f t="shared" si="6"/>
        <v>1.1576250000000003E-2</v>
      </c>
      <c r="O53" s="527">
        <f t="shared" si="6"/>
        <v>1.2039300000000005E-2</v>
      </c>
      <c r="P53" s="467"/>
    </row>
    <row r="54" spans="2:16" s="463" customFormat="1" outlineLevel="1">
      <c r="C54" s="508" t="s">
        <v>19</v>
      </c>
      <c r="E54" s="499"/>
      <c r="F54" s="493"/>
      <c r="H54" s="526"/>
      <c r="I54" s="526"/>
      <c r="J54" s="1406"/>
      <c r="K54" s="1407">
        <f>SUM(K49:K53)</f>
        <v>0.91000000000000014</v>
      </c>
      <c r="L54" s="1407">
        <f>SUM(L49:L53)</f>
        <v>0.95550000000000002</v>
      </c>
      <c r="M54" s="1407">
        <f>SUM(M49:M53)</f>
        <v>1.0032750000000001</v>
      </c>
      <c r="N54" s="1407">
        <f>SUM(N49:N53)</f>
        <v>1.0534387500000002</v>
      </c>
      <c r="O54" s="1407">
        <f>SUM(O49:O53)</f>
        <v>1.0955763000000003</v>
      </c>
      <c r="P54" s="467"/>
    </row>
    <row r="55" spans="2:16" s="463" customFormat="1" outlineLevel="1">
      <c r="B55" s="508"/>
      <c r="C55" s="499"/>
      <c r="E55" s="499"/>
      <c r="F55" s="493"/>
      <c r="H55" s="528"/>
      <c r="I55" s="528"/>
      <c r="J55" s="528"/>
      <c r="K55" s="555"/>
      <c r="L55" s="555"/>
      <c r="M55" s="555"/>
      <c r="N55" s="555"/>
      <c r="O55" s="555"/>
      <c r="P55" s="467"/>
    </row>
    <row r="56" spans="2:16" s="463" customFormat="1" outlineLevel="1">
      <c r="B56" s="508"/>
      <c r="C56" s="463" t="s">
        <v>779</v>
      </c>
      <c r="E56" s="478"/>
      <c r="F56" s="493"/>
      <c r="G56" s="484"/>
      <c r="H56" s="515"/>
      <c r="J56" s="515"/>
      <c r="K56" s="515">
        <f>((K$45*55)/256)/1000</f>
        <v>12890.625</v>
      </c>
      <c r="L56" s="515">
        <f t="shared" ref="L56:O56" si="7">((L$45*55)/256)/1000</f>
        <v>14179.6875</v>
      </c>
      <c r="M56" s="515">
        <f t="shared" si="7"/>
        <v>15468.75</v>
      </c>
      <c r="N56" s="515">
        <f t="shared" si="7"/>
        <v>16757.8125</v>
      </c>
      <c r="O56" s="515">
        <f t="shared" si="7"/>
        <v>18046.875</v>
      </c>
      <c r="P56" s="467"/>
    </row>
    <row r="57" spans="2:16" s="463" customFormat="1" outlineLevel="1">
      <c r="B57" s="508"/>
      <c r="C57" s="463" t="s">
        <v>780</v>
      </c>
      <c r="E57" s="478"/>
      <c r="F57" s="493"/>
      <c r="G57" s="484"/>
      <c r="H57" s="515"/>
      <c r="J57" s="515"/>
      <c r="K57" s="515">
        <f>K50*K$56/K$49</f>
        <v>6445.3125</v>
      </c>
      <c r="L57" s="515">
        <f t="shared" ref="L57:O57" si="8">L50*L$56/L$49</f>
        <v>7089.84375</v>
      </c>
      <c r="M57" s="515">
        <f t="shared" si="8"/>
        <v>7734.375</v>
      </c>
      <c r="N57" s="515">
        <f t="shared" si="8"/>
        <v>8378.90625</v>
      </c>
      <c r="O57" s="515">
        <f t="shared" si="8"/>
        <v>9023.4375</v>
      </c>
      <c r="P57" s="467"/>
    </row>
    <row r="58" spans="2:16" s="463" customFormat="1" outlineLevel="1">
      <c r="C58" s="508" t="s">
        <v>693</v>
      </c>
      <c r="E58" s="478"/>
      <c r="F58" s="493"/>
      <c r="G58" s="484"/>
      <c r="H58" s="515"/>
      <c r="J58" s="515"/>
      <c r="K58" s="515">
        <f t="shared" ref="K58:O58" si="9">K51*K$56/K$49</f>
        <v>3222.65625</v>
      </c>
      <c r="L58" s="515">
        <f t="shared" si="9"/>
        <v>3544.921875</v>
      </c>
      <c r="M58" s="515">
        <f t="shared" si="9"/>
        <v>3867.1875</v>
      </c>
      <c r="N58" s="515">
        <f t="shared" si="9"/>
        <v>4189.453125</v>
      </c>
      <c r="O58" s="515">
        <f t="shared" si="9"/>
        <v>4511.71875</v>
      </c>
      <c r="P58" s="466"/>
    </row>
    <row r="59" spans="2:16" s="463" customFormat="1" outlineLevel="1">
      <c r="C59" s="508" t="s">
        <v>781</v>
      </c>
      <c r="E59" s="478"/>
      <c r="F59" s="493"/>
      <c r="G59" s="484"/>
      <c r="H59" s="515"/>
      <c r="J59" s="515"/>
      <c r="K59" s="515">
        <f t="shared" ref="K59:O59" si="10">K52*K$56/K$49</f>
        <v>6445.3125</v>
      </c>
      <c r="L59" s="515">
        <f t="shared" si="10"/>
        <v>7089.84375</v>
      </c>
      <c r="M59" s="515">
        <f t="shared" si="10"/>
        <v>7734.375</v>
      </c>
      <c r="N59" s="515">
        <f t="shared" si="10"/>
        <v>8378.90625</v>
      </c>
      <c r="O59" s="515">
        <f t="shared" si="10"/>
        <v>9023.4375</v>
      </c>
      <c r="P59" s="466"/>
    </row>
    <row r="60" spans="2:16" s="463" customFormat="1" outlineLevel="1">
      <c r="C60" s="508" t="s">
        <v>348</v>
      </c>
      <c r="E60" s="478"/>
      <c r="F60" s="493"/>
      <c r="G60" s="484"/>
      <c r="H60" s="515"/>
      <c r="J60" s="515"/>
      <c r="K60" s="515">
        <f t="shared" ref="K60:O60" si="11">K53*K$56/K$49</f>
        <v>322.265625</v>
      </c>
      <c r="L60" s="515">
        <f t="shared" si="11"/>
        <v>354.49218749999994</v>
      </c>
      <c r="M60" s="515">
        <f t="shared" si="11"/>
        <v>386.71875</v>
      </c>
      <c r="N60" s="515">
        <f t="shared" si="11"/>
        <v>418.9453125</v>
      </c>
      <c r="O60" s="515">
        <f t="shared" si="11"/>
        <v>451.17187500000006</v>
      </c>
      <c r="P60" s="466"/>
    </row>
    <row r="61" spans="2:16" s="463" customFormat="1" outlineLevel="1">
      <c r="C61" s="508"/>
      <c r="E61" s="478"/>
      <c r="F61" s="493"/>
      <c r="G61" s="484"/>
      <c r="H61" s="515"/>
      <c r="I61" s="515"/>
      <c r="J61" s="556"/>
      <c r="K61" s="557"/>
      <c r="L61" s="557"/>
      <c r="M61" s="557"/>
      <c r="N61" s="557"/>
      <c r="O61" s="557"/>
      <c r="P61" s="467"/>
    </row>
    <row r="62" spans="2:16" s="463" customFormat="1" outlineLevel="1">
      <c r="C62" s="508" t="s">
        <v>19</v>
      </c>
      <c r="E62" s="499"/>
      <c r="F62" s="493"/>
      <c r="H62" s="515"/>
      <c r="I62" s="515"/>
      <c r="J62" s="515"/>
      <c r="K62" s="515">
        <f>SUM(K56:K61)</f>
        <v>29326.171875</v>
      </c>
      <c r="L62" s="515">
        <f>SUM(L56:L61)</f>
        <v>32258.7890625</v>
      </c>
      <c r="M62" s="515">
        <f>SUM(M56:M61)</f>
        <v>35191.40625</v>
      </c>
      <c r="N62" s="515">
        <f>SUM(N56:N61)</f>
        <v>38124.0234375</v>
      </c>
      <c r="O62" s="515">
        <f>SUM(O56:O61)</f>
        <v>41056.640625</v>
      </c>
      <c r="P62" s="467"/>
    </row>
    <row r="63" spans="2:16" s="463" customFormat="1" outlineLevel="1">
      <c r="B63" s="508"/>
      <c r="C63" s="505"/>
      <c r="D63" s="506"/>
      <c r="E63" s="506"/>
      <c r="F63" s="519"/>
      <c r="G63" s="505"/>
      <c r="H63" s="558"/>
      <c r="I63" s="558"/>
      <c r="J63" s="558"/>
      <c r="K63" s="558"/>
      <c r="L63" s="558"/>
      <c r="M63" s="558"/>
      <c r="N63" s="558"/>
      <c r="O63" s="558"/>
      <c r="P63" s="467"/>
    </row>
    <row r="64" spans="2:16" s="463" customFormat="1" outlineLevel="1">
      <c r="B64" s="508"/>
      <c r="D64" s="499"/>
      <c r="E64" s="499"/>
      <c r="F64" s="493"/>
      <c r="H64" s="511"/>
      <c r="I64" s="511"/>
      <c r="J64" s="511"/>
      <c r="K64" s="559"/>
      <c r="L64" s="559"/>
      <c r="M64" s="559"/>
      <c r="N64" s="559"/>
      <c r="O64" s="559"/>
      <c r="P64" s="467"/>
    </row>
    <row r="65" spans="1:16" s="463" customFormat="1" outlineLevel="1">
      <c r="B65" s="509" t="s">
        <v>70</v>
      </c>
      <c r="D65" s="499"/>
      <c r="E65" s="499"/>
      <c r="F65" s="493"/>
      <c r="H65" s="511"/>
      <c r="I65" s="511"/>
      <c r="J65" s="511"/>
      <c r="K65" s="560"/>
      <c r="L65" s="560"/>
      <c r="M65" s="560"/>
      <c r="N65" s="560"/>
      <c r="O65" s="560"/>
      <c r="P65" s="467"/>
    </row>
    <row r="66" spans="1:16" s="463" customFormat="1" outlineLevel="1">
      <c r="C66" s="508" t="s">
        <v>401</v>
      </c>
      <c r="E66" s="478"/>
      <c r="F66" s="493" t="s">
        <v>345</v>
      </c>
      <c r="G66" s="484"/>
      <c r="H66" s="528"/>
      <c r="I66" s="528"/>
      <c r="J66" s="528"/>
      <c r="K66" s="528">
        <f t="shared" ref="K66:O67" si="12">IFERROR(K71*1000/K$45,0)</f>
        <v>0.05</v>
      </c>
      <c r="L66" s="528">
        <f t="shared" si="12"/>
        <v>5.7272727272727274E-2</v>
      </c>
      <c r="M66" s="528">
        <f t="shared" si="12"/>
        <v>6.1249999999999999E-2</v>
      </c>
      <c r="N66" s="528">
        <f t="shared" si="12"/>
        <v>5.6538461538461537E-2</v>
      </c>
      <c r="O66" s="528">
        <f t="shared" si="12"/>
        <v>5.1999999999999998E-2</v>
      </c>
      <c r="P66" s="466"/>
    </row>
    <row r="67" spans="1:16" s="463" customFormat="1" outlineLevel="1">
      <c r="C67" s="508" t="s">
        <v>349</v>
      </c>
      <c r="E67" s="478"/>
      <c r="F67" s="493" t="s">
        <v>345</v>
      </c>
      <c r="G67" s="484"/>
      <c r="H67" s="528"/>
      <c r="I67" s="528"/>
      <c r="J67" s="528"/>
      <c r="K67" s="528">
        <f t="shared" si="12"/>
        <v>0.16200000000000001</v>
      </c>
      <c r="L67" s="528">
        <f t="shared" si="12"/>
        <v>0.15463636363636363</v>
      </c>
      <c r="M67" s="528">
        <f t="shared" si="12"/>
        <v>0.14883750000000004</v>
      </c>
      <c r="N67" s="528">
        <f t="shared" si="12"/>
        <v>0.14425788461538464</v>
      </c>
      <c r="O67" s="528">
        <f t="shared" si="12"/>
        <v>0.13931190000000002</v>
      </c>
      <c r="P67" s="467"/>
    </row>
    <row r="68" spans="1:16" s="463" customFormat="1" outlineLevel="1">
      <c r="C68" s="508"/>
      <c r="E68" s="478"/>
      <c r="F68" s="493"/>
      <c r="G68" s="484"/>
      <c r="H68" s="528"/>
      <c r="I68" s="528"/>
      <c r="J68" s="561"/>
      <c r="K68" s="561"/>
      <c r="L68" s="561"/>
      <c r="M68" s="561"/>
      <c r="N68" s="561"/>
      <c r="O68" s="561"/>
      <c r="P68" s="467"/>
    </row>
    <row r="69" spans="1:16" s="463" customFormat="1" outlineLevel="1">
      <c r="C69" s="508" t="s">
        <v>19</v>
      </c>
      <c r="E69" s="499"/>
      <c r="F69" s="493"/>
      <c r="H69" s="528"/>
      <c r="I69" s="528"/>
      <c r="J69" s="528"/>
      <c r="K69" s="528">
        <f>SUM(K66:K68)</f>
        <v>0.21200000000000002</v>
      </c>
      <c r="L69" s="528">
        <f>SUM(L66:L68)</f>
        <v>0.21190909090909091</v>
      </c>
      <c r="M69" s="528">
        <f>SUM(M66:M68)</f>
        <v>0.21008750000000004</v>
      </c>
      <c r="N69" s="528">
        <f>SUM(N66:N68)</f>
        <v>0.20079634615384617</v>
      </c>
      <c r="O69" s="528">
        <f>SUM(O66:O68)</f>
        <v>0.19131190000000001</v>
      </c>
      <c r="P69" s="467"/>
    </row>
    <row r="70" spans="1:16" s="463" customFormat="1" outlineLevel="1">
      <c r="B70" s="508"/>
      <c r="C70" s="499"/>
      <c r="E70" s="499"/>
      <c r="F70" s="493"/>
      <c r="H70" s="511"/>
      <c r="I70" s="511"/>
      <c r="J70" s="511"/>
      <c r="K70" s="511"/>
      <c r="L70" s="511"/>
      <c r="M70" s="511"/>
      <c r="N70" s="511"/>
      <c r="O70" s="511"/>
      <c r="P70" s="467"/>
    </row>
    <row r="71" spans="1:16" s="463" customFormat="1" outlineLevel="1">
      <c r="C71" s="508" t="s">
        <v>401</v>
      </c>
      <c r="E71" s="478"/>
      <c r="F71" s="514"/>
      <c r="G71" s="484"/>
      <c r="H71" s="514"/>
      <c r="I71" s="514"/>
      <c r="J71" s="514"/>
      <c r="K71" s="562">
        <f>K$43*Inputs!H52*(1+K$46)/1000</f>
        <v>3000</v>
      </c>
      <c r="L71" s="562">
        <f>L$43*Inputs!I52*(1+L$46)/1000</f>
        <v>3780</v>
      </c>
      <c r="M71" s="562">
        <f>M$43*Inputs!J52*(1+M$46)/1000</f>
        <v>4410</v>
      </c>
      <c r="N71" s="562">
        <f>N$43*Inputs!K52*(1+N$46)/1000</f>
        <v>4410</v>
      </c>
      <c r="O71" s="562">
        <f>O$43*Inputs!L52*(1+O$46)/1000</f>
        <v>4368</v>
      </c>
      <c r="P71" s="467"/>
    </row>
    <row r="72" spans="1:16" s="463" customFormat="1" outlineLevel="1">
      <c r="C72" s="508" t="s">
        <v>349</v>
      </c>
      <c r="E72" s="478"/>
      <c r="F72" s="493"/>
      <c r="G72" s="484"/>
      <c r="H72" s="514"/>
      <c r="I72" s="514"/>
      <c r="J72" s="514"/>
      <c r="K72" s="562">
        <f>K$43*Inputs!H53*(1+K$46)/1000</f>
        <v>9720</v>
      </c>
      <c r="L72" s="562">
        <f>K72*(1+L$46)</f>
        <v>10206</v>
      </c>
      <c r="M72" s="562">
        <f t="shared" ref="M72:O72" si="13">L72*(1+M$46)</f>
        <v>10716.300000000001</v>
      </c>
      <c r="N72" s="562">
        <f t="shared" si="13"/>
        <v>11252.115000000002</v>
      </c>
      <c r="O72" s="562">
        <f t="shared" si="13"/>
        <v>11702.199600000002</v>
      </c>
      <c r="P72" s="467"/>
    </row>
    <row r="73" spans="1:16" s="463" customFormat="1" outlineLevel="1">
      <c r="C73" s="508"/>
      <c r="E73" s="478"/>
      <c r="F73" s="493"/>
      <c r="G73" s="484"/>
      <c r="H73" s="556"/>
      <c r="I73" s="556"/>
      <c r="J73" s="556"/>
      <c r="K73" s="557"/>
      <c r="L73" s="557"/>
      <c r="M73" s="557"/>
      <c r="N73" s="557"/>
      <c r="O73" s="557"/>
      <c r="P73" s="467"/>
    </row>
    <row r="74" spans="1:16" s="463" customFormat="1" outlineLevel="1">
      <c r="C74" s="508" t="s">
        <v>19</v>
      </c>
      <c r="E74" s="499"/>
      <c r="F74" s="493"/>
      <c r="H74" s="515"/>
      <c r="I74" s="515"/>
      <c r="J74" s="515"/>
      <c r="K74" s="515">
        <f>SUM(K71:K73)</f>
        <v>12720</v>
      </c>
      <c r="L74" s="515">
        <f>SUM(L71:L73)</f>
        <v>13986</v>
      </c>
      <c r="M74" s="515">
        <f>SUM(M71:M73)</f>
        <v>15126.300000000001</v>
      </c>
      <c r="N74" s="515">
        <f>SUM(N71:N73)</f>
        <v>15662.115000000002</v>
      </c>
      <c r="O74" s="515">
        <f>SUM(O71:O73)</f>
        <v>16070.199600000002</v>
      </c>
      <c r="P74" s="467"/>
    </row>
    <row r="75" spans="1:16" s="463" customFormat="1" outlineLevel="1">
      <c r="B75" s="508"/>
      <c r="C75" s="508"/>
      <c r="D75" s="508"/>
      <c r="E75" s="508"/>
      <c r="F75" s="508"/>
      <c r="G75" s="508"/>
      <c r="H75" s="508"/>
      <c r="I75" s="508"/>
      <c r="J75" s="508"/>
      <c r="K75" s="508"/>
      <c r="L75" s="508"/>
      <c r="M75" s="508"/>
      <c r="N75" s="508"/>
      <c r="O75" s="508"/>
      <c r="P75" s="467"/>
    </row>
    <row r="76" spans="1:16" s="463" customFormat="1" outlineLevel="1">
      <c r="B76" s="508"/>
      <c r="D76" s="499"/>
      <c r="E76" s="499"/>
      <c r="F76" s="493"/>
      <c r="H76" s="511"/>
      <c r="I76" s="524"/>
      <c r="J76" s="524"/>
      <c r="K76" s="511"/>
      <c r="L76" s="511"/>
      <c r="M76" s="511"/>
      <c r="N76" s="511"/>
      <c r="O76" s="511"/>
      <c r="P76" s="467"/>
    </row>
    <row r="77" spans="1:16" s="463" customFormat="1">
      <c r="M77" s="511"/>
      <c r="N77" s="511"/>
      <c r="O77" s="511"/>
      <c r="P77" s="467"/>
    </row>
    <row r="78" spans="1:16">
      <c r="A78" s="463" t="s">
        <v>80</v>
      </c>
      <c r="B78" s="472" t="s">
        <v>360</v>
      </c>
      <c r="C78" s="473"/>
      <c r="D78" s="474"/>
      <c r="E78" s="474"/>
      <c r="F78" s="475"/>
      <c r="G78" s="475"/>
      <c r="H78" s="476"/>
      <c r="I78" s="476"/>
      <c r="J78" s="476"/>
      <c r="K78" s="476"/>
      <c r="L78" s="476"/>
      <c r="M78" s="476"/>
      <c r="N78" s="476"/>
      <c r="O78" s="476"/>
    </row>
    <row r="79" spans="1:16" s="463" customFormat="1" outlineLevel="1">
      <c r="B79" s="509" t="s">
        <v>72</v>
      </c>
      <c r="D79" s="499"/>
      <c r="E79" s="499"/>
      <c r="F79" s="493"/>
      <c r="H79" s="511"/>
      <c r="I79" s="511"/>
      <c r="J79" s="511"/>
      <c r="K79" s="511"/>
      <c r="P79" s="467"/>
    </row>
    <row r="80" spans="1:16" s="463" customFormat="1" outlineLevel="1">
      <c r="B80" s="509"/>
      <c r="D80" s="499"/>
      <c r="E80" s="499"/>
      <c r="F80" s="493"/>
      <c r="H80" s="480"/>
      <c r="I80" s="480"/>
      <c r="J80" s="481"/>
      <c r="K80" s="482"/>
      <c r="L80" s="482"/>
      <c r="M80" s="482"/>
      <c r="N80" s="482"/>
      <c r="O80" s="482"/>
      <c r="P80" s="467"/>
    </row>
    <row r="81" spans="1:16" ht="12.6" outlineLevel="1" thickBot="1">
      <c r="A81" s="463"/>
      <c r="B81" s="483" t="s">
        <v>344</v>
      </c>
      <c r="C81" s="483"/>
      <c r="D81" s="478"/>
      <c r="E81" s="478"/>
      <c r="F81" s="484"/>
      <c r="G81" s="484"/>
      <c r="H81" s="480"/>
      <c r="I81" s="480"/>
      <c r="J81" s="485">
        <f>K81-1</f>
        <v>2024</v>
      </c>
      <c r="K81" s="486">
        <f>$K$5</f>
        <v>2025</v>
      </c>
      <c r="L81" s="486">
        <f>K81+1</f>
        <v>2026</v>
      </c>
      <c r="M81" s="486">
        <f>L81+1</f>
        <v>2027</v>
      </c>
      <c r="N81" s="486">
        <f>M81+1</f>
        <v>2028</v>
      </c>
      <c r="O81" s="486">
        <f>N81+1</f>
        <v>2029</v>
      </c>
      <c r="P81" s="466"/>
    </row>
    <row r="82" spans="1:16" outlineLevel="1">
      <c r="A82" s="463"/>
      <c r="B82" s="483" t="str">
        <f>$B$6</f>
        <v>Model Running: Base Case Drivers</v>
      </c>
      <c r="C82" s="483"/>
      <c r="D82" s="478"/>
      <c r="E82" s="478"/>
      <c r="F82" s="484"/>
      <c r="G82" s="484"/>
      <c r="H82" s="480"/>
      <c r="I82" s="480"/>
      <c r="J82" s="484"/>
      <c r="K82" s="488"/>
      <c r="L82" s="488"/>
      <c r="M82" s="488"/>
      <c r="N82" s="488"/>
      <c r="O82" s="488"/>
    </row>
    <row r="83" spans="1:16" outlineLevel="1">
      <c r="A83" s="463"/>
      <c r="B83" s="551" t="s">
        <v>1</v>
      </c>
      <c r="C83" s="552"/>
      <c r="D83" s="553"/>
      <c r="E83" s="563">
        <f>Transaction!$I$26</f>
        <v>365</v>
      </c>
      <c r="F83" s="484"/>
      <c r="G83" s="484"/>
      <c r="H83" s="484"/>
      <c r="I83" s="484"/>
      <c r="J83" s="484"/>
      <c r="K83" s="488"/>
      <c r="L83" s="488"/>
      <c r="M83" s="488"/>
      <c r="N83" s="488"/>
      <c r="O83" s="488"/>
    </row>
    <row r="84" spans="1:16" outlineLevel="1">
      <c r="A84" s="463"/>
      <c r="B84" s="551" t="s">
        <v>350</v>
      </c>
      <c r="C84" s="552"/>
      <c r="D84" s="553"/>
      <c r="E84" s="563">
        <f>E43</f>
        <v>12</v>
      </c>
      <c r="F84" s="484"/>
      <c r="G84" s="484"/>
      <c r="H84" s="484"/>
      <c r="I84" s="484"/>
      <c r="J84" s="543"/>
      <c r="K84" s="544">
        <f t="shared" ref="K84:O85" si="14">K43</f>
        <v>12</v>
      </c>
      <c r="L84" s="544">
        <f t="shared" si="14"/>
        <v>12</v>
      </c>
      <c r="M84" s="544">
        <f t="shared" si="14"/>
        <v>12</v>
      </c>
      <c r="N84" s="544">
        <f t="shared" si="14"/>
        <v>12</v>
      </c>
      <c r="O84" s="545">
        <f t="shared" si="14"/>
        <v>12</v>
      </c>
    </row>
    <row r="85" spans="1:16" outlineLevel="1">
      <c r="A85" s="463"/>
      <c r="B85" s="508" t="s">
        <v>0</v>
      </c>
      <c r="C85" s="483"/>
      <c r="D85" s="478"/>
      <c r="E85" s="478"/>
      <c r="F85" s="493"/>
      <c r="G85" s="484"/>
      <c r="H85" s="484"/>
      <c r="I85" s="484"/>
      <c r="J85" s="543"/>
      <c r="K85" s="546">
        <f t="shared" si="14"/>
        <v>138000</v>
      </c>
      <c r="L85" s="546">
        <f t="shared" si="14"/>
        <v>159984</v>
      </c>
      <c r="M85" s="546">
        <f t="shared" si="14"/>
        <v>181800</v>
      </c>
      <c r="N85" s="546">
        <f t="shared" si="14"/>
        <v>204828.00000000003</v>
      </c>
      <c r="O85" s="547">
        <f t="shared" si="14"/>
        <v>229068.00000000003</v>
      </c>
      <c r="P85" s="466"/>
    </row>
    <row r="86" spans="1:16" outlineLevel="1">
      <c r="A86" s="463"/>
      <c r="B86" s="508" t="s">
        <v>18</v>
      </c>
      <c r="C86" s="483"/>
      <c r="D86" s="478"/>
      <c r="E86" s="478"/>
      <c r="F86" s="484"/>
      <c r="G86" s="484"/>
      <c r="H86" s="484"/>
      <c r="I86" s="484"/>
      <c r="J86" s="543"/>
      <c r="K86" s="525">
        <f>K46</f>
        <v>0</v>
      </c>
      <c r="L86" s="525">
        <f>L46</f>
        <v>0.05</v>
      </c>
      <c r="M86" s="525">
        <f>M46</f>
        <v>0.05</v>
      </c>
      <c r="N86" s="525">
        <f>N46</f>
        <v>0.05</v>
      </c>
      <c r="O86" s="550">
        <f>O46</f>
        <v>0.04</v>
      </c>
      <c r="P86" s="466"/>
    </row>
    <row r="87" spans="1:16" s="463" customFormat="1" outlineLevel="1">
      <c r="B87" s="509"/>
      <c r="D87" s="499"/>
      <c r="E87" s="499"/>
      <c r="F87" s="493"/>
      <c r="H87" s="484"/>
      <c r="I87" s="484"/>
      <c r="J87" s="484"/>
      <c r="K87" s="511"/>
      <c r="P87" s="467"/>
    </row>
    <row r="88" spans="1:16" s="463" customFormat="1" outlineLevel="1">
      <c r="B88" s="509"/>
      <c r="D88" s="499"/>
      <c r="E88" s="499"/>
      <c r="F88" s="493"/>
      <c r="H88" s="511"/>
      <c r="I88" s="511"/>
      <c r="J88" s="511"/>
      <c r="K88" s="511"/>
      <c r="L88" s="511"/>
      <c r="M88" s="511"/>
      <c r="N88" s="511"/>
      <c r="O88" s="511"/>
      <c r="P88" s="467"/>
    </row>
    <row r="89" spans="1:16" s="463" customFormat="1" outlineLevel="1">
      <c r="B89" s="509"/>
      <c r="C89" s="508" t="s">
        <v>16</v>
      </c>
      <c r="E89" s="499"/>
      <c r="F89" s="493" t="s">
        <v>345</v>
      </c>
      <c r="H89" s="528"/>
      <c r="I89" s="528"/>
      <c r="J89" s="528"/>
      <c r="K89" s="528">
        <f>K54</f>
        <v>0.91000000000000014</v>
      </c>
      <c r="L89" s="528">
        <f>L54</f>
        <v>0.95550000000000002</v>
      </c>
      <c r="M89" s="528">
        <f>M54</f>
        <v>1.0032750000000001</v>
      </c>
      <c r="N89" s="528">
        <f>N54</f>
        <v>1.0534387500000002</v>
      </c>
      <c r="O89" s="528">
        <f>O54</f>
        <v>1.0955763000000003</v>
      </c>
      <c r="P89" s="467"/>
    </row>
    <row r="90" spans="1:16" s="463" customFormat="1" outlineLevel="1">
      <c r="B90" s="509"/>
      <c r="C90" s="508" t="s">
        <v>17</v>
      </c>
      <c r="E90" s="499"/>
      <c r="F90" s="493" t="s">
        <v>345</v>
      </c>
      <c r="H90" s="561"/>
      <c r="I90" s="561"/>
      <c r="J90" s="561"/>
      <c r="K90" s="561">
        <f>K69</f>
        <v>0.21200000000000002</v>
      </c>
      <c r="L90" s="561">
        <f>L69</f>
        <v>0.21190909090909091</v>
      </c>
      <c r="M90" s="561">
        <f>M69</f>
        <v>0.21008750000000004</v>
      </c>
      <c r="N90" s="561">
        <f>N69</f>
        <v>0.20079634615384617</v>
      </c>
      <c r="O90" s="561">
        <f>O69</f>
        <v>0.19131190000000001</v>
      </c>
      <c r="P90" s="467"/>
    </row>
    <row r="91" spans="1:16" s="463" customFormat="1" outlineLevel="1">
      <c r="B91" s="509"/>
      <c r="C91" s="508" t="s">
        <v>20</v>
      </c>
      <c r="E91" s="499"/>
      <c r="F91" s="493" t="s">
        <v>345</v>
      </c>
      <c r="H91" s="528"/>
      <c r="I91" s="528"/>
      <c r="J91" s="528"/>
      <c r="K91" s="528">
        <f>SUM(K89:K90)</f>
        <v>1.1220000000000001</v>
      </c>
      <c r="L91" s="528">
        <f>SUM(L89:L90)</f>
        <v>1.1674090909090908</v>
      </c>
      <c r="M91" s="528">
        <f>SUM(M89:M90)</f>
        <v>1.2133625000000001</v>
      </c>
      <c r="N91" s="528">
        <f>SUM(N89:N90)</f>
        <v>1.2542350961538464</v>
      </c>
      <c r="O91" s="528">
        <f>SUM(O89:O90)</f>
        <v>1.2868882000000004</v>
      </c>
      <c r="P91" s="467"/>
    </row>
    <row r="92" spans="1:16" s="463" customFormat="1" outlineLevel="1">
      <c r="B92" s="509"/>
      <c r="C92" s="508"/>
      <c r="E92" s="499"/>
      <c r="F92" s="493"/>
      <c r="H92" s="528"/>
      <c r="I92" s="528"/>
      <c r="J92" s="528"/>
      <c r="K92" s="528"/>
      <c r="L92" s="528"/>
      <c r="M92" s="528"/>
      <c r="N92" s="528"/>
      <c r="O92" s="528"/>
      <c r="P92" s="467"/>
    </row>
    <row r="93" spans="1:16" s="463" customFormat="1" outlineLevel="1">
      <c r="B93" s="509"/>
      <c r="C93" s="508" t="s">
        <v>16</v>
      </c>
      <c r="E93" s="499"/>
      <c r="F93" s="493"/>
      <c r="H93" s="515"/>
      <c r="I93" s="515"/>
      <c r="J93" s="515"/>
      <c r="K93" s="515">
        <f>K62</f>
        <v>29326.171875</v>
      </c>
      <c r="L93" s="515">
        <f>L62</f>
        <v>32258.7890625</v>
      </c>
      <c r="M93" s="515">
        <f>M62</f>
        <v>35191.40625</v>
      </c>
      <c r="N93" s="515">
        <f>N62</f>
        <v>38124.0234375</v>
      </c>
      <c r="O93" s="515">
        <f>O62</f>
        <v>41056.640625</v>
      </c>
      <c r="P93" s="467"/>
    </row>
    <row r="94" spans="1:16" s="463" customFormat="1" outlineLevel="1">
      <c r="B94" s="509"/>
      <c r="C94" s="508" t="s">
        <v>17</v>
      </c>
      <c r="E94" s="499"/>
      <c r="F94" s="493"/>
      <c r="H94" s="515"/>
      <c r="I94" s="515"/>
      <c r="J94" s="515"/>
      <c r="K94" s="515">
        <f>K74</f>
        <v>12720</v>
      </c>
      <c r="L94" s="515">
        <f>L74</f>
        <v>13986</v>
      </c>
      <c r="M94" s="515">
        <f>M74</f>
        <v>15126.300000000001</v>
      </c>
      <c r="N94" s="515">
        <f>N74</f>
        <v>15662.115000000002</v>
      </c>
      <c r="O94" s="515">
        <f>O74</f>
        <v>16070.199600000002</v>
      </c>
      <c r="P94" s="467"/>
    </row>
    <row r="95" spans="1:16" s="463" customFormat="1" ht="12.6" outlineLevel="1" thickBot="1">
      <c r="B95" s="509"/>
      <c r="C95" s="508" t="s">
        <v>20</v>
      </c>
      <c r="E95" s="499"/>
      <c r="F95" s="493"/>
      <c r="H95" s="515"/>
      <c r="I95" s="515"/>
      <c r="J95" s="564"/>
      <c r="K95" s="564">
        <f>SUM(K93:K94)</f>
        <v>42046.171875</v>
      </c>
      <c r="L95" s="564">
        <f>SUM(L93:L94)</f>
        <v>46244.7890625</v>
      </c>
      <c r="M95" s="564">
        <f>SUM(M93:M94)</f>
        <v>50317.706250000003</v>
      </c>
      <c r="N95" s="564">
        <f>SUM(N93:N94)</f>
        <v>53786.138437500005</v>
      </c>
      <c r="O95" s="564">
        <f>SUM(O93:O94)</f>
        <v>57126.840225</v>
      </c>
      <c r="P95" s="467"/>
    </row>
    <row r="96" spans="1:16" s="463" customFormat="1" outlineLevel="1">
      <c r="B96" s="509"/>
      <c r="D96" s="499"/>
      <c r="E96" s="499"/>
      <c r="F96" s="493"/>
      <c r="H96" s="515"/>
      <c r="I96" s="515"/>
      <c r="J96" s="511"/>
      <c r="K96" s="511"/>
      <c r="L96" s="511"/>
      <c r="M96" s="511"/>
      <c r="N96" s="511"/>
      <c r="O96" s="511"/>
      <c r="P96" s="467"/>
    </row>
    <row r="97" spans="1:16" s="463" customFormat="1" outlineLevel="1">
      <c r="B97" s="517"/>
      <c r="C97" s="517"/>
      <c r="D97" s="518"/>
      <c r="E97" s="518"/>
      <c r="F97" s="519"/>
      <c r="G97" s="520"/>
      <c r="H97" s="556"/>
      <c r="I97" s="556"/>
      <c r="J97" s="565"/>
      <c r="K97" s="565"/>
      <c r="L97" s="565"/>
      <c r="M97" s="565"/>
      <c r="N97" s="565"/>
      <c r="O97" s="565"/>
    </row>
    <row r="98" spans="1:16" s="463" customFormat="1">
      <c r="B98" s="508"/>
      <c r="C98" s="508"/>
      <c r="D98" s="478"/>
      <c r="E98" s="478"/>
      <c r="F98" s="493"/>
      <c r="G98" s="484"/>
      <c r="H98" s="514"/>
      <c r="I98" s="514"/>
      <c r="J98" s="514"/>
      <c r="K98" s="562"/>
      <c r="L98" s="562"/>
      <c r="M98" s="562"/>
      <c r="N98" s="562"/>
      <c r="O98" s="562"/>
    </row>
    <row r="99" spans="1:16" s="488" customFormat="1">
      <c r="A99" s="463" t="s">
        <v>80</v>
      </c>
      <c r="B99" s="472" t="s">
        <v>24</v>
      </c>
      <c r="C99" s="473"/>
      <c r="D99" s="474"/>
      <c r="E99" s="474"/>
      <c r="F99" s="475"/>
      <c r="G99" s="475"/>
      <c r="H99" s="476"/>
      <c r="I99" s="476"/>
      <c r="J99" s="476"/>
      <c r="K99" s="476"/>
      <c r="L99" s="476"/>
      <c r="M99" s="476"/>
      <c r="N99" s="476"/>
      <c r="O99" s="476"/>
      <c r="P99" s="463"/>
    </row>
    <row r="100" spans="1:16" s="488" customFormat="1" outlineLevel="1">
      <c r="B100" s="477"/>
      <c r="C100" s="477"/>
      <c r="D100" s="478"/>
      <c r="E100" s="478"/>
      <c r="F100" s="479"/>
      <c r="G100" s="479"/>
      <c r="H100" s="480"/>
      <c r="I100" s="480"/>
      <c r="J100" s="481"/>
      <c r="K100" s="482"/>
      <c r="L100" s="482"/>
      <c r="M100" s="482"/>
      <c r="N100" s="482"/>
      <c r="O100" s="482"/>
    </row>
    <row r="101" spans="1:16" s="488" customFormat="1" ht="12.6" outlineLevel="1" thickBot="1">
      <c r="B101" s="483" t="s">
        <v>344</v>
      </c>
      <c r="C101" s="483"/>
      <c r="D101" s="478"/>
      <c r="E101" s="478"/>
      <c r="F101" s="484"/>
      <c r="G101" s="484"/>
      <c r="H101" s="480"/>
      <c r="I101" s="480"/>
      <c r="J101" s="485">
        <f>K101-1</f>
        <v>2024</v>
      </c>
      <c r="K101" s="486">
        <f>$K$5</f>
        <v>2025</v>
      </c>
      <c r="L101" s="486">
        <f>K101+1</f>
        <v>2026</v>
      </c>
      <c r="M101" s="486">
        <f>L101+1</f>
        <v>2027</v>
      </c>
      <c r="N101" s="486">
        <f>M101+1</f>
        <v>2028</v>
      </c>
      <c r="O101" s="486">
        <f>N101+1</f>
        <v>2029</v>
      </c>
    </row>
    <row r="102" spans="1:16" s="488" customFormat="1" outlineLevel="1">
      <c r="B102" s="483" t="str">
        <f>$B$6</f>
        <v>Model Running: Base Case Drivers</v>
      </c>
      <c r="C102" s="483"/>
      <c r="D102" s="478"/>
      <c r="E102" s="478"/>
      <c r="F102" s="484"/>
      <c r="G102" s="484"/>
      <c r="H102" s="480"/>
      <c r="I102" s="480"/>
      <c r="J102" s="566"/>
      <c r="P102" s="466"/>
    </row>
    <row r="103" spans="1:16" s="488" customFormat="1" outlineLevel="1">
      <c r="B103" s="483"/>
      <c r="C103" s="483"/>
      <c r="D103" s="478"/>
      <c r="E103" s="478"/>
      <c r="F103" s="484"/>
      <c r="G103" s="484"/>
      <c r="H103" s="484"/>
      <c r="I103" s="484"/>
      <c r="J103" s="484"/>
      <c r="P103" s="466"/>
    </row>
    <row r="104" spans="1:16" outlineLevel="1">
      <c r="A104" s="463"/>
      <c r="B104" s="508" t="s">
        <v>18</v>
      </c>
      <c r="C104" s="483"/>
      <c r="D104" s="478"/>
      <c r="E104" s="478"/>
      <c r="F104" s="484"/>
      <c r="G104" s="484"/>
      <c r="H104" s="484"/>
      <c r="I104" s="484"/>
      <c r="J104" s="543"/>
      <c r="K104" s="567">
        <f>K46</f>
        <v>0</v>
      </c>
      <c r="L104" s="567">
        <f>L46</f>
        <v>0.05</v>
      </c>
      <c r="M104" s="567">
        <f>M46</f>
        <v>0.05</v>
      </c>
      <c r="N104" s="567">
        <f>N46</f>
        <v>0.05</v>
      </c>
      <c r="O104" s="568">
        <f>O46</f>
        <v>0.04</v>
      </c>
      <c r="P104" s="466"/>
    </row>
    <row r="105" spans="1:16" outlineLevel="1">
      <c r="A105" s="463"/>
      <c r="B105" s="508"/>
      <c r="C105" s="483"/>
      <c r="D105" s="478"/>
      <c r="E105" s="478"/>
      <c r="F105" s="484"/>
      <c r="G105" s="484"/>
      <c r="H105" s="484"/>
      <c r="I105" s="484"/>
      <c r="J105" s="484"/>
      <c r="K105" s="548"/>
      <c r="L105" s="548"/>
      <c r="M105" s="548"/>
      <c r="N105" s="548"/>
      <c r="O105" s="548"/>
    </row>
    <row r="106" spans="1:16" s="463" customFormat="1" outlineLevel="1">
      <c r="B106" s="508" t="s">
        <v>0</v>
      </c>
      <c r="C106" s="508"/>
      <c r="F106" s="484"/>
      <c r="H106" s="569"/>
      <c r="I106" s="569"/>
      <c r="J106" s="569"/>
      <c r="K106" s="570">
        <f>K31</f>
        <v>138000</v>
      </c>
      <c r="L106" s="570">
        <f t="shared" ref="L106:O106" si="15">L31</f>
        <v>159984</v>
      </c>
      <c r="M106" s="570">
        <f t="shared" si="15"/>
        <v>181800</v>
      </c>
      <c r="N106" s="570">
        <f t="shared" si="15"/>
        <v>204828.00000000003</v>
      </c>
      <c r="O106" s="570">
        <f t="shared" si="15"/>
        <v>229068.00000000003</v>
      </c>
      <c r="P106" s="466"/>
    </row>
    <row r="107" spans="1:16" s="463" customFormat="1" outlineLevel="1">
      <c r="B107" s="508" t="s">
        <v>68</v>
      </c>
      <c r="C107" s="508"/>
      <c r="H107" s="569"/>
      <c r="I107" s="569"/>
      <c r="J107" s="571"/>
      <c r="K107" s="572">
        <f>K93</f>
        <v>29326.171875</v>
      </c>
      <c r="L107" s="572">
        <f>L93</f>
        <v>32258.7890625</v>
      </c>
      <c r="M107" s="572">
        <f>M93</f>
        <v>35191.40625</v>
      </c>
      <c r="N107" s="572">
        <f>N93</f>
        <v>38124.0234375</v>
      </c>
      <c r="O107" s="572">
        <f>O93</f>
        <v>41056.640625</v>
      </c>
      <c r="P107" s="466"/>
    </row>
    <row r="108" spans="1:16" s="463" customFormat="1" outlineLevel="1">
      <c r="B108" s="509" t="s">
        <v>25</v>
      </c>
      <c r="C108" s="509"/>
      <c r="D108" s="573"/>
      <c r="E108" s="573"/>
      <c r="H108" s="569"/>
      <c r="I108" s="569"/>
      <c r="J108" s="574"/>
      <c r="K108" s="575">
        <f>K106-K107</f>
        <v>108673.828125</v>
      </c>
      <c r="L108" s="575">
        <f>L106-L107</f>
        <v>127725.2109375</v>
      </c>
      <c r="M108" s="575">
        <f>M106-M107</f>
        <v>146608.59375</v>
      </c>
      <c r="N108" s="575">
        <f>N106-N107</f>
        <v>166703.97656250003</v>
      </c>
      <c r="O108" s="575">
        <f>O106-O107</f>
        <v>188011.35937500003</v>
      </c>
      <c r="P108" s="466"/>
    </row>
    <row r="109" spans="1:16" s="463" customFormat="1" outlineLevel="1">
      <c r="B109" s="509"/>
      <c r="C109" s="509"/>
      <c r="D109" s="573"/>
      <c r="E109" s="573"/>
      <c r="H109" s="569"/>
      <c r="I109" s="569"/>
      <c r="J109" s="576"/>
      <c r="K109" s="577">
        <f>K108/K106</f>
        <v>0.78749150815217395</v>
      </c>
      <c r="L109" s="577">
        <f>L108/L106</f>
        <v>0.79836240459983498</v>
      </c>
      <c r="M109" s="577">
        <f>M108/M106</f>
        <v>0.80642790841584155</v>
      </c>
      <c r="N109" s="577">
        <f>N108/N106</f>
        <v>0.81387298886138615</v>
      </c>
      <c r="O109" s="577">
        <f>O108/O106</f>
        <v>0.82076658186651996</v>
      </c>
      <c r="P109" s="578"/>
    </row>
    <row r="110" spans="1:16" s="463" customFormat="1" outlineLevel="1">
      <c r="B110" s="508" t="s">
        <v>66</v>
      </c>
      <c r="C110" s="508"/>
      <c r="F110" s="569"/>
      <c r="H110" s="569"/>
      <c r="I110" s="569"/>
      <c r="J110" s="569"/>
      <c r="K110" s="570">
        <f>K94</f>
        <v>12720</v>
      </c>
      <c r="L110" s="570">
        <f>L94</f>
        <v>13986</v>
      </c>
      <c r="M110" s="570">
        <f>M94</f>
        <v>15126.300000000001</v>
      </c>
      <c r="N110" s="570">
        <f>N94</f>
        <v>15662.115000000002</v>
      </c>
      <c r="O110" s="570">
        <f>O94</f>
        <v>16070.199600000002</v>
      </c>
    </row>
    <row r="111" spans="1:16" s="463" customFormat="1" outlineLevel="1">
      <c r="B111" s="508" t="s">
        <v>33</v>
      </c>
      <c r="C111" s="508"/>
      <c r="H111" s="569"/>
      <c r="I111" s="569"/>
      <c r="J111" s="571"/>
      <c r="K111" s="572">
        <f>K96</f>
        <v>0</v>
      </c>
      <c r="L111" s="572">
        <f>L96</f>
        <v>0</v>
      </c>
      <c r="M111" s="572">
        <f>M96</f>
        <v>0</v>
      </c>
      <c r="N111" s="572">
        <f>N96</f>
        <v>0</v>
      </c>
      <c r="O111" s="572">
        <f>O96</f>
        <v>0</v>
      </c>
    </row>
    <row r="112" spans="1:16" s="463" customFormat="1" outlineLevel="1">
      <c r="B112" s="509" t="s">
        <v>26</v>
      </c>
      <c r="C112" s="509"/>
      <c r="D112" s="573"/>
      <c r="E112" s="573"/>
      <c r="H112" s="569"/>
      <c r="I112" s="569"/>
      <c r="J112" s="574"/>
      <c r="K112" s="575">
        <f>K108-SUM(K110:K111)</f>
        <v>95953.828125</v>
      </c>
      <c r="L112" s="575">
        <f>L108-SUM(L110:L111)</f>
        <v>113739.2109375</v>
      </c>
      <c r="M112" s="575">
        <f>M108-SUM(M110:M111)</f>
        <v>131482.29375000001</v>
      </c>
      <c r="N112" s="575">
        <f>N108-SUM(N110:N111)</f>
        <v>151041.86156250004</v>
      </c>
      <c r="O112" s="575">
        <f>O108-SUM(O110:O111)</f>
        <v>171941.15977500004</v>
      </c>
    </row>
    <row r="113" spans="2:16" s="463" customFormat="1" outlineLevel="1">
      <c r="B113" s="509"/>
      <c r="C113" s="509"/>
      <c r="D113" s="573"/>
      <c r="E113" s="573"/>
      <c r="H113" s="569"/>
      <c r="I113" s="569"/>
      <c r="J113" s="576"/>
      <c r="K113" s="574"/>
      <c r="L113" s="574"/>
      <c r="M113" s="574"/>
      <c r="N113" s="574"/>
      <c r="O113" s="574"/>
    </row>
    <row r="114" spans="2:16" s="463" customFormat="1" outlineLevel="1">
      <c r="B114" s="508" t="s">
        <v>27</v>
      </c>
      <c r="C114" s="508"/>
      <c r="H114" s="569"/>
      <c r="I114" s="569"/>
      <c r="J114" s="571"/>
      <c r="K114" s="572">
        <f>K271</f>
        <v>3427.2720192499996</v>
      </c>
      <c r="L114" s="572">
        <f>L271</f>
        <v>5140.9080288749992</v>
      </c>
      <c r="M114" s="572">
        <f>M271</f>
        <v>6854.5440384999993</v>
      </c>
      <c r="N114" s="572">
        <f>N271</f>
        <v>8568.1800481249993</v>
      </c>
      <c r="O114" s="572">
        <f>O271</f>
        <v>10281.816057749998</v>
      </c>
      <c r="P114" s="466"/>
    </row>
    <row r="115" spans="2:16" s="463" customFormat="1" outlineLevel="1">
      <c r="B115" s="509" t="s">
        <v>28</v>
      </c>
      <c r="C115" s="509"/>
      <c r="D115" s="573"/>
      <c r="E115" s="573"/>
      <c r="H115" s="569"/>
      <c r="I115" s="569"/>
      <c r="J115" s="574"/>
      <c r="K115" s="575">
        <f>K112-K114</f>
        <v>92526.556105750002</v>
      </c>
      <c r="L115" s="575">
        <f>L112-L114</f>
        <v>108598.302908625</v>
      </c>
      <c r="M115" s="575">
        <f>M112-M114</f>
        <v>124627.74971150002</v>
      </c>
      <c r="N115" s="575">
        <f>N112-N114</f>
        <v>142473.68151437503</v>
      </c>
      <c r="O115" s="575">
        <f>O112-O114</f>
        <v>161659.34371725004</v>
      </c>
    </row>
    <row r="116" spans="2:16" s="463" customFormat="1" outlineLevel="1">
      <c r="B116" s="509"/>
      <c r="C116" s="509"/>
      <c r="D116" s="573"/>
      <c r="E116" s="573"/>
      <c r="H116" s="569"/>
      <c r="I116" s="569"/>
      <c r="J116" s="574"/>
      <c r="K116" s="574"/>
      <c r="L116" s="574"/>
      <c r="M116" s="574"/>
      <c r="N116" s="574"/>
      <c r="O116" s="574"/>
    </row>
    <row r="117" spans="2:16" s="463" customFormat="1" outlineLevel="1">
      <c r="B117" s="508" t="s">
        <v>253</v>
      </c>
      <c r="C117" s="508"/>
      <c r="H117" s="569"/>
      <c r="I117" s="569"/>
      <c r="J117" s="569"/>
      <c r="K117" s="570">
        <f t="shared" ref="K117:K118" si="16">K505</f>
        <v>-75</v>
      </c>
      <c r="L117" s="570">
        <f t="shared" ref="L117:O117" si="17">L505</f>
        <v>-3316.9319823555129</v>
      </c>
      <c r="M117" s="570">
        <f t="shared" si="17"/>
        <v>-7367.2536366913346</v>
      </c>
      <c r="N117" s="570">
        <f t="shared" si="17"/>
        <v>-12271.674486733658</v>
      </c>
      <c r="O117" s="570">
        <f t="shared" si="17"/>
        <v>-18123.4873197739</v>
      </c>
    </row>
    <row r="118" spans="2:16" s="463" customFormat="1" outlineLevel="1">
      <c r="B118" s="508" t="s">
        <v>270</v>
      </c>
      <c r="C118" s="509"/>
      <c r="D118" s="573"/>
      <c r="E118" s="573"/>
      <c r="H118" s="569"/>
      <c r="I118" s="569"/>
      <c r="J118" s="571"/>
      <c r="K118" s="572">
        <f t="shared" si="16"/>
        <v>0</v>
      </c>
      <c r="L118" s="572">
        <f t="shared" ref="L118:O118" si="18">L506</f>
        <v>0</v>
      </c>
      <c r="M118" s="572">
        <f t="shared" si="18"/>
        <v>0</v>
      </c>
      <c r="N118" s="572">
        <f t="shared" si="18"/>
        <v>0</v>
      </c>
      <c r="O118" s="572">
        <f t="shared" si="18"/>
        <v>0</v>
      </c>
    </row>
    <row r="119" spans="2:16" s="463" customFormat="1" outlineLevel="1">
      <c r="B119" s="508" t="s">
        <v>251</v>
      </c>
      <c r="C119" s="508"/>
      <c r="H119" s="569"/>
      <c r="I119" s="569"/>
      <c r="J119" s="579"/>
      <c r="K119" s="570">
        <f>SUM(K117:K118)</f>
        <v>-75</v>
      </c>
      <c r="L119" s="570">
        <f t="shared" ref="L119:O119" si="19">SUM(L117:L118)</f>
        <v>-3316.9319823555129</v>
      </c>
      <c r="M119" s="570">
        <f t="shared" si="19"/>
        <v>-7367.2536366913346</v>
      </c>
      <c r="N119" s="570">
        <f t="shared" si="19"/>
        <v>-12271.674486733658</v>
      </c>
      <c r="O119" s="570">
        <f t="shared" si="19"/>
        <v>-18123.4873197739</v>
      </c>
      <c r="P119" s="466"/>
    </row>
    <row r="120" spans="2:16" s="463" customFormat="1" outlineLevel="1">
      <c r="B120" s="508"/>
      <c r="C120" s="508"/>
      <c r="H120" s="569"/>
      <c r="I120" s="569"/>
      <c r="J120" s="569"/>
      <c r="K120" s="579"/>
      <c r="L120" s="579"/>
      <c r="M120" s="579"/>
      <c r="N120" s="579"/>
      <c r="O120" s="579"/>
      <c r="P120" s="466"/>
    </row>
    <row r="121" spans="2:16" s="463" customFormat="1" outlineLevel="1">
      <c r="B121" s="509" t="s">
        <v>21</v>
      </c>
      <c r="C121" s="509"/>
      <c r="D121" s="573"/>
      <c r="E121" s="573"/>
      <c r="H121" s="574"/>
      <c r="I121" s="569"/>
      <c r="J121" s="574"/>
      <c r="K121" s="575">
        <f>K115-K119</f>
        <v>92601.556105750002</v>
      </c>
      <c r="L121" s="575">
        <f t="shared" ref="L121:O121" si="20">L115-L119</f>
        <v>111915.23489098052</v>
      </c>
      <c r="M121" s="575">
        <f t="shared" si="20"/>
        <v>131995.00334819136</v>
      </c>
      <c r="N121" s="575">
        <f t="shared" si="20"/>
        <v>154745.35600110868</v>
      </c>
      <c r="O121" s="575">
        <f t="shared" si="20"/>
        <v>179782.83103702395</v>
      </c>
      <c r="P121" s="466"/>
    </row>
    <row r="122" spans="2:16" s="463" customFormat="1" outlineLevel="1">
      <c r="B122" s="509"/>
      <c r="C122" s="509"/>
      <c r="D122" s="573"/>
      <c r="E122" s="573"/>
      <c r="H122" s="574"/>
      <c r="I122" s="569"/>
      <c r="J122" s="574"/>
      <c r="K122" s="574"/>
      <c r="L122" s="574"/>
      <c r="M122" s="574"/>
      <c r="N122" s="574"/>
      <c r="O122" s="574"/>
    </row>
    <row r="123" spans="2:16" s="463" customFormat="1" outlineLevel="1">
      <c r="B123" s="508" t="s">
        <v>29</v>
      </c>
      <c r="C123" s="508"/>
      <c r="H123" s="569"/>
      <c r="I123" s="569"/>
      <c r="J123" s="569"/>
      <c r="K123" s="570">
        <f t="shared" ref="K123:K124" si="21">K341</f>
        <v>28037.512233168749</v>
      </c>
      <c r="L123" s="570">
        <f t="shared" ref="L123:O123" si="22">L341</f>
        <v>33420.343226427904</v>
      </c>
      <c r="M123" s="570">
        <f t="shared" si="22"/>
        <v>39696.178257006031</v>
      </c>
      <c r="N123" s="570">
        <f t="shared" si="22"/>
        <v>46851.844439137894</v>
      </c>
      <c r="O123" s="570">
        <f t="shared" si="22"/>
        <v>54748.706461158377</v>
      </c>
      <c r="P123" s="466"/>
    </row>
    <row r="124" spans="2:16" s="463" customFormat="1" outlineLevel="1">
      <c r="B124" s="508" t="s">
        <v>30</v>
      </c>
      <c r="C124" s="508"/>
      <c r="H124" s="569"/>
      <c r="I124" s="569"/>
      <c r="J124" s="571"/>
      <c r="K124" s="572">
        <f t="shared" si="21"/>
        <v>-257.04540144374914</v>
      </c>
      <c r="L124" s="572">
        <f t="shared" ref="L124:O124" si="23">L342</f>
        <v>154.22724086624658</v>
      </c>
      <c r="M124" s="572">
        <f t="shared" si="23"/>
        <v>-97.677252548623073</v>
      </c>
      <c r="N124" s="572">
        <f t="shared" si="23"/>
        <v>-428.23763880529441</v>
      </c>
      <c r="O124" s="572">
        <f t="shared" si="23"/>
        <v>-813.8571500511971</v>
      </c>
    </row>
    <row r="125" spans="2:16" s="463" customFormat="1" outlineLevel="1">
      <c r="B125" s="508" t="s">
        <v>31</v>
      </c>
      <c r="C125" s="508"/>
      <c r="H125" s="569"/>
      <c r="I125" s="569"/>
      <c r="J125" s="580"/>
      <c r="K125" s="581">
        <f>SUM(K123:K124)</f>
        <v>27780.466831725</v>
      </c>
      <c r="L125" s="581">
        <f t="shared" ref="L125:O125" si="24">SUM(L123:L124)</f>
        <v>33574.57046729415</v>
      </c>
      <c r="M125" s="581">
        <f t="shared" si="24"/>
        <v>39598.501004457408</v>
      </c>
      <c r="N125" s="581">
        <f t="shared" si="24"/>
        <v>46423.6068003326</v>
      </c>
      <c r="O125" s="581">
        <f t="shared" si="24"/>
        <v>53934.84931110718</v>
      </c>
    </row>
    <row r="126" spans="2:16" s="463" customFormat="1" outlineLevel="1">
      <c r="B126" s="508"/>
      <c r="C126" s="508"/>
      <c r="H126" s="569"/>
      <c r="I126" s="569"/>
      <c r="J126" s="582"/>
      <c r="K126" s="583"/>
      <c r="L126" s="583"/>
      <c r="M126" s="583"/>
      <c r="N126" s="583"/>
      <c r="O126" s="583"/>
    </row>
    <row r="127" spans="2:16" s="463" customFormat="1" ht="12.6" outlineLevel="1" thickBot="1">
      <c r="B127" s="509" t="s">
        <v>32</v>
      </c>
      <c r="C127" s="509"/>
      <c r="D127" s="573"/>
      <c r="E127" s="573"/>
      <c r="H127" s="569"/>
      <c r="I127" s="569"/>
      <c r="J127" s="584"/>
      <c r="K127" s="585">
        <f>K121-K125</f>
        <v>64821.089274024998</v>
      </c>
      <c r="L127" s="585">
        <f t="shared" ref="L127:O127" si="25">L121-L125</f>
        <v>78340.664423686365</v>
      </c>
      <c r="M127" s="585">
        <f t="shared" si="25"/>
        <v>92396.502343733941</v>
      </c>
      <c r="N127" s="585">
        <f t="shared" si="25"/>
        <v>108321.74920077607</v>
      </c>
      <c r="O127" s="585">
        <f t="shared" si="25"/>
        <v>125847.98172591676</v>
      </c>
    </row>
    <row r="128" spans="2:16" s="463" customFormat="1" outlineLevel="1"/>
    <row r="129" spans="1:15" s="463" customFormat="1">
      <c r="B129" s="573"/>
      <c r="C129" s="573"/>
      <c r="D129" s="573"/>
      <c r="E129" s="573"/>
      <c r="H129" s="586"/>
      <c r="I129" s="586"/>
      <c r="J129" s="586"/>
      <c r="K129" s="586"/>
      <c r="L129" s="586"/>
      <c r="M129" s="586"/>
      <c r="N129" s="586"/>
      <c r="O129" s="586"/>
    </row>
    <row r="130" spans="1:15">
      <c r="A130" s="467" t="s">
        <v>80</v>
      </c>
      <c r="B130" s="472" t="s">
        <v>113</v>
      </c>
      <c r="C130" s="473"/>
      <c r="D130" s="474"/>
      <c r="E130" s="474"/>
      <c r="F130" s="475"/>
      <c r="G130" s="475"/>
      <c r="H130" s="476"/>
      <c r="I130" s="476"/>
      <c r="J130" s="476"/>
      <c r="K130" s="476"/>
      <c r="L130" s="476"/>
      <c r="M130" s="476"/>
      <c r="N130" s="476"/>
      <c r="O130" s="476"/>
    </row>
    <row r="131" spans="1:15" outlineLevel="1">
      <c r="B131" s="587"/>
      <c r="C131" s="588"/>
      <c r="D131" s="589"/>
      <c r="E131" s="481"/>
      <c r="F131" s="481"/>
      <c r="G131" s="481"/>
      <c r="H131" s="481"/>
      <c r="I131" s="481"/>
      <c r="J131" s="481"/>
      <c r="K131" s="482"/>
      <c r="L131" s="482"/>
      <c r="M131" s="482"/>
      <c r="N131" s="482"/>
      <c r="O131" s="482"/>
    </row>
    <row r="132" spans="1:15" ht="12.6" outlineLevel="1" thickBot="1">
      <c r="B132" s="483" t="s">
        <v>344</v>
      </c>
      <c r="C132" s="588"/>
      <c r="D132" s="590"/>
      <c r="E132" s="590"/>
      <c r="F132" s="590"/>
      <c r="G132" s="590"/>
      <c r="H132" s="591"/>
      <c r="I132" s="484"/>
      <c r="J132" s="481"/>
      <c r="K132" s="486">
        <f>$K$5</f>
        <v>2025</v>
      </c>
      <c r="L132" s="486">
        <f>K132+1</f>
        <v>2026</v>
      </c>
      <c r="M132" s="486">
        <f>L132+1</f>
        <v>2027</v>
      </c>
      <c r="N132" s="486">
        <f>M132+1</f>
        <v>2028</v>
      </c>
      <c r="O132" s="486">
        <f>N132+1</f>
        <v>2029</v>
      </c>
    </row>
    <row r="133" spans="1:15" outlineLevel="1">
      <c r="B133" s="483" t="str">
        <f>$B$6</f>
        <v>Model Running: Base Case Drivers</v>
      </c>
      <c r="C133" s="588"/>
      <c r="D133" s="590"/>
      <c r="E133" s="590"/>
      <c r="F133" s="590"/>
      <c r="G133" s="590"/>
      <c r="H133" s="590"/>
      <c r="I133" s="592"/>
      <c r="J133" s="592"/>
      <c r="K133" s="592"/>
      <c r="L133" s="592"/>
      <c r="M133" s="592"/>
      <c r="N133" s="592"/>
      <c r="O133" s="592"/>
    </row>
    <row r="134" spans="1:15" outlineLevel="1">
      <c r="B134" s="483"/>
      <c r="C134" s="588"/>
      <c r="D134" s="590"/>
      <c r="E134" s="590"/>
      <c r="F134" s="590"/>
      <c r="G134" s="590"/>
      <c r="H134" s="590"/>
      <c r="I134" s="592"/>
      <c r="J134" s="592"/>
      <c r="K134" s="592"/>
      <c r="L134" s="592"/>
      <c r="M134" s="592"/>
      <c r="N134" s="592"/>
      <c r="O134" s="592"/>
    </row>
    <row r="135" spans="1:15" outlineLevel="1">
      <c r="B135" s="593" t="s">
        <v>137</v>
      </c>
      <c r="C135" s="594"/>
      <c r="D135" s="595"/>
      <c r="E135" s="596"/>
      <c r="F135" s="596"/>
      <c r="G135" s="597"/>
      <c r="H135" s="597"/>
      <c r="I135" s="597"/>
      <c r="J135" s="598"/>
      <c r="K135" s="598"/>
      <c r="L135" s="598"/>
      <c r="M135" s="598"/>
      <c r="N135" s="598"/>
      <c r="O135" s="598"/>
    </row>
    <row r="136" spans="1:15" outlineLevel="1">
      <c r="C136" s="599" t="s">
        <v>32</v>
      </c>
      <c r="D136" s="599"/>
      <c r="E136" s="600"/>
      <c r="F136" s="600"/>
      <c r="G136" s="601"/>
      <c r="H136" s="601"/>
      <c r="I136" s="601"/>
      <c r="J136" s="601"/>
      <c r="K136" s="602">
        <f>K127</f>
        <v>64821.089274024998</v>
      </c>
      <c r="L136" s="602">
        <f>L127</f>
        <v>78340.664423686365</v>
      </c>
      <c r="M136" s="602">
        <f>M127</f>
        <v>92396.502343733941</v>
      </c>
      <c r="N136" s="602">
        <f>N127</f>
        <v>108321.74920077607</v>
      </c>
      <c r="O136" s="602">
        <f>O127</f>
        <v>125847.98172591676</v>
      </c>
    </row>
    <row r="137" spans="1:15" outlineLevel="1">
      <c r="C137" s="599" t="s">
        <v>115</v>
      </c>
      <c r="D137" s="599"/>
      <c r="E137" s="600"/>
      <c r="F137" s="600"/>
      <c r="G137" s="601"/>
      <c r="H137" s="601"/>
      <c r="I137" s="601"/>
      <c r="J137" s="601"/>
      <c r="K137" s="602">
        <f>+K114</f>
        <v>3427.2720192499996</v>
      </c>
      <c r="L137" s="602">
        <f>+L114</f>
        <v>5140.9080288749992</v>
      </c>
      <c r="M137" s="602">
        <f>+M114</f>
        <v>6854.5440384999993</v>
      </c>
      <c r="N137" s="602">
        <f>+N114</f>
        <v>8568.1800481249993</v>
      </c>
      <c r="O137" s="602">
        <f>+O114</f>
        <v>10281.816057749998</v>
      </c>
    </row>
    <row r="138" spans="1:15" outlineLevel="1">
      <c r="C138" s="599" t="s">
        <v>212</v>
      </c>
      <c r="D138" s="599"/>
      <c r="E138" s="600"/>
      <c r="F138" s="600"/>
      <c r="G138" s="601"/>
      <c r="H138" s="601"/>
      <c r="I138" s="601"/>
      <c r="J138" s="601"/>
      <c r="K138" s="602">
        <f>K118</f>
        <v>0</v>
      </c>
      <c r="L138" s="602">
        <f>L118</f>
        <v>0</v>
      </c>
      <c r="M138" s="602">
        <f>M118</f>
        <v>0</v>
      </c>
      <c r="N138" s="602">
        <f>N118</f>
        <v>0</v>
      </c>
      <c r="O138" s="602">
        <f>O118</f>
        <v>0</v>
      </c>
    </row>
    <row r="139" spans="1:15" outlineLevel="1">
      <c r="C139" s="599" t="s">
        <v>228</v>
      </c>
      <c r="D139" s="599"/>
      <c r="E139" s="600"/>
      <c r="F139" s="600"/>
      <c r="G139" s="601"/>
      <c r="H139" s="601"/>
      <c r="I139" s="601"/>
      <c r="J139" s="601"/>
      <c r="K139" s="602">
        <f>K124</f>
        <v>-257.04540144374914</v>
      </c>
      <c r="L139" s="602">
        <f>L124</f>
        <v>154.22724086624658</v>
      </c>
      <c r="M139" s="602">
        <f>M124</f>
        <v>-97.677252548623073</v>
      </c>
      <c r="N139" s="602">
        <f>N124</f>
        <v>-428.23763880529441</v>
      </c>
      <c r="O139" s="602">
        <f>O124</f>
        <v>-813.8571500511971</v>
      </c>
    </row>
    <row r="140" spans="1:15" outlineLevel="1">
      <c r="C140" s="599" t="s">
        <v>116</v>
      </c>
      <c r="D140" s="599"/>
      <c r="E140" s="601"/>
      <c r="F140" s="601"/>
      <c r="G140" s="601"/>
      <c r="H140" s="603"/>
      <c r="I140" s="601"/>
      <c r="J140" s="601"/>
      <c r="K140" s="604">
        <f>K229</f>
        <v>-8648.5980308219168</v>
      </c>
      <c r="L140" s="604">
        <f t="shared" ref="L140:O140" si="26">L229</f>
        <v>-1425.407748287671</v>
      </c>
      <c r="M140" s="604">
        <f t="shared" si="26"/>
        <v>-1413.9008989726044</v>
      </c>
      <c r="N140" s="604">
        <f t="shared" si="26"/>
        <v>-1496.9145976027412</v>
      </c>
      <c r="O140" s="604">
        <f t="shared" si="26"/>
        <v>-1579.9282962328743</v>
      </c>
    </row>
    <row r="141" spans="1:15" outlineLevel="1">
      <c r="C141" s="599" t="s">
        <v>19</v>
      </c>
      <c r="D141" s="599"/>
      <c r="E141" s="601"/>
      <c r="F141" s="601"/>
      <c r="G141" s="601"/>
      <c r="H141" s="601"/>
      <c r="I141" s="601"/>
      <c r="J141" s="601"/>
      <c r="K141" s="605">
        <f>SUM(K136:K140)</f>
        <v>59342.717861009325</v>
      </c>
      <c r="L141" s="605">
        <f t="shared" ref="L141:O141" si="27">SUM(L136:L140)</f>
        <v>82210.391945139927</v>
      </c>
      <c r="M141" s="605">
        <f t="shared" si="27"/>
        <v>97739.468230712708</v>
      </c>
      <c r="N141" s="605">
        <f t="shared" si="27"/>
        <v>114964.77701249304</v>
      </c>
      <c r="O141" s="605">
        <f t="shared" si="27"/>
        <v>133736.01233738268</v>
      </c>
    </row>
    <row r="142" spans="1:15" outlineLevel="1">
      <c r="B142" s="606"/>
      <c r="C142" s="598"/>
      <c r="D142" s="607"/>
      <c r="E142" s="608"/>
      <c r="F142" s="608"/>
      <c r="G142" s="608"/>
      <c r="H142" s="608"/>
      <c r="I142" s="601"/>
      <c r="J142" s="609"/>
      <c r="K142" s="609"/>
      <c r="L142" s="610"/>
      <c r="M142" s="610"/>
      <c r="N142" s="610"/>
      <c r="O142" s="610"/>
    </row>
    <row r="143" spans="1:15" outlineLevel="1">
      <c r="B143" s="611" t="s">
        <v>138</v>
      </c>
      <c r="C143" s="598"/>
      <c r="D143" s="607"/>
      <c r="E143" s="601"/>
      <c r="F143" s="601"/>
      <c r="G143" s="601"/>
      <c r="H143" s="601"/>
      <c r="I143" s="601"/>
      <c r="J143" s="609"/>
      <c r="K143" s="609"/>
      <c r="L143" s="610"/>
      <c r="M143" s="610"/>
      <c r="N143" s="610"/>
      <c r="O143" s="610"/>
    </row>
    <row r="144" spans="1:15" outlineLevel="1">
      <c r="C144" s="599" t="s">
        <v>118</v>
      </c>
      <c r="D144" s="599"/>
      <c r="E144" s="612"/>
      <c r="F144" s="612"/>
      <c r="G144" s="612"/>
      <c r="H144" s="603"/>
      <c r="I144" s="613"/>
      <c r="J144" s="613"/>
      <c r="K144" s="614">
        <f>-K238</f>
        <v>-17136.360096249999</v>
      </c>
      <c r="L144" s="614">
        <f>-L238</f>
        <v>-8568.1800481249993</v>
      </c>
      <c r="M144" s="614">
        <f>-M238</f>
        <v>-8568.1800481249993</v>
      </c>
      <c r="N144" s="614">
        <f>-N238</f>
        <v>-8568.1800481249993</v>
      </c>
      <c r="O144" s="614">
        <f>-O238</f>
        <v>-8568.1800481249993</v>
      </c>
    </row>
    <row r="145" spans="2:15" outlineLevel="1">
      <c r="C145" s="599" t="s">
        <v>19</v>
      </c>
      <c r="D145" s="599"/>
      <c r="E145" s="601"/>
      <c r="F145" s="601"/>
      <c r="G145" s="601"/>
      <c r="H145" s="601"/>
      <c r="I145" s="601"/>
      <c r="J145" s="601"/>
      <c r="K145" s="602">
        <f>SUM(K144)</f>
        <v>-17136.360096249999</v>
      </c>
      <c r="L145" s="602">
        <f>SUM(L144)</f>
        <v>-8568.1800481249993</v>
      </c>
      <c r="M145" s="602">
        <f>SUM(M144)</f>
        <v>-8568.1800481249993</v>
      </c>
      <c r="N145" s="602">
        <f>SUM(N144)</f>
        <v>-8568.1800481249993</v>
      </c>
      <c r="O145" s="602">
        <f>SUM(O144)</f>
        <v>-8568.1800481249993</v>
      </c>
    </row>
    <row r="146" spans="2:15" outlineLevel="1">
      <c r="B146" s="606"/>
      <c r="C146" s="598"/>
      <c r="D146" s="607"/>
      <c r="E146" s="615"/>
      <c r="F146" s="615"/>
      <c r="G146" s="615"/>
      <c r="H146" s="615"/>
      <c r="I146" s="616"/>
      <c r="J146" s="617"/>
      <c r="K146" s="617"/>
      <c r="L146" s="618"/>
      <c r="M146" s="618"/>
      <c r="N146" s="618"/>
      <c r="O146" s="618"/>
    </row>
    <row r="147" spans="2:15" outlineLevel="1">
      <c r="B147" s="611" t="s">
        <v>139</v>
      </c>
      <c r="C147" s="598"/>
      <c r="D147" s="607"/>
      <c r="E147" s="616"/>
      <c r="F147" s="616"/>
      <c r="G147" s="616"/>
      <c r="H147" s="616"/>
      <c r="I147" s="616"/>
      <c r="J147" s="617"/>
      <c r="K147" s="617"/>
      <c r="L147" s="618"/>
      <c r="M147" s="618"/>
      <c r="N147" s="618"/>
      <c r="O147" s="618"/>
    </row>
    <row r="148" spans="2:15" outlineLevel="1">
      <c r="C148" s="599" t="s">
        <v>325</v>
      </c>
      <c r="D148" s="599"/>
      <c r="E148" s="612"/>
      <c r="F148" s="612"/>
      <c r="G148" s="612">
        <v>0</v>
      </c>
      <c r="H148" s="612"/>
      <c r="I148" s="601"/>
      <c r="J148" s="601"/>
      <c r="K148" s="602">
        <f>K372</f>
        <v>0</v>
      </c>
      <c r="L148" s="602">
        <f>L372</f>
        <v>0</v>
      </c>
      <c r="M148" s="602">
        <f>M372</f>
        <v>0</v>
      </c>
      <c r="N148" s="602">
        <f>N372</f>
        <v>0</v>
      </c>
      <c r="O148" s="602">
        <f>O372</f>
        <v>0</v>
      </c>
    </row>
    <row r="149" spans="2:15" outlineLevel="1">
      <c r="C149" s="599" t="s">
        <v>287</v>
      </c>
      <c r="D149" s="599"/>
      <c r="E149" s="612"/>
      <c r="F149" s="612"/>
      <c r="G149" s="612"/>
      <c r="H149" s="612"/>
      <c r="I149" s="601"/>
      <c r="J149" s="601"/>
      <c r="K149" s="602">
        <f>IF(J412=$J$412,SUM($J$412,K410:K411),SUM(K410:K411))</f>
        <v>0</v>
      </c>
      <c r="L149" s="602">
        <f>IF(K412=$J$412,SUM($J$412,L410:L411),SUM(L410:L411))</f>
        <v>0</v>
      </c>
      <c r="M149" s="602">
        <f>IF(L412=$J$412,SUM($J$412,M410:M411),SUM(M410:M411))</f>
        <v>0</v>
      </c>
      <c r="N149" s="602">
        <f>IF(M412=$J$412,SUM($J$412,N410:N411),SUM(N410:N411))</f>
        <v>0</v>
      </c>
      <c r="O149" s="602">
        <f>IF(N412=$J$412,SUM($J$412,O410:O411),SUM(O410:O411))</f>
        <v>0</v>
      </c>
    </row>
    <row r="150" spans="2:15" outlineLevel="1">
      <c r="C150" s="599" t="s">
        <v>288</v>
      </c>
      <c r="D150" s="599"/>
      <c r="E150" s="612"/>
      <c r="F150" s="612"/>
      <c r="G150" s="612"/>
      <c r="H150" s="612"/>
      <c r="I150" s="601"/>
      <c r="J150" s="601"/>
      <c r="K150" s="602">
        <f>IF(J428=$J$428,SUM($J$428,K426:K427),SUM(K426:K427))</f>
        <v>0</v>
      </c>
      <c r="L150" s="602">
        <f>IF(K428=$J$428,SUM($J$428,L426:L427),SUM(L426:L427))</f>
        <v>0</v>
      </c>
      <c r="M150" s="602">
        <f>IF(L428=$J$428,SUM($J$428,M426:M427),SUM(M426:M427))</f>
        <v>0</v>
      </c>
      <c r="N150" s="602">
        <f>IF(M428=$J$428,SUM($J$428,N426:N427),SUM(N426:N427))</f>
        <v>0</v>
      </c>
      <c r="O150" s="602">
        <f>IF(N428=$J$428,SUM($J$428,O426:O427),SUM(O426:O427))</f>
        <v>0</v>
      </c>
    </row>
    <row r="151" spans="2:15" outlineLevel="1">
      <c r="C151" s="599" t="s">
        <v>289</v>
      </c>
      <c r="D151" s="599"/>
      <c r="E151" s="612"/>
      <c r="F151" s="612"/>
      <c r="G151" s="612"/>
      <c r="H151" s="612"/>
      <c r="I151" s="601"/>
      <c r="J151" s="601"/>
      <c r="K151" s="602">
        <f>IF(J447=$J$447,SUM($J$447,K445:K446),SUM(K445:K446))</f>
        <v>0</v>
      </c>
      <c r="L151" s="602">
        <f>IF(K447=$J$447,SUM($J$447,L445:L446),SUM(L445:L446))</f>
        <v>0</v>
      </c>
      <c r="M151" s="602">
        <f>IF(L447=$J$447,SUM($J$447,M445:M446),SUM(M445:M446))</f>
        <v>0</v>
      </c>
      <c r="N151" s="602">
        <f>IF(M447=$J$447,SUM($J$447,N445:N446),SUM(N445:N446))</f>
        <v>0</v>
      </c>
      <c r="O151" s="602">
        <f>IF(N447=$J$447,SUM($J$447,O445:O446),SUM(O445:O446))</f>
        <v>0</v>
      </c>
    </row>
    <row r="152" spans="2:15" outlineLevel="1">
      <c r="C152" s="599" t="s">
        <v>119</v>
      </c>
      <c r="D152" s="599"/>
      <c r="E152" s="601"/>
      <c r="F152" s="601"/>
      <c r="G152" s="601"/>
      <c r="H152" s="601"/>
      <c r="I152" s="601"/>
      <c r="J152" s="601"/>
      <c r="K152" s="602">
        <f>SUM(K519:K520)</f>
        <v>16737.860096249999</v>
      </c>
      <c r="L152" s="602">
        <f>SUM(L519:L520)</f>
        <v>0</v>
      </c>
      <c r="M152" s="602">
        <f>SUM(M519:M520)</f>
        <v>0</v>
      </c>
      <c r="N152" s="602">
        <f>SUM(N519:N520)</f>
        <v>0</v>
      </c>
      <c r="O152" s="602">
        <f>SUM(O519:O520)</f>
        <v>0</v>
      </c>
    </row>
    <row r="153" spans="2:15" outlineLevel="1">
      <c r="C153" s="599" t="s">
        <v>120</v>
      </c>
      <c r="D153" s="599"/>
      <c r="E153" s="601"/>
      <c r="F153" s="601"/>
      <c r="G153" s="601"/>
      <c r="H153" s="601"/>
      <c r="I153" s="601"/>
      <c r="J153" s="601"/>
      <c r="K153" s="602">
        <f>K527</f>
        <v>0</v>
      </c>
      <c r="L153" s="602">
        <f>L527</f>
        <v>0</v>
      </c>
      <c r="M153" s="602">
        <f>M527</f>
        <v>0</v>
      </c>
      <c r="N153" s="602">
        <f>N527</f>
        <v>0</v>
      </c>
      <c r="O153" s="602">
        <f>O527</f>
        <v>0</v>
      </c>
    </row>
    <row r="154" spans="2:15" outlineLevel="1">
      <c r="C154" s="599" t="s">
        <v>19</v>
      </c>
      <c r="D154" s="599"/>
      <c r="E154" s="601"/>
      <c r="F154" s="601"/>
      <c r="G154" s="601"/>
      <c r="H154" s="601"/>
      <c r="I154" s="601"/>
      <c r="J154" s="601"/>
      <c r="K154" s="605">
        <f>SUM(K148:K153)</f>
        <v>16737.860096249999</v>
      </c>
      <c r="L154" s="605">
        <f>SUM(L148:L153)</f>
        <v>0</v>
      </c>
      <c r="M154" s="605">
        <f>SUM(M148:M153)</f>
        <v>0</v>
      </c>
      <c r="N154" s="605">
        <f>SUM(N148:N153)</f>
        <v>0</v>
      </c>
      <c r="O154" s="605">
        <f>SUM(O148:O153)</f>
        <v>0</v>
      </c>
    </row>
    <row r="155" spans="2:15" outlineLevel="1">
      <c r="C155" s="599"/>
      <c r="D155" s="599"/>
      <c r="E155" s="601"/>
      <c r="F155" s="601"/>
      <c r="G155" s="601"/>
      <c r="H155" s="601"/>
      <c r="I155" s="601"/>
      <c r="J155" s="601"/>
      <c r="K155" s="601"/>
      <c r="L155" s="601"/>
      <c r="M155" s="601"/>
      <c r="N155" s="601"/>
      <c r="O155" s="601"/>
    </row>
    <row r="156" spans="2:15" outlineLevel="1">
      <c r="B156" s="606" t="s">
        <v>140</v>
      </c>
      <c r="C156" s="598"/>
      <c r="D156" s="607"/>
      <c r="E156" s="608"/>
      <c r="F156" s="608"/>
      <c r="G156" s="608"/>
      <c r="H156" s="608"/>
      <c r="I156" s="601"/>
      <c r="J156" s="609"/>
      <c r="K156" s="601"/>
      <c r="L156" s="610"/>
      <c r="M156" s="610"/>
      <c r="N156" s="610"/>
      <c r="O156" s="610"/>
    </row>
    <row r="157" spans="2:15" outlineLevel="1">
      <c r="C157" s="599" t="s">
        <v>7</v>
      </c>
      <c r="D157" s="599"/>
      <c r="E157" s="612"/>
      <c r="F157" s="601"/>
      <c r="G157" s="601"/>
      <c r="H157" s="601"/>
      <c r="I157" s="601"/>
      <c r="J157" s="612"/>
      <c r="K157" s="619">
        <f>Transaction!I29</f>
        <v>1500</v>
      </c>
      <c r="L157" s="620">
        <f>K159</f>
        <v>60444.217861009325</v>
      </c>
      <c r="M157" s="620">
        <f>L159</f>
        <v>134086.42975802426</v>
      </c>
      <c r="N157" s="620">
        <f>M159</f>
        <v>223257.71794061197</v>
      </c>
      <c r="O157" s="620">
        <f>N159</f>
        <v>329654.31490498001</v>
      </c>
    </row>
    <row r="158" spans="2:15" outlineLevel="1">
      <c r="C158" s="599" t="s">
        <v>121</v>
      </c>
      <c r="D158" s="599"/>
      <c r="E158" s="601"/>
      <c r="F158" s="601"/>
      <c r="G158" s="601"/>
      <c r="H158" s="601"/>
      <c r="I158" s="601"/>
      <c r="J158" s="601"/>
      <c r="K158" s="602">
        <f>K141+K145+K154</f>
        <v>58944.217861009325</v>
      </c>
      <c r="L158" s="602">
        <f>L141+L145+L154</f>
        <v>73642.211897014931</v>
      </c>
      <c r="M158" s="602">
        <f>M141+M145+M154</f>
        <v>89171.288182587712</v>
      </c>
      <c r="N158" s="602">
        <f>N141+N145+N154</f>
        <v>106396.59696436804</v>
      </c>
      <c r="O158" s="602">
        <f>O141+O145+O154</f>
        <v>125167.83228925768</v>
      </c>
    </row>
    <row r="159" spans="2:15" ht="12.6" outlineLevel="1" thickBot="1">
      <c r="C159" s="509" t="s">
        <v>8</v>
      </c>
      <c r="D159" s="509"/>
      <c r="E159" s="608"/>
      <c r="F159" s="608"/>
      <c r="G159" s="608"/>
      <c r="H159" s="608"/>
      <c r="I159" s="608"/>
      <c r="J159" s="601"/>
      <c r="K159" s="621">
        <f>SUM(K157:K158)</f>
        <v>60444.217861009325</v>
      </c>
      <c r="L159" s="621">
        <f>SUM(L157:L158)</f>
        <v>134086.42975802426</v>
      </c>
      <c r="M159" s="621">
        <f>SUM(M157:M158)</f>
        <v>223257.71794061197</v>
      </c>
      <c r="N159" s="621">
        <f>SUM(N157:N158)</f>
        <v>329654.31490498001</v>
      </c>
      <c r="O159" s="621">
        <f>SUM(O157:O158)</f>
        <v>454822.14719423768</v>
      </c>
    </row>
    <row r="160" spans="2:15" outlineLevel="1">
      <c r="C160" s="509"/>
      <c r="D160" s="509"/>
      <c r="E160" s="608"/>
      <c r="F160" s="608"/>
      <c r="G160" s="608"/>
      <c r="H160" s="608"/>
      <c r="I160" s="608"/>
      <c r="J160" s="601"/>
      <c r="K160" s="608"/>
      <c r="L160" s="608"/>
      <c r="M160" s="608"/>
      <c r="N160" s="608"/>
      <c r="O160" s="608"/>
    </row>
    <row r="161" spans="1:15" outlineLevel="1">
      <c r="B161" s="622"/>
      <c r="C161" s="622"/>
      <c r="D161" s="622"/>
      <c r="E161" s="622"/>
      <c r="F161" s="622"/>
      <c r="G161" s="622"/>
      <c r="H161" s="622"/>
      <c r="I161" s="622"/>
      <c r="J161" s="622"/>
      <c r="K161" s="623"/>
      <c r="L161" s="622"/>
      <c r="M161" s="622"/>
      <c r="N161" s="622"/>
      <c r="O161" s="622"/>
    </row>
    <row r="162" spans="1:15">
      <c r="B162" s="624"/>
      <c r="C162" s="624"/>
      <c r="D162" s="624"/>
      <c r="E162" s="624"/>
      <c r="F162" s="624"/>
      <c r="G162" s="624"/>
      <c r="H162" s="624"/>
      <c r="I162" s="624"/>
      <c r="J162" s="624"/>
      <c r="K162" s="625"/>
      <c r="L162" s="624"/>
      <c r="M162" s="624"/>
      <c r="N162" s="624"/>
      <c r="O162" s="624"/>
    </row>
    <row r="163" spans="1:15" ht="15" customHeight="1">
      <c r="A163" s="467" t="s">
        <v>80</v>
      </c>
      <c r="B163" s="626" t="s">
        <v>413</v>
      </c>
      <c r="C163" s="627"/>
      <c r="D163" s="628"/>
      <c r="E163" s="628"/>
      <c r="F163" s="629"/>
      <c r="G163" s="629"/>
      <c r="H163" s="630"/>
      <c r="I163" s="630"/>
      <c r="J163" s="630"/>
      <c r="K163" s="630"/>
      <c r="L163" s="630"/>
      <c r="M163" s="630"/>
      <c r="N163" s="630"/>
      <c r="O163" s="630"/>
    </row>
    <row r="164" spans="1:15" ht="15" customHeight="1" outlineLevel="1">
      <c r="B164" s="477"/>
      <c r="C164" s="478"/>
      <c r="D164" s="479"/>
      <c r="E164" s="479"/>
      <c r="F164" s="480"/>
      <c r="G164" s="480"/>
      <c r="H164" s="631"/>
      <c r="I164" s="631"/>
      <c r="J164" s="631"/>
      <c r="K164" s="482"/>
      <c r="L164" s="482"/>
      <c r="M164" s="482"/>
      <c r="N164" s="482"/>
      <c r="O164" s="482"/>
    </row>
    <row r="165" spans="1:15" ht="15" customHeight="1" outlineLevel="1" thickBot="1">
      <c r="B165" s="483" t="s">
        <v>344</v>
      </c>
      <c r="C165" s="478"/>
      <c r="D165" s="484"/>
      <c r="E165" s="484"/>
      <c r="H165" s="631"/>
      <c r="I165" s="631"/>
      <c r="J165" s="631"/>
      <c r="K165" s="486">
        <f>K132</f>
        <v>2025</v>
      </c>
      <c r="L165" s="486">
        <f>L132</f>
        <v>2026</v>
      </c>
      <c r="M165" s="486">
        <f>M132</f>
        <v>2027</v>
      </c>
      <c r="N165" s="486">
        <f>N132</f>
        <v>2028</v>
      </c>
      <c r="O165" s="486">
        <f>O132</f>
        <v>2029</v>
      </c>
    </row>
    <row r="166" spans="1:15" ht="15" customHeight="1" outlineLevel="1">
      <c r="B166" s="483" t="str">
        <f>B$6</f>
        <v>Model Running: Base Case Drivers</v>
      </c>
      <c r="C166" s="478"/>
      <c r="D166" s="484"/>
      <c r="E166" s="484"/>
      <c r="H166" s="631"/>
      <c r="I166" s="631"/>
      <c r="J166" s="631"/>
      <c r="K166" s="487"/>
      <c r="L166" s="487"/>
      <c r="M166" s="487"/>
      <c r="N166" s="487"/>
      <c r="O166" s="487"/>
    </row>
    <row r="167" spans="1:15" ht="15" customHeight="1" outlineLevel="1">
      <c r="B167" s="483"/>
      <c r="C167" s="478"/>
      <c r="D167" s="484"/>
      <c r="E167" s="484"/>
      <c r="H167" s="631"/>
      <c r="I167" s="631"/>
      <c r="J167" s="631"/>
      <c r="K167" s="487"/>
      <c r="L167" s="487"/>
      <c r="M167" s="487"/>
      <c r="N167" s="487"/>
      <c r="O167" s="487"/>
    </row>
    <row r="168" spans="1:15" ht="15" customHeight="1" outlineLevel="1">
      <c r="B168" s="573" t="s">
        <v>414</v>
      </c>
      <c r="C168" s="573"/>
      <c r="H168" s="631"/>
      <c r="I168" s="631"/>
      <c r="J168" s="631"/>
      <c r="K168" s="632"/>
      <c r="L168" s="632"/>
      <c r="M168" s="632"/>
      <c r="N168" s="632"/>
      <c r="O168" s="632"/>
    </row>
    <row r="169" spans="1:15" ht="15" customHeight="1" outlineLevel="1">
      <c r="B169" s="573"/>
      <c r="C169" s="573"/>
      <c r="H169" s="631"/>
      <c r="I169" s="631"/>
      <c r="J169" s="631"/>
      <c r="K169" s="632"/>
      <c r="L169" s="632"/>
      <c r="M169" s="632"/>
      <c r="N169" s="632"/>
      <c r="O169" s="632"/>
    </row>
    <row r="170" spans="1:15" ht="15" customHeight="1" outlineLevel="1">
      <c r="B170" s="599" t="s">
        <v>415</v>
      </c>
      <c r="C170" s="599"/>
      <c r="H170" s="631"/>
      <c r="I170" s="631"/>
      <c r="J170" s="631"/>
      <c r="K170" s="602">
        <f>K159</f>
        <v>60444.217861009325</v>
      </c>
      <c r="L170" s="602">
        <f>L159</f>
        <v>134086.42975802426</v>
      </c>
      <c r="M170" s="602">
        <f>M159</f>
        <v>223257.71794061197</v>
      </c>
      <c r="N170" s="602">
        <f>N159</f>
        <v>329654.31490498001</v>
      </c>
      <c r="O170" s="602">
        <f>O159</f>
        <v>454822.14719423768</v>
      </c>
    </row>
    <row r="171" spans="1:15" ht="15" customHeight="1" outlineLevel="1">
      <c r="B171" s="599" t="s">
        <v>2</v>
      </c>
      <c r="C171" s="599"/>
      <c r="H171" s="631"/>
      <c r="I171" s="631"/>
      <c r="J171" s="631"/>
      <c r="K171" s="602">
        <f t="shared" ref="K171:O172" si="28">K218</f>
        <v>9452.0547945205471</v>
      </c>
      <c r="L171" s="602">
        <f t="shared" si="28"/>
        <v>10957.808219178081</v>
      </c>
      <c r="M171" s="602">
        <f t="shared" si="28"/>
        <v>12452.054794520547</v>
      </c>
      <c r="N171" s="602">
        <f t="shared" si="28"/>
        <v>14029.315068493152</v>
      </c>
      <c r="O171" s="602">
        <f t="shared" si="28"/>
        <v>15689.589041095891</v>
      </c>
    </row>
    <row r="172" spans="1:15" ht="15" customHeight="1" outlineLevel="1">
      <c r="B172" s="599" t="s">
        <v>416</v>
      </c>
      <c r="C172" s="599"/>
      <c r="H172" s="631"/>
      <c r="I172" s="631"/>
      <c r="J172" s="631"/>
      <c r="K172" s="602">
        <f t="shared" si="28"/>
        <v>2008.6419092465753</v>
      </c>
      <c r="L172" s="602">
        <f t="shared" si="28"/>
        <v>2209.5061001712329</v>
      </c>
      <c r="M172" s="602">
        <f t="shared" si="28"/>
        <v>2410.3702910958905</v>
      </c>
      <c r="N172" s="602">
        <f t="shared" si="28"/>
        <v>2611.2344820205476</v>
      </c>
      <c r="O172" s="602">
        <f t="shared" si="28"/>
        <v>2812.0986729452052</v>
      </c>
    </row>
    <row r="173" spans="1:15" ht="15" customHeight="1" outlineLevel="1">
      <c r="B173" s="599" t="s">
        <v>417</v>
      </c>
      <c r="C173" s="599"/>
      <c r="H173" s="631"/>
      <c r="I173" s="631"/>
      <c r="J173" s="631"/>
      <c r="K173" s="605">
        <f>SUM(K170:K172)</f>
        <v>71904.914564776453</v>
      </c>
      <c r="L173" s="605">
        <f>SUM(L170:L172)</f>
        <v>147253.74407737359</v>
      </c>
      <c r="M173" s="605">
        <f>SUM(M170:M172)</f>
        <v>238120.14302622841</v>
      </c>
      <c r="N173" s="605">
        <f>SUM(N170:N172)</f>
        <v>346294.86445549369</v>
      </c>
      <c r="O173" s="605">
        <f>SUM(O170:O172)</f>
        <v>473323.83490827878</v>
      </c>
    </row>
    <row r="174" spans="1:15" ht="15" customHeight="1" outlineLevel="1">
      <c r="B174" s="633"/>
      <c r="C174" s="633"/>
      <c r="H174" s="631"/>
      <c r="I174" s="631"/>
      <c r="J174" s="631"/>
      <c r="K174" s="634"/>
      <c r="L174" s="634"/>
      <c r="M174" s="634"/>
      <c r="N174" s="634"/>
      <c r="O174" s="634"/>
    </row>
    <row r="175" spans="1:15" ht="15" customHeight="1" outlineLevel="1">
      <c r="B175" s="599" t="s">
        <v>418</v>
      </c>
      <c r="C175" s="599"/>
      <c r="H175" s="631"/>
      <c r="I175" s="631"/>
      <c r="J175" s="631"/>
      <c r="K175" s="602">
        <f>K294</f>
        <v>13709.088076999999</v>
      </c>
      <c r="L175" s="602">
        <f>L294</f>
        <v>17136.360096249999</v>
      </c>
      <c r="M175" s="602">
        <f>M294</f>
        <v>18849.996105874998</v>
      </c>
      <c r="N175" s="602">
        <f>N294</f>
        <v>18849.996105874998</v>
      </c>
      <c r="O175" s="602">
        <f>O294</f>
        <v>17136.360096249999</v>
      </c>
    </row>
    <row r="176" spans="1:15" ht="15" customHeight="1" outlineLevel="1">
      <c r="B176" s="599"/>
      <c r="C176" s="599"/>
      <c r="D176" s="635"/>
      <c r="H176" s="631"/>
      <c r="I176" s="631"/>
      <c r="J176" s="631"/>
      <c r="K176" s="634"/>
      <c r="L176" s="634"/>
      <c r="M176" s="634"/>
      <c r="N176" s="634"/>
      <c r="O176" s="634"/>
    </row>
    <row r="177" spans="2:15" ht="15" customHeight="1" outlineLevel="1">
      <c r="B177" s="599"/>
      <c r="C177" s="599"/>
      <c r="D177" s="635"/>
      <c r="H177" s="631"/>
      <c r="I177" s="631"/>
      <c r="J177" s="631"/>
      <c r="K177" s="634"/>
      <c r="L177" s="634"/>
      <c r="M177" s="634"/>
      <c r="N177" s="634"/>
      <c r="O177" s="634"/>
    </row>
    <row r="178" spans="2:15" ht="15" customHeight="1" outlineLevel="1" thickBot="1">
      <c r="B178" s="599" t="s">
        <v>419</v>
      </c>
      <c r="C178" s="633"/>
      <c r="H178" s="631"/>
      <c r="I178" s="631"/>
      <c r="J178" s="631"/>
      <c r="K178" s="621">
        <f>SUM(K173:K175)</f>
        <v>85614.002641776446</v>
      </c>
      <c r="L178" s="621">
        <f>SUM(L173:L175)</f>
        <v>164390.10417362358</v>
      </c>
      <c r="M178" s="621">
        <f>SUM(M173:M175)</f>
        <v>256970.13913210342</v>
      </c>
      <c r="N178" s="621">
        <f>SUM(N173:N175)</f>
        <v>365144.8605613687</v>
      </c>
      <c r="O178" s="621">
        <f>SUM(O173:O175)</f>
        <v>490460.1950045288</v>
      </c>
    </row>
    <row r="179" spans="2:15" ht="15" customHeight="1" outlineLevel="1">
      <c r="B179" s="463"/>
      <c r="C179" s="463"/>
      <c r="H179" s="631"/>
      <c r="I179" s="631"/>
      <c r="J179" s="631"/>
      <c r="K179" s="634"/>
      <c r="L179" s="636">
        <f>L178/K178-1</f>
        <v>0.92013104283255798</v>
      </c>
      <c r="M179" s="636">
        <f>M178/L178-1</f>
        <v>0.56317279816733845</v>
      </c>
      <c r="N179" s="636">
        <f>N178/M178-1</f>
        <v>0.42096222461729194</v>
      </c>
      <c r="O179" s="636">
        <f>O178/N178-1</f>
        <v>0.34319347737909278</v>
      </c>
    </row>
    <row r="180" spans="2:15" ht="15" customHeight="1" outlineLevel="1">
      <c r="B180" s="573" t="s">
        <v>420</v>
      </c>
      <c r="C180" s="573"/>
      <c r="H180" s="631"/>
      <c r="I180" s="631"/>
      <c r="J180" s="631"/>
      <c r="K180" s="634"/>
      <c r="L180" s="634"/>
      <c r="M180" s="634"/>
      <c r="N180" s="634"/>
      <c r="O180" s="634"/>
    </row>
    <row r="181" spans="2:15" ht="15" customHeight="1" outlineLevel="1">
      <c r="B181" s="573"/>
      <c r="C181" s="573"/>
      <c r="H181" s="631"/>
      <c r="I181" s="631"/>
      <c r="J181" s="631"/>
      <c r="K181" s="634"/>
      <c r="L181" s="634"/>
      <c r="M181" s="634"/>
      <c r="N181" s="634"/>
      <c r="O181" s="634"/>
    </row>
    <row r="182" spans="2:15" ht="15" customHeight="1" outlineLevel="1">
      <c r="B182" s="599" t="s">
        <v>5</v>
      </c>
      <c r="C182" s="599"/>
      <c r="H182" s="631"/>
      <c r="I182" s="631"/>
      <c r="J182" s="631"/>
      <c r="K182" s="602">
        <f>K220</f>
        <v>2812.0986729452052</v>
      </c>
      <c r="L182" s="602">
        <f>L220</f>
        <v>3093.308540239726</v>
      </c>
      <c r="M182" s="602">
        <f>M220</f>
        <v>3374.5184075342463</v>
      </c>
      <c r="N182" s="602">
        <f>N220</f>
        <v>3655.7282748287671</v>
      </c>
      <c r="O182" s="602">
        <f>O220</f>
        <v>3936.9381421232874</v>
      </c>
    </row>
    <row r="183" spans="2:15" ht="15" customHeight="1" outlineLevel="1">
      <c r="B183" s="599" t="s">
        <v>321</v>
      </c>
      <c r="C183" s="599"/>
      <c r="D183" s="494"/>
      <c r="H183" s="631"/>
      <c r="I183" s="631"/>
      <c r="J183" s="631"/>
      <c r="K183" s="602">
        <f>K478</f>
        <v>0</v>
      </c>
      <c r="L183" s="602">
        <f>L478</f>
        <v>0</v>
      </c>
      <c r="M183" s="602">
        <f>M478</f>
        <v>0</v>
      </c>
      <c r="N183" s="602">
        <f>N478</f>
        <v>0</v>
      </c>
      <c r="O183" s="602">
        <f>O478</f>
        <v>0</v>
      </c>
    </row>
    <row r="184" spans="2:15" ht="15" customHeight="1" outlineLevel="1">
      <c r="B184" s="599" t="s">
        <v>421</v>
      </c>
      <c r="C184" s="599"/>
      <c r="H184" s="631"/>
      <c r="I184" s="631"/>
      <c r="J184" s="631"/>
      <c r="K184" s="605">
        <f>SUM(K182:K183)</f>
        <v>2812.0986729452052</v>
      </c>
      <c r="L184" s="605">
        <f>SUM(L182:L183)</f>
        <v>3093.308540239726</v>
      </c>
      <c r="M184" s="605">
        <f>SUM(M182:M183)</f>
        <v>3374.5184075342463</v>
      </c>
      <c r="N184" s="605">
        <f>SUM(N182:N183)</f>
        <v>3655.7282748287671</v>
      </c>
      <c r="O184" s="605">
        <f>SUM(O182:O183)</f>
        <v>3936.9381421232874</v>
      </c>
    </row>
    <row r="185" spans="2:15" ht="15" customHeight="1" outlineLevel="1">
      <c r="B185" s="633"/>
      <c r="C185" s="633"/>
      <c r="H185" s="631"/>
      <c r="I185" s="631"/>
      <c r="J185" s="631"/>
      <c r="K185" s="634"/>
      <c r="L185" s="634"/>
      <c r="M185" s="634"/>
      <c r="N185" s="634"/>
      <c r="O185" s="634"/>
    </row>
    <row r="186" spans="2:15" ht="15" customHeight="1" outlineLevel="1">
      <c r="B186" s="599" t="s">
        <v>36</v>
      </c>
      <c r="C186" s="599"/>
      <c r="H186" s="631"/>
      <c r="I186" s="631"/>
      <c r="J186" s="631"/>
      <c r="K186" s="602">
        <f>J186+K139</f>
        <v>-257.04540144374914</v>
      </c>
      <c r="L186" s="602">
        <f>K186+L139</f>
        <v>-102.81816057750257</v>
      </c>
      <c r="M186" s="602">
        <f>L186+M139</f>
        <v>-200.49541312612564</v>
      </c>
      <c r="N186" s="602">
        <f>M186+N139</f>
        <v>-628.73305193142005</v>
      </c>
      <c r="O186" s="602">
        <f>N186+O139</f>
        <v>-1442.5902019826171</v>
      </c>
    </row>
    <row r="187" spans="2:15" ht="15" customHeight="1" outlineLevel="1">
      <c r="B187" s="599" t="s">
        <v>422</v>
      </c>
      <c r="C187" s="599"/>
      <c r="H187" s="631"/>
      <c r="I187" s="631"/>
      <c r="J187" s="631"/>
      <c r="K187" s="602">
        <f>K487+K488+K489</f>
        <v>0</v>
      </c>
      <c r="L187" s="602">
        <f>L487+L488+L489</f>
        <v>0</v>
      </c>
      <c r="M187" s="602">
        <f>M487+M488+M489</f>
        <v>0</v>
      </c>
      <c r="N187" s="602">
        <f>N487+N488+N489</f>
        <v>0</v>
      </c>
      <c r="O187" s="602">
        <f>O487+O488+O489</f>
        <v>0</v>
      </c>
    </row>
    <row r="188" spans="2:15" ht="15" customHeight="1" outlineLevel="1">
      <c r="B188" s="599" t="s">
        <v>423</v>
      </c>
      <c r="C188" s="599"/>
      <c r="H188" s="631"/>
      <c r="I188" s="631"/>
      <c r="J188" s="631"/>
      <c r="K188" s="605">
        <f>SUM(K184:K187)</f>
        <v>2555.053271501456</v>
      </c>
      <c r="L188" s="605">
        <f>SUM(L184:L187)</f>
        <v>2990.4903796622234</v>
      </c>
      <c r="M188" s="605">
        <f>SUM(M184:M187)</f>
        <v>3174.0229944081207</v>
      </c>
      <c r="N188" s="605">
        <f>SUM(N184:N187)</f>
        <v>3026.995222897347</v>
      </c>
      <c r="O188" s="605">
        <f>SUM(O184:O187)</f>
        <v>2494.3479401406703</v>
      </c>
    </row>
    <row r="189" spans="2:15" ht="15" customHeight="1" outlineLevel="1">
      <c r="B189" s="633"/>
      <c r="C189" s="633"/>
      <c r="H189" s="631"/>
      <c r="I189" s="631"/>
      <c r="J189" s="631"/>
      <c r="K189" s="634"/>
      <c r="L189" s="634"/>
      <c r="M189" s="634"/>
      <c r="N189" s="634"/>
      <c r="O189" s="634"/>
    </row>
    <row r="190" spans="2:15" ht="15" customHeight="1" outlineLevel="1">
      <c r="B190" s="573" t="s">
        <v>424</v>
      </c>
      <c r="C190" s="573"/>
      <c r="H190" s="631"/>
      <c r="I190" s="631"/>
      <c r="J190" s="631"/>
      <c r="K190" s="634"/>
      <c r="L190" s="634"/>
      <c r="M190" s="634"/>
      <c r="N190" s="634"/>
      <c r="O190" s="634"/>
    </row>
    <row r="191" spans="2:15" ht="15" customHeight="1" outlineLevel="1">
      <c r="B191" s="573"/>
      <c r="C191" s="573"/>
      <c r="H191" s="631"/>
      <c r="I191" s="631"/>
      <c r="J191" s="631"/>
      <c r="K191" s="634"/>
      <c r="L191" s="634"/>
      <c r="M191" s="634"/>
      <c r="N191" s="634"/>
      <c r="O191" s="634"/>
    </row>
    <row r="192" spans="2:15" ht="15" customHeight="1" outlineLevel="1">
      <c r="B192" s="599" t="s">
        <v>425</v>
      </c>
      <c r="C192" s="599"/>
      <c r="H192" s="631"/>
      <c r="I192" s="631"/>
      <c r="J192" s="631"/>
      <c r="K192" s="602">
        <f>K521</f>
        <v>16737.860096249999</v>
      </c>
      <c r="L192" s="602">
        <f>L521</f>
        <v>16737.860096249999</v>
      </c>
      <c r="M192" s="602">
        <f>M521</f>
        <v>16737.860096249999</v>
      </c>
      <c r="N192" s="602">
        <f>N521</f>
        <v>16737.860096249999</v>
      </c>
      <c r="O192" s="602">
        <f>O521</f>
        <v>16737.860096249999</v>
      </c>
    </row>
    <row r="193" spans="1:16" ht="15" customHeight="1" outlineLevel="1">
      <c r="B193" s="599" t="s">
        <v>426</v>
      </c>
      <c r="C193" s="599"/>
      <c r="H193" s="631"/>
      <c r="I193" s="631"/>
      <c r="J193" s="631"/>
      <c r="K193" s="602">
        <f>K528</f>
        <v>66321.089274024998</v>
      </c>
      <c r="L193" s="602">
        <f>L528</f>
        <v>144661.75369771136</v>
      </c>
      <c r="M193" s="602">
        <f>M528</f>
        <v>237058.2560414453</v>
      </c>
      <c r="N193" s="602">
        <f>N528</f>
        <v>345380.00524222141</v>
      </c>
      <c r="O193" s="602">
        <f>O528</f>
        <v>471227.98696813814</v>
      </c>
    </row>
    <row r="194" spans="1:16" ht="15" customHeight="1" outlineLevel="1">
      <c r="B194" s="599" t="s">
        <v>427</v>
      </c>
      <c r="C194" s="599"/>
      <c r="H194" s="631"/>
      <c r="I194" s="631"/>
      <c r="J194" s="631"/>
      <c r="K194" s="605">
        <f>SUM(K192:K193)</f>
        <v>83058.94937027499</v>
      </c>
      <c r="L194" s="605">
        <f>SUM(L192:L193)</f>
        <v>161399.61379396135</v>
      </c>
      <c r="M194" s="605">
        <f>SUM(M192:M193)</f>
        <v>253796.1161376953</v>
      </c>
      <c r="N194" s="605">
        <f>SUM(N192:N193)</f>
        <v>362117.86533847143</v>
      </c>
      <c r="O194" s="605">
        <f>SUM(O192:O193)</f>
        <v>487965.84706438816</v>
      </c>
    </row>
    <row r="195" spans="1:16" ht="15" customHeight="1" outlineLevel="1">
      <c r="B195" s="633"/>
      <c r="C195" s="633"/>
      <c r="H195" s="631"/>
      <c r="I195" s="631"/>
      <c r="J195" s="631"/>
      <c r="K195" s="586"/>
      <c r="L195" s="586"/>
      <c r="M195" s="586"/>
      <c r="N195" s="586"/>
      <c r="O195" s="586"/>
    </row>
    <row r="196" spans="1:16" ht="15" customHeight="1" outlineLevel="1">
      <c r="B196" s="633"/>
      <c r="C196" s="633"/>
      <c r="H196" s="631"/>
      <c r="I196" s="631"/>
      <c r="J196" s="631"/>
      <c r="K196" s="586"/>
      <c r="L196" s="586"/>
      <c r="M196" s="586"/>
      <c r="N196" s="586"/>
      <c r="O196" s="586"/>
    </row>
    <row r="197" spans="1:16" ht="15" customHeight="1" outlineLevel="1" thickBot="1">
      <c r="B197" s="599" t="s">
        <v>428</v>
      </c>
      <c r="C197" s="633"/>
      <c r="H197" s="631"/>
      <c r="I197" s="631"/>
      <c r="J197" s="631"/>
      <c r="K197" s="621">
        <f>K194+K188</f>
        <v>85614.002641776446</v>
      </c>
      <c r="L197" s="621">
        <f>L194+L188</f>
        <v>164390.10417362358</v>
      </c>
      <c r="M197" s="621">
        <f>M194+M188</f>
        <v>256970.13913210342</v>
      </c>
      <c r="N197" s="621">
        <f>N194+N188</f>
        <v>365144.86056136875</v>
      </c>
      <c r="O197" s="621">
        <f>O194+O188</f>
        <v>490460.19500452885</v>
      </c>
    </row>
    <row r="198" spans="1:16" ht="15" customHeight="1" outlineLevel="1">
      <c r="B198" s="463"/>
      <c r="C198" s="463"/>
      <c r="H198" s="631"/>
      <c r="I198" s="631"/>
      <c r="J198" s="631"/>
      <c r="K198" s="632"/>
      <c r="L198" s="632"/>
      <c r="M198" s="632"/>
      <c r="N198" s="632"/>
      <c r="O198" s="632"/>
    </row>
    <row r="199" spans="1:16" ht="15" customHeight="1" outlineLevel="1">
      <c r="B199" s="637" t="s">
        <v>223</v>
      </c>
      <c r="C199" s="637"/>
      <c r="H199" s="631"/>
      <c r="I199" s="631"/>
      <c r="J199" s="631"/>
      <c r="K199" s="638">
        <f>ROUND(K197-K178,0)</f>
        <v>0</v>
      </c>
      <c r="L199" s="638">
        <f>ROUND(L197-L178,0)</f>
        <v>0</v>
      </c>
      <c r="M199" s="638">
        <f>ROUND(M197-M178,0)</f>
        <v>0</v>
      </c>
      <c r="N199" s="638">
        <f>ROUND(N197-N178,0)</f>
        <v>0</v>
      </c>
      <c r="O199" s="638">
        <f>ROUND(O197-O178,0)</f>
        <v>0</v>
      </c>
    </row>
    <row r="200" spans="1:16">
      <c r="B200" s="624"/>
      <c r="C200" s="624"/>
      <c r="D200" s="624"/>
      <c r="E200" s="624"/>
      <c r="F200" s="624"/>
      <c r="G200" s="624"/>
      <c r="H200" s="624"/>
      <c r="I200" s="624"/>
      <c r="J200" s="624"/>
      <c r="K200" s="625"/>
      <c r="L200" s="624"/>
      <c r="M200" s="624"/>
      <c r="N200" s="624"/>
      <c r="O200" s="624"/>
    </row>
    <row r="201" spans="1:16" s="488" customFormat="1">
      <c r="A201" s="488" t="s">
        <v>80</v>
      </c>
      <c r="B201" s="472" t="s">
        <v>78</v>
      </c>
      <c r="C201" s="473"/>
      <c r="D201" s="474"/>
      <c r="E201" s="474"/>
      <c r="F201" s="475"/>
      <c r="G201" s="475"/>
      <c r="H201" s="476"/>
      <c r="I201" s="476"/>
      <c r="J201" s="476"/>
      <c r="K201" s="476"/>
      <c r="L201" s="476"/>
      <c r="M201" s="476"/>
      <c r="N201" s="476"/>
      <c r="O201" s="476"/>
    </row>
    <row r="202" spans="1:16" s="488" customFormat="1" outlineLevel="1">
      <c r="B202" s="477"/>
      <c r="C202" s="477"/>
      <c r="D202" s="478"/>
      <c r="E202" s="478"/>
      <c r="F202" s="479"/>
      <c r="G202" s="479"/>
      <c r="H202" s="480"/>
      <c r="I202" s="480"/>
      <c r="J202" s="481"/>
      <c r="K202" s="482"/>
      <c r="L202" s="482"/>
      <c r="M202" s="482"/>
      <c r="N202" s="482"/>
      <c r="O202" s="482"/>
    </row>
    <row r="203" spans="1:16" s="488" customFormat="1" ht="12.6" outlineLevel="1" thickBot="1">
      <c r="B203" s="483" t="s">
        <v>344</v>
      </c>
      <c r="C203" s="483"/>
      <c r="D203" s="478"/>
      <c r="E203" s="478"/>
      <c r="F203" s="484"/>
      <c r="G203" s="484"/>
      <c r="H203" s="480"/>
      <c r="I203" s="480"/>
      <c r="J203" s="485">
        <f>K203-1</f>
        <v>2024</v>
      </c>
      <c r="K203" s="486">
        <f>$K$5</f>
        <v>2025</v>
      </c>
      <c r="L203" s="486">
        <f>K203+1</f>
        <v>2026</v>
      </c>
      <c r="M203" s="486">
        <f>L203+1</f>
        <v>2027</v>
      </c>
      <c r="N203" s="486">
        <f>M203+1</f>
        <v>2028</v>
      </c>
      <c r="O203" s="486">
        <f>N203+1</f>
        <v>2029</v>
      </c>
      <c r="P203" s="466"/>
    </row>
    <row r="204" spans="1:16" s="488" customFormat="1" outlineLevel="1">
      <c r="B204" s="483" t="str">
        <f>$B$6</f>
        <v>Model Running: Base Case Drivers</v>
      </c>
      <c r="C204" s="483"/>
      <c r="D204" s="478"/>
      <c r="E204" s="478"/>
      <c r="F204" s="484"/>
      <c r="G204" s="484"/>
      <c r="H204" s="484"/>
      <c r="I204" s="484"/>
      <c r="J204" s="484"/>
      <c r="P204" s="466"/>
    </row>
    <row r="205" spans="1:16" s="488" customFormat="1" outlineLevel="1">
      <c r="B205" s="483"/>
      <c r="C205" s="483"/>
      <c r="D205" s="478"/>
      <c r="E205" s="478"/>
      <c r="F205" s="484"/>
      <c r="G205" s="484"/>
      <c r="H205" s="484"/>
      <c r="I205" s="484"/>
      <c r="J205" s="484"/>
      <c r="P205" s="466"/>
    </row>
    <row r="206" spans="1:16" s="463" customFormat="1" outlineLevel="1">
      <c r="B206" s="508" t="s">
        <v>1</v>
      </c>
      <c r="D206" s="499"/>
      <c r="E206" s="499"/>
      <c r="F206" s="493"/>
      <c r="H206" s="484"/>
      <c r="I206" s="484"/>
      <c r="J206" s="543"/>
      <c r="K206" s="639">
        <f>K$8</f>
        <v>365</v>
      </c>
      <c r="L206" s="639">
        <f>L$8</f>
        <v>365</v>
      </c>
      <c r="M206" s="639">
        <f>M$8</f>
        <v>365</v>
      </c>
      <c r="N206" s="639">
        <f>N$8</f>
        <v>365</v>
      </c>
      <c r="O206" s="640">
        <f>O$8</f>
        <v>365</v>
      </c>
    </row>
    <row r="207" spans="1:16" s="463" customFormat="1" outlineLevel="1">
      <c r="B207" s="508" t="s">
        <v>0</v>
      </c>
      <c r="H207" s="484"/>
      <c r="I207" s="484"/>
      <c r="J207" s="543"/>
      <c r="K207" s="632">
        <f t="shared" ref="K207:O208" si="29">K106</f>
        <v>138000</v>
      </c>
      <c r="L207" s="632">
        <f t="shared" si="29"/>
        <v>159984</v>
      </c>
      <c r="M207" s="632">
        <f t="shared" si="29"/>
        <v>181800</v>
      </c>
      <c r="N207" s="632">
        <f t="shared" si="29"/>
        <v>204828.00000000003</v>
      </c>
      <c r="O207" s="641">
        <f t="shared" si="29"/>
        <v>229068.00000000003</v>
      </c>
    </row>
    <row r="208" spans="1:16" s="463" customFormat="1" outlineLevel="1">
      <c r="B208" s="508" t="s">
        <v>68</v>
      </c>
      <c r="H208" s="484"/>
      <c r="I208" s="484"/>
      <c r="J208" s="543"/>
      <c r="K208" s="642">
        <f t="shared" si="29"/>
        <v>29326.171875</v>
      </c>
      <c r="L208" s="642">
        <f t="shared" si="29"/>
        <v>32258.7890625</v>
      </c>
      <c r="M208" s="642">
        <f t="shared" si="29"/>
        <v>35191.40625</v>
      </c>
      <c r="N208" s="642">
        <f t="shared" si="29"/>
        <v>38124.0234375</v>
      </c>
      <c r="O208" s="643">
        <f t="shared" si="29"/>
        <v>41056.640625</v>
      </c>
    </row>
    <row r="209" spans="2:16" s="463" customFormat="1" outlineLevel="1">
      <c r="C209" s="599"/>
      <c r="D209" s="573"/>
      <c r="E209" s="573"/>
      <c r="H209" s="484"/>
      <c r="I209" s="484"/>
      <c r="J209" s="484"/>
      <c r="K209" s="632"/>
      <c r="L209" s="632"/>
      <c r="M209" s="632"/>
      <c r="N209" s="632"/>
      <c r="O209" s="632"/>
    </row>
    <row r="210" spans="2:16" s="463" customFormat="1" outlineLevel="1">
      <c r="C210" s="599"/>
      <c r="D210" s="573"/>
      <c r="E210" s="573"/>
      <c r="K210" s="632"/>
      <c r="L210" s="632"/>
      <c r="M210" s="632"/>
      <c r="N210" s="632"/>
      <c r="O210" s="632"/>
    </row>
    <row r="211" spans="2:16" s="463" customFormat="1" outlineLevel="1">
      <c r="B211" s="509" t="s">
        <v>77</v>
      </c>
      <c r="C211" s="599"/>
      <c r="D211" s="573"/>
      <c r="E211" s="573"/>
      <c r="K211" s="632"/>
      <c r="L211" s="632"/>
      <c r="M211" s="632"/>
      <c r="N211" s="632"/>
      <c r="O211" s="632"/>
    </row>
    <row r="212" spans="2:16" s="463" customFormat="1" outlineLevel="1">
      <c r="C212" s="599" t="s">
        <v>2</v>
      </c>
      <c r="F212" s="493" t="s">
        <v>3</v>
      </c>
      <c r="G212" s="493"/>
      <c r="H212" s="644"/>
      <c r="I212" s="644"/>
      <c r="J212" s="644"/>
      <c r="K212" s="632">
        <f>Inputs!H63</f>
        <v>25</v>
      </c>
      <c r="L212" s="632">
        <f>Inputs!I63</f>
        <v>25</v>
      </c>
      <c r="M212" s="632">
        <f>Inputs!J63</f>
        <v>25</v>
      </c>
      <c r="N212" s="632">
        <f>Inputs!K63</f>
        <v>25</v>
      </c>
      <c r="O212" s="632">
        <f>Inputs!L63</f>
        <v>25</v>
      </c>
      <c r="P212" s="466"/>
    </row>
    <row r="213" spans="2:16" s="463" customFormat="1" outlineLevel="1">
      <c r="C213" s="599" t="s">
        <v>4</v>
      </c>
      <c r="F213" s="493" t="s">
        <v>3</v>
      </c>
      <c r="G213" s="493"/>
      <c r="H213" s="644"/>
      <c r="I213" s="644"/>
      <c r="J213" s="644"/>
      <c r="K213" s="632">
        <f>Inputs!H69</f>
        <v>25</v>
      </c>
      <c r="L213" s="632">
        <f>Inputs!I69</f>
        <v>25</v>
      </c>
      <c r="M213" s="632">
        <f>Inputs!J69</f>
        <v>25</v>
      </c>
      <c r="N213" s="632">
        <f>Inputs!K69</f>
        <v>25</v>
      </c>
      <c r="O213" s="632">
        <f>Inputs!L69</f>
        <v>25</v>
      </c>
    </row>
    <row r="214" spans="2:16" s="463" customFormat="1" outlineLevel="1">
      <c r="C214" s="599" t="s">
        <v>5</v>
      </c>
      <c r="F214" s="493" t="s">
        <v>3</v>
      </c>
      <c r="G214" s="493"/>
      <c r="H214" s="644"/>
      <c r="I214" s="644"/>
      <c r="J214" s="644"/>
      <c r="K214" s="632">
        <f>Inputs!H75</f>
        <v>35</v>
      </c>
      <c r="L214" s="632">
        <f>Inputs!I75</f>
        <v>35</v>
      </c>
      <c r="M214" s="632">
        <f>Inputs!J75</f>
        <v>35</v>
      </c>
      <c r="N214" s="632">
        <f>Inputs!K75</f>
        <v>35</v>
      </c>
      <c r="O214" s="632">
        <f>Inputs!L75</f>
        <v>35</v>
      </c>
      <c r="P214" s="645"/>
    </row>
    <row r="215" spans="2:16" s="463" customFormat="1" outlineLevel="1">
      <c r="C215" s="599"/>
      <c r="F215" s="493"/>
      <c r="G215" s="493"/>
      <c r="H215" s="646"/>
      <c r="I215" s="644"/>
      <c r="J215" s="644"/>
      <c r="K215" s="647"/>
      <c r="L215" s="647"/>
      <c r="M215" s="647"/>
      <c r="N215" s="647"/>
      <c r="O215" s="647"/>
      <c r="P215" s="645"/>
    </row>
    <row r="216" spans="2:16" s="463" customFormat="1" outlineLevel="1">
      <c r="C216" s="599"/>
      <c r="F216" s="493"/>
      <c r="G216" s="493"/>
      <c r="H216" s="646"/>
      <c r="I216" s="644"/>
      <c r="J216" s="644"/>
      <c r="K216" s="647"/>
      <c r="L216" s="647"/>
      <c r="M216" s="647"/>
      <c r="N216" s="647"/>
      <c r="O216" s="647"/>
      <c r="P216" s="645"/>
    </row>
    <row r="217" spans="2:16" s="463" customFormat="1" outlineLevel="1">
      <c r="B217" s="509" t="s">
        <v>67</v>
      </c>
      <c r="C217" s="633"/>
      <c r="D217" s="573"/>
      <c r="E217" s="573"/>
      <c r="K217" s="632"/>
      <c r="L217" s="632"/>
      <c r="M217" s="632"/>
      <c r="N217" s="632"/>
      <c r="O217" s="632"/>
    </row>
    <row r="218" spans="2:16" s="463" customFormat="1" outlineLevel="1">
      <c r="C218" s="599" t="s">
        <v>2</v>
      </c>
      <c r="H218" s="494"/>
      <c r="I218" s="494"/>
      <c r="J218" s="494"/>
      <c r="K218" s="511">
        <f>(K212/K206)*K207</f>
        <v>9452.0547945205471</v>
      </c>
      <c r="L218" s="511">
        <f t="shared" ref="L218:O218" si="30">(L212/L206)*L207</f>
        <v>10957.808219178081</v>
      </c>
      <c r="M218" s="511">
        <f t="shared" si="30"/>
        <v>12452.054794520547</v>
      </c>
      <c r="N218" s="511">
        <f t="shared" si="30"/>
        <v>14029.315068493152</v>
      </c>
      <c r="O218" s="511">
        <f t="shared" si="30"/>
        <v>15689.589041095891</v>
      </c>
    </row>
    <row r="219" spans="2:16" s="463" customFormat="1" outlineLevel="1">
      <c r="C219" s="599" t="s">
        <v>4</v>
      </c>
      <c r="H219" s="494"/>
      <c r="I219" s="494"/>
      <c r="J219" s="494"/>
      <c r="K219" s="511">
        <f>(K213/K206)*K208</f>
        <v>2008.6419092465753</v>
      </c>
      <c r="L219" s="511">
        <f t="shared" ref="L219:O219" si="31">(L213/L206)*L208</f>
        <v>2209.5061001712329</v>
      </c>
      <c r="M219" s="511">
        <f t="shared" si="31"/>
        <v>2410.3702910958905</v>
      </c>
      <c r="N219" s="511">
        <f t="shared" si="31"/>
        <v>2611.2344820205476</v>
      </c>
      <c r="O219" s="511">
        <f t="shared" si="31"/>
        <v>2812.0986729452052</v>
      </c>
    </row>
    <row r="220" spans="2:16" s="463" customFormat="1" outlineLevel="1">
      <c r="C220" s="599" t="s">
        <v>5</v>
      </c>
      <c r="H220" s="494"/>
      <c r="I220" s="494"/>
      <c r="J220" s="494"/>
      <c r="K220" s="511">
        <f>(K214/K206)*K208</f>
        <v>2812.0986729452052</v>
      </c>
      <c r="L220" s="511">
        <f t="shared" ref="L220:O220" si="32">(L214/L206)*L208</f>
        <v>3093.308540239726</v>
      </c>
      <c r="M220" s="511">
        <f t="shared" si="32"/>
        <v>3374.5184075342463</v>
      </c>
      <c r="N220" s="511">
        <f t="shared" si="32"/>
        <v>3655.7282748287671</v>
      </c>
      <c r="O220" s="511">
        <f t="shared" si="32"/>
        <v>3936.9381421232874</v>
      </c>
    </row>
    <row r="221" spans="2:16" s="463" customFormat="1" outlineLevel="1">
      <c r="C221" s="633"/>
      <c r="D221" s="573"/>
      <c r="E221" s="573"/>
      <c r="K221" s="632"/>
      <c r="L221" s="632"/>
      <c r="M221" s="632"/>
      <c r="N221" s="632"/>
      <c r="O221" s="632"/>
    </row>
    <row r="222" spans="2:16" s="463" customFormat="1" outlineLevel="1">
      <c r="C222" s="633"/>
      <c r="D222" s="573"/>
      <c r="E222" s="573"/>
      <c r="K222" s="632"/>
      <c r="L222" s="632"/>
      <c r="M222" s="632"/>
      <c r="N222" s="632"/>
      <c r="O222" s="632"/>
    </row>
    <row r="223" spans="2:16" s="463" customFormat="1" outlineLevel="1">
      <c r="B223" s="509" t="s">
        <v>76</v>
      </c>
      <c r="C223" s="633"/>
      <c r="D223" s="573"/>
      <c r="E223" s="573"/>
      <c r="K223" s="632"/>
      <c r="L223" s="632"/>
      <c r="M223" s="632"/>
      <c r="N223" s="632"/>
      <c r="O223" s="632"/>
    </row>
    <row r="224" spans="2:16" s="463" customFormat="1" outlineLevel="1">
      <c r="C224" s="599" t="s">
        <v>73</v>
      </c>
      <c r="H224" s="511"/>
      <c r="I224" s="511"/>
      <c r="J224" s="511"/>
      <c r="K224" s="511">
        <f>SUM(K218:K219)</f>
        <v>11460.696703767122</v>
      </c>
      <c r="L224" s="511">
        <f t="shared" ref="L224:O224" si="33">SUM(L218:L219)</f>
        <v>13167.314319349314</v>
      </c>
      <c r="M224" s="511">
        <f t="shared" si="33"/>
        <v>14862.425085616438</v>
      </c>
      <c r="N224" s="511">
        <f t="shared" si="33"/>
        <v>16640.549550513701</v>
      </c>
      <c r="O224" s="511">
        <f t="shared" si="33"/>
        <v>18501.687714041094</v>
      </c>
    </row>
    <row r="225" spans="1:16" s="463" customFormat="1" outlineLevel="1">
      <c r="C225" s="599" t="s">
        <v>74</v>
      </c>
      <c r="H225" s="558"/>
      <c r="I225" s="558"/>
      <c r="J225" s="558"/>
      <c r="K225" s="558">
        <f>SUM(K220)</f>
        <v>2812.0986729452052</v>
      </c>
      <c r="L225" s="558">
        <f t="shared" ref="L225:O225" si="34">SUM(L220)</f>
        <v>3093.308540239726</v>
      </c>
      <c r="M225" s="558">
        <f t="shared" si="34"/>
        <v>3374.5184075342463</v>
      </c>
      <c r="N225" s="558">
        <f t="shared" si="34"/>
        <v>3655.7282748287671</v>
      </c>
      <c r="O225" s="558">
        <f t="shared" si="34"/>
        <v>3936.9381421232874</v>
      </c>
    </row>
    <row r="226" spans="1:16" s="463" customFormat="1" outlineLevel="1">
      <c r="C226" s="599" t="s">
        <v>6</v>
      </c>
      <c r="H226" s="511"/>
      <c r="I226" s="511"/>
      <c r="J226" s="511"/>
      <c r="K226" s="511">
        <f>K224-K225</f>
        <v>8648.5980308219168</v>
      </c>
      <c r="L226" s="511">
        <f t="shared" ref="L226:O226" si="35">L224-L225</f>
        <v>10074.005779109588</v>
      </c>
      <c r="M226" s="511">
        <f t="shared" si="35"/>
        <v>11487.906678082192</v>
      </c>
      <c r="N226" s="511">
        <f t="shared" si="35"/>
        <v>12984.821275684933</v>
      </c>
      <c r="O226" s="511">
        <f t="shared" si="35"/>
        <v>14564.749571917808</v>
      </c>
    </row>
    <row r="227" spans="1:16" s="463" customFormat="1" outlineLevel="1">
      <c r="C227" s="633"/>
      <c r="D227" s="573"/>
      <c r="E227" s="573"/>
      <c r="K227" s="632"/>
      <c r="L227" s="632"/>
      <c r="M227" s="632"/>
      <c r="N227" s="632"/>
      <c r="O227" s="632"/>
    </row>
    <row r="228" spans="1:16" s="463" customFormat="1" outlineLevel="1">
      <c r="C228" s="633"/>
      <c r="D228" s="573"/>
      <c r="E228" s="573"/>
      <c r="K228" s="632"/>
      <c r="L228" s="632"/>
      <c r="M228" s="632"/>
      <c r="N228" s="632"/>
      <c r="O228" s="632"/>
    </row>
    <row r="229" spans="1:16" s="463" customFormat="1" ht="12.6" outlineLevel="1" thickBot="1">
      <c r="C229" s="633" t="s">
        <v>75</v>
      </c>
      <c r="D229" s="573"/>
      <c r="E229" s="573"/>
      <c r="F229" s="573"/>
      <c r="G229" s="573"/>
      <c r="H229" s="573"/>
      <c r="I229" s="648"/>
      <c r="J229" s="648"/>
      <c r="K229" s="649">
        <f>J226-K226</f>
        <v>-8648.5980308219168</v>
      </c>
      <c r="L229" s="649">
        <f t="shared" ref="L229:O229" si="36">K226-L226</f>
        <v>-1425.407748287671</v>
      </c>
      <c r="M229" s="649">
        <f t="shared" si="36"/>
        <v>-1413.9008989726044</v>
      </c>
      <c r="N229" s="649">
        <f t="shared" si="36"/>
        <v>-1496.9145976027412</v>
      </c>
      <c r="O229" s="649">
        <f t="shared" si="36"/>
        <v>-1579.9282962328743</v>
      </c>
    </row>
    <row r="230" spans="1:16" s="463" customFormat="1" outlineLevel="1">
      <c r="C230" s="633"/>
      <c r="D230" s="573"/>
      <c r="E230" s="573"/>
      <c r="F230" s="573"/>
      <c r="G230" s="573"/>
      <c r="H230" s="573"/>
      <c r="I230" s="648"/>
      <c r="J230" s="648"/>
      <c r="K230" s="648"/>
      <c r="L230" s="648"/>
      <c r="M230" s="648"/>
      <c r="N230" s="648"/>
      <c r="O230" s="648"/>
    </row>
    <row r="231" spans="1:16" s="463" customFormat="1" outlineLevel="1">
      <c r="B231" s="506"/>
      <c r="C231" s="506"/>
      <c r="D231" s="506"/>
      <c r="E231" s="506"/>
      <c r="F231" s="506"/>
      <c r="G231" s="506"/>
      <c r="H231" s="506"/>
      <c r="I231" s="506"/>
      <c r="J231" s="506"/>
      <c r="K231" s="506"/>
      <c r="L231" s="506"/>
      <c r="M231" s="506"/>
      <c r="N231" s="506"/>
      <c r="O231" s="506"/>
    </row>
    <row r="232" spans="1:16" s="463" customFormat="1">
      <c r="B232" s="508"/>
      <c r="D232" s="499"/>
      <c r="E232" s="499"/>
      <c r="F232" s="493"/>
      <c r="H232" s="511"/>
      <c r="I232" s="511"/>
      <c r="J232" s="511"/>
      <c r="K232" s="511"/>
      <c r="L232" s="511"/>
      <c r="M232" s="511"/>
      <c r="N232" s="511"/>
      <c r="O232" s="511"/>
    </row>
    <row r="233" spans="1:16" s="488" customFormat="1">
      <c r="A233" s="488" t="s">
        <v>80</v>
      </c>
      <c r="B233" s="472" t="s">
        <v>79</v>
      </c>
      <c r="C233" s="473"/>
      <c r="D233" s="474"/>
      <c r="E233" s="474"/>
      <c r="F233" s="475"/>
      <c r="G233" s="475"/>
      <c r="H233" s="476"/>
      <c r="I233" s="476"/>
      <c r="J233" s="476"/>
      <c r="K233" s="476"/>
      <c r="L233" s="476"/>
      <c r="M233" s="476"/>
      <c r="N233" s="476"/>
      <c r="O233" s="476"/>
      <c r="P233" s="466"/>
    </row>
    <row r="234" spans="1:16" s="488" customFormat="1" outlineLevel="1">
      <c r="B234" s="477"/>
      <c r="C234" s="477"/>
      <c r="D234" s="478"/>
      <c r="E234" s="478"/>
      <c r="F234" s="479"/>
      <c r="G234" s="479"/>
      <c r="H234" s="480"/>
      <c r="I234" s="480"/>
      <c r="J234" s="481"/>
      <c r="K234" s="482"/>
      <c r="L234" s="482"/>
      <c r="M234" s="482"/>
      <c r="N234" s="482"/>
      <c r="O234" s="482"/>
      <c r="P234" s="466"/>
    </row>
    <row r="235" spans="1:16" s="488" customFormat="1" ht="12.6" outlineLevel="1" thickBot="1">
      <c r="B235" s="483" t="s">
        <v>344</v>
      </c>
      <c r="C235" s="483"/>
      <c r="D235" s="478"/>
      <c r="E235" s="478"/>
      <c r="F235" s="484"/>
      <c r="G235" s="484"/>
      <c r="H235" s="480"/>
      <c r="I235" s="480"/>
      <c r="J235" s="485">
        <f>K235-1</f>
        <v>2024</v>
      </c>
      <c r="K235" s="486">
        <f>$K$5</f>
        <v>2025</v>
      </c>
      <c r="L235" s="486">
        <f>K235+1</f>
        <v>2026</v>
      </c>
      <c r="M235" s="486">
        <f>L235+1</f>
        <v>2027</v>
      </c>
      <c r="N235" s="486">
        <f>M235+1</f>
        <v>2028</v>
      </c>
      <c r="O235" s="486">
        <f>N235+1</f>
        <v>2029</v>
      </c>
    </row>
    <row r="236" spans="1:16" s="488" customFormat="1" outlineLevel="1">
      <c r="B236" s="483" t="str">
        <f>$B$6</f>
        <v>Model Running: Base Case Drivers</v>
      </c>
      <c r="C236" s="483"/>
      <c r="D236" s="478"/>
      <c r="E236" s="478"/>
      <c r="F236" s="484"/>
      <c r="G236" s="484"/>
      <c r="H236" s="484"/>
      <c r="I236" s="484"/>
      <c r="J236" s="484"/>
      <c r="K236" s="484"/>
      <c r="L236" s="484"/>
      <c r="M236" s="484"/>
      <c r="N236" s="484"/>
      <c r="O236" s="484"/>
      <c r="P236" s="466"/>
    </row>
    <row r="237" spans="1:16" s="488" customFormat="1" outlineLevel="1">
      <c r="B237" s="483"/>
      <c r="C237" s="483"/>
      <c r="D237" s="478"/>
      <c r="E237" s="478"/>
      <c r="F237" s="484"/>
      <c r="G237" s="484"/>
      <c r="H237" s="484"/>
      <c r="I237" s="484"/>
      <c r="J237" s="484"/>
      <c r="K237" s="484"/>
      <c r="L237" s="484"/>
      <c r="M237" s="484"/>
      <c r="N237" s="484"/>
      <c r="O237" s="484"/>
      <c r="P237" s="466"/>
    </row>
    <row r="238" spans="1:16" s="488" customFormat="1" outlineLevel="1">
      <c r="B238" s="650" t="s">
        <v>41</v>
      </c>
      <c r="D238" s="478"/>
      <c r="E238" s="478"/>
      <c r="F238" s="484"/>
      <c r="G238" s="484"/>
      <c r="H238" s="484"/>
      <c r="I238" s="484"/>
      <c r="J238" s="543"/>
      <c r="K238" s="651">
        <f>Inputs!H38</f>
        <v>17136.360096249999</v>
      </c>
      <c r="L238" s="651">
        <f>Inputs!I38</f>
        <v>8568.1800481249993</v>
      </c>
      <c r="M238" s="651">
        <f>Inputs!J38</f>
        <v>8568.1800481249993</v>
      </c>
      <c r="N238" s="651">
        <f>Inputs!K38</f>
        <v>8568.1800481249993</v>
      </c>
      <c r="O238" s="652">
        <f>Inputs!L38</f>
        <v>8568.1800481249993</v>
      </c>
      <c r="P238" s="466"/>
    </row>
    <row r="239" spans="1:16" s="488" customFormat="1" outlineLevel="1">
      <c r="B239" s="599"/>
      <c r="D239" s="478"/>
      <c r="E239" s="478"/>
      <c r="F239" s="484"/>
      <c r="G239" s="484"/>
      <c r="H239" s="494"/>
      <c r="I239" s="494"/>
      <c r="J239" s="494"/>
      <c r="K239" s="511"/>
      <c r="L239" s="511"/>
      <c r="M239" s="511"/>
      <c r="N239" s="511"/>
      <c r="O239" s="511"/>
      <c r="P239" s="466"/>
    </row>
    <row r="240" spans="1:16" s="488" customFormat="1" outlineLevel="1">
      <c r="B240" s="483"/>
      <c r="C240" s="483"/>
      <c r="D240" s="478"/>
      <c r="E240" s="478"/>
      <c r="F240" s="484"/>
      <c r="G240" s="484"/>
      <c r="H240" s="484"/>
      <c r="I240" s="484"/>
      <c r="J240" s="484"/>
      <c r="K240" s="487"/>
      <c r="L240" s="487"/>
      <c r="M240" s="487"/>
      <c r="N240" s="487"/>
      <c r="O240" s="487"/>
      <c r="P240" s="634"/>
    </row>
    <row r="241" spans="2:16" s="488" customFormat="1" ht="13.2" outlineLevel="1">
      <c r="B241" s="633" t="s">
        <v>802</v>
      </c>
      <c r="C241" s="483"/>
      <c r="F241" s="653" t="s">
        <v>55</v>
      </c>
      <c r="G241" s="484"/>
      <c r="H241" s="484"/>
      <c r="I241" s="484"/>
      <c r="J241" s="484"/>
      <c r="K241" s="654" t="s">
        <v>59</v>
      </c>
      <c r="L241" s="655"/>
      <c r="M241" s="655"/>
      <c r="N241" s="655"/>
      <c r="O241" s="656"/>
      <c r="P241" s="466"/>
    </row>
    <row r="242" spans="2:16" s="488" customFormat="1" outlineLevel="1">
      <c r="B242" s="657" t="s">
        <v>60</v>
      </c>
      <c r="C242" s="658"/>
      <c r="D242" s="658"/>
      <c r="E242" s="658"/>
      <c r="F242" s="659">
        <f>Transaction!$I$36</f>
        <v>1</v>
      </c>
      <c r="G242" s="484"/>
      <c r="H242" s="660"/>
      <c r="I242" s="484"/>
      <c r="J242" s="484"/>
      <c r="K242" s="661">
        <v>1</v>
      </c>
      <c r="L242" s="661">
        <f>K242+1</f>
        <v>2</v>
      </c>
      <c r="M242" s="661">
        <f>L242+1</f>
        <v>3</v>
      </c>
      <c r="N242" s="661">
        <f>M242+1</f>
        <v>4</v>
      </c>
      <c r="O242" s="661">
        <f>N242+1</f>
        <v>5</v>
      </c>
      <c r="P242" s="634"/>
    </row>
    <row r="243" spans="2:16" s="488" customFormat="1" outlineLevel="1">
      <c r="B243" s="504" t="str">
        <f>CONCATENATE("PP&amp;E at End of ",$J$235)</f>
        <v>PP&amp;E at End of 2024</v>
      </c>
      <c r="C243" s="662"/>
      <c r="D243" s="662"/>
      <c r="E243" s="662"/>
      <c r="F243" s="663">
        <f>+Transaction!I35</f>
        <v>0</v>
      </c>
      <c r="G243" s="484"/>
      <c r="H243" s="660"/>
      <c r="I243" s="484"/>
      <c r="J243" s="494"/>
      <c r="K243" s="664">
        <f>MIN($F242-SUM($J243:J243),1)</f>
        <v>1</v>
      </c>
      <c r="L243" s="665">
        <f>MIN($F242-SUM($J243:K243),1)</f>
        <v>0</v>
      </c>
      <c r="M243" s="665">
        <f>MIN($F242-SUM($J243:L243),1)</f>
        <v>0</v>
      </c>
      <c r="N243" s="665">
        <f>MIN($F242-SUM($J243:M243),1)</f>
        <v>0</v>
      </c>
      <c r="O243" s="666">
        <f>MIN($F242-SUM($J243:N243),1)</f>
        <v>0</v>
      </c>
      <c r="P243" s="634"/>
    </row>
    <row r="244" spans="2:16" s="488" customFormat="1" outlineLevel="1">
      <c r="B244" s="599"/>
      <c r="C244" s="483"/>
      <c r="D244" s="667"/>
      <c r="E244" s="667"/>
      <c r="F244" s="668"/>
      <c r="G244" s="484"/>
      <c r="H244" s="484"/>
      <c r="I244" s="484"/>
      <c r="J244" s="484"/>
      <c r="K244" s="669"/>
      <c r="L244" s="669"/>
      <c r="M244" s="669"/>
      <c r="N244" s="669"/>
      <c r="O244" s="669"/>
      <c r="P244" s="634"/>
    </row>
    <row r="245" spans="2:16" s="488" customFormat="1" outlineLevel="1">
      <c r="B245" s="670"/>
      <c r="C245" s="671"/>
      <c r="D245" s="518"/>
      <c r="E245" s="518"/>
      <c r="F245" s="520"/>
      <c r="G245" s="520"/>
      <c r="H245" s="520"/>
      <c r="I245" s="520"/>
      <c r="J245" s="520"/>
      <c r="K245" s="672"/>
      <c r="L245" s="672"/>
      <c r="M245" s="672"/>
      <c r="N245" s="672"/>
      <c r="O245" s="672"/>
      <c r="P245" s="634"/>
    </row>
    <row r="246" spans="2:16" s="488" customFormat="1" outlineLevel="1">
      <c r="B246" s="483"/>
      <c r="C246" s="483"/>
      <c r="D246" s="478"/>
      <c r="E246" s="478"/>
      <c r="F246" s="484"/>
      <c r="G246" s="484"/>
      <c r="H246" s="484"/>
      <c r="I246" s="484"/>
      <c r="J246" s="484"/>
      <c r="K246" s="487"/>
      <c r="L246" s="487"/>
      <c r="M246" s="487"/>
      <c r="N246" s="487"/>
      <c r="O246" s="487"/>
      <c r="P246" s="634"/>
    </row>
    <row r="247" spans="2:16" s="488" customFormat="1" ht="13.2" outlineLevel="1">
      <c r="B247" s="633" t="s">
        <v>803</v>
      </c>
      <c r="C247" s="483"/>
      <c r="F247" s="653" t="s">
        <v>55</v>
      </c>
      <c r="G247" s="484"/>
      <c r="H247" s="484"/>
      <c r="I247" s="484"/>
      <c r="J247" s="484"/>
      <c r="K247" s="654" t="s">
        <v>59</v>
      </c>
      <c r="L247" s="655"/>
      <c r="M247" s="655"/>
      <c r="N247" s="655"/>
      <c r="O247" s="656"/>
      <c r="P247" s="634"/>
    </row>
    <row r="248" spans="2:16" s="488" customFormat="1" outlineLevel="1">
      <c r="B248" s="657" t="s">
        <v>61</v>
      </c>
      <c r="C248" s="673"/>
      <c r="D248" s="658"/>
      <c r="E248" s="658"/>
      <c r="F248" s="659">
        <f>Transaction!$I$37</f>
        <v>5</v>
      </c>
      <c r="G248" s="484"/>
      <c r="H248" s="484"/>
      <c r="I248" s="484"/>
      <c r="J248" s="484"/>
      <c r="K248" s="661">
        <v>1</v>
      </c>
      <c r="L248" s="661">
        <f>K248+1</f>
        <v>2</v>
      </c>
      <c r="M248" s="661">
        <f>L248+1</f>
        <v>3</v>
      </c>
      <c r="N248" s="661">
        <f>M248+1</f>
        <v>4</v>
      </c>
      <c r="O248" s="661">
        <f>N248+1</f>
        <v>5</v>
      </c>
      <c r="P248" s="634"/>
    </row>
    <row r="249" spans="2:16" s="488" customFormat="1" outlineLevel="1">
      <c r="B249" s="504" t="s">
        <v>57</v>
      </c>
      <c r="C249" s="662"/>
      <c r="D249" s="662"/>
      <c r="E249" s="662"/>
      <c r="F249" s="674">
        <f>Transaction!$I$34</f>
        <v>1</v>
      </c>
      <c r="G249" s="484"/>
      <c r="H249" s="484"/>
      <c r="I249" s="484"/>
      <c r="J249" s="484"/>
      <c r="K249" s="664">
        <f>IF(J249="",$F$249,MIN($F248-SUM($J249:J249),1))</f>
        <v>1</v>
      </c>
      <c r="L249" s="665">
        <f>IF(K249="",$F$249,MIN($F248-SUM($J249:K249),1))</f>
        <v>1</v>
      </c>
      <c r="M249" s="665">
        <f>IF(L249="",$F$249,MIN($F248-SUM($J249:L249),1))</f>
        <v>1</v>
      </c>
      <c r="N249" s="665">
        <f>IF(M249="",$F$249,MIN($F248-SUM($J249:M249),1))</f>
        <v>1</v>
      </c>
      <c r="O249" s="666">
        <f>IF(N249="",$F$249,MIN($F248-SUM($J249:N249),1))</f>
        <v>1</v>
      </c>
      <c r="P249" s="634"/>
    </row>
    <row r="250" spans="2:16" s="488" customFormat="1" outlineLevel="1">
      <c r="B250" s="599"/>
      <c r="C250" s="599"/>
      <c r="F250" s="675"/>
      <c r="G250" s="484"/>
      <c r="H250" s="484"/>
      <c r="I250" s="484"/>
      <c r="J250" s="484"/>
      <c r="K250" s="669"/>
      <c r="L250" s="669"/>
      <c r="M250" s="669"/>
      <c r="N250" s="669"/>
      <c r="O250" s="669"/>
      <c r="P250" s="634"/>
    </row>
    <row r="251" spans="2:16" s="488" customFormat="1" outlineLevel="1">
      <c r="B251" s="483"/>
      <c r="C251" s="483"/>
      <c r="D251" s="478"/>
      <c r="E251" s="478"/>
      <c r="F251" s="484"/>
      <c r="G251" s="484"/>
      <c r="H251" s="484"/>
      <c r="I251" s="484"/>
      <c r="J251" s="484"/>
      <c r="K251" s="654" t="s">
        <v>59</v>
      </c>
      <c r="L251" s="655"/>
      <c r="M251" s="655"/>
      <c r="N251" s="655"/>
      <c r="O251" s="656"/>
    </row>
    <row r="252" spans="2:16" s="488" customFormat="1" outlineLevel="1">
      <c r="F252" s="633"/>
      <c r="H252" s="633" t="s">
        <v>49</v>
      </c>
      <c r="I252" s="633" t="s">
        <v>51</v>
      </c>
      <c r="J252" s="484"/>
      <c r="K252" s="676">
        <f>K$235</f>
        <v>2025</v>
      </c>
      <c r="L252" s="676">
        <f>L$235</f>
        <v>2026</v>
      </c>
      <c r="M252" s="676">
        <f>M$235</f>
        <v>2027</v>
      </c>
      <c r="N252" s="676">
        <f>N$235</f>
        <v>2028</v>
      </c>
      <c r="O252" s="676">
        <f>O$235</f>
        <v>2029</v>
      </c>
    </row>
    <row r="253" spans="2:16" s="488" customFormat="1" outlineLevel="1">
      <c r="B253" s="483"/>
      <c r="F253" s="633"/>
      <c r="H253" s="677">
        <f>K235</f>
        <v>2025</v>
      </c>
      <c r="I253" s="678">
        <f>F248</f>
        <v>5</v>
      </c>
      <c r="J253" s="679"/>
      <c r="K253" s="680">
        <f>K249</f>
        <v>1</v>
      </c>
      <c r="L253" s="681">
        <f>L249</f>
        <v>1</v>
      </c>
      <c r="M253" s="681">
        <f>M249</f>
        <v>1</v>
      </c>
      <c r="N253" s="681">
        <f>N249</f>
        <v>1</v>
      </c>
      <c r="O253" s="682">
        <f>O249</f>
        <v>1</v>
      </c>
    </row>
    <row r="254" spans="2:16" s="488" customFormat="1" outlineLevel="1">
      <c r="B254" s="483"/>
      <c r="F254" s="633"/>
      <c r="H254" s="683">
        <f>H253+1</f>
        <v>2026</v>
      </c>
      <c r="I254" s="684">
        <f>I253</f>
        <v>5</v>
      </c>
      <c r="J254" s="685"/>
      <c r="K254" s="686">
        <f t="shared" ref="K254:O257" si="37">J253</f>
        <v>0</v>
      </c>
      <c r="L254" s="687">
        <f t="shared" si="37"/>
        <v>1</v>
      </c>
      <c r="M254" s="687">
        <f t="shared" si="37"/>
        <v>1</v>
      </c>
      <c r="N254" s="687">
        <f t="shared" si="37"/>
        <v>1</v>
      </c>
      <c r="O254" s="688">
        <f t="shared" si="37"/>
        <v>1</v>
      </c>
    </row>
    <row r="255" spans="2:16" s="488" customFormat="1" outlineLevel="1">
      <c r="B255" s="483"/>
      <c r="F255" s="633"/>
      <c r="H255" s="683">
        <f>H254+1</f>
        <v>2027</v>
      </c>
      <c r="I255" s="684">
        <f>I254</f>
        <v>5</v>
      </c>
      <c r="J255" s="685"/>
      <c r="K255" s="686">
        <f t="shared" si="37"/>
        <v>0</v>
      </c>
      <c r="L255" s="687">
        <f t="shared" si="37"/>
        <v>0</v>
      </c>
      <c r="M255" s="687">
        <f t="shared" si="37"/>
        <v>1</v>
      </c>
      <c r="N255" s="687">
        <f t="shared" si="37"/>
        <v>1</v>
      </c>
      <c r="O255" s="688">
        <f t="shared" si="37"/>
        <v>1</v>
      </c>
    </row>
    <row r="256" spans="2:16" s="488" customFormat="1" outlineLevel="1">
      <c r="B256" s="483"/>
      <c r="F256" s="633"/>
      <c r="H256" s="683">
        <f>H255+1</f>
        <v>2028</v>
      </c>
      <c r="I256" s="684">
        <f>I255</f>
        <v>5</v>
      </c>
      <c r="J256" s="685"/>
      <c r="K256" s="686">
        <f t="shared" si="37"/>
        <v>0</v>
      </c>
      <c r="L256" s="687">
        <f t="shared" si="37"/>
        <v>0</v>
      </c>
      <c r="M256" s="687">
        <f t="shared" si="37"/>
        <v>0</v>
      </c>
      <c r="N256" s="687">
        <f t="shared" si="37"/>
        <v>1</v>
      </c>
      <c r="O256" s="688">
        <f t="shared" si="37"/>
        <v>1</v>
      </c>
    </row>
    <row r="257" spans="2:16" s="488" customFormat="1" outlineLevel="1">
      <c r="B257" s="483"/>
      <c r="F257" s="633"/>
      <c r="H257" s="689">
        <f>H256+1</f>
        <v>2029</v>
      </c>
      <c r="I257" s="690">
        <f>I256</f>
        <v>5</v>
      </c>
      <c r="J257" s="671"/>
      <c r="K257" s="691">
        <f t="shared" si="37"/>
        <v>0</v>
      </c>
      <c r="L257" s="692">
        <f t="shared" si="37"/>
        <v>0</v>
      </c>
      <c r="M257" s="692">
        <f t="shared" si="37"/>
        <v>0</v>
      </c>
      <c r="N257" s="692">
        <f t="shared" si="37"/>
        <v>0</v>
      </c>
      <c r="O257" s="693">
        <f t="shared" si="37"/>
        <v>1</v>
      </c>
    </row>
    <row r="258" spans="2:16" s="488" customFormat="1" outlineLevel="1">
      <c r="B258" s="483"/>
      <c r="C258" s="685"/>
      <c r="D258" s="478"/>
      <c r="E258" s="478"/>
      <c r="F258" s="633"/>
      <c r="G258" s="484"/>
      <c r="H258" s="484"/>
      <c r="I258" s="484"/>
      <c r="J258" s="484"/>
      <c r="K258" s="487"/>
      <c r="L258" s="487"/>
      <c r="M258" s="487"/>
      <c r="N258" s="487"/>
      <c r="O258" s="487"/>
    </row>
    <row r="259" spans="2:16" s="488" customFormat="1" outlineLevel="1">
      <c r="B259" s="483"/>
      <c r="C259" s="685"/>
      <c r="D259" s="478"/>
      <c r="E259" s="478"/>
      <c r="F259" s="484"/>
      <c r="G259" s="484"/>
      <c r="H259" s="484"/>
      <c r="I259" s="484"/>
      <c r="J259" s="484"/>
      <c r="K259" s="654" t="s">
        <v>52</v>
      </c>
      <c r="L259" s="655"/>
      <c r="M259" s="655"/>
      <c r="N259" s="655"/>
      <c r="O259" s="656"/>
    </row>
    <row r="260" spans="2:16" s="488" customFormat="1" outlineLevel="1">
      <c r="G260" s="484"/>
      <c r="H260" s="633" t="s">
        <v>49</v>
      </c>
      <c r="I260" s="633" t="s">
        <v>50</v>
      </c>
      <c r="J260" s="633" t="s">
        <v>54</v>
      </c>
      <c r="K260" s="676">
        <f>K$235</f>
        <v>2025</v>
      </c>
      <c r="L260" s="676">
        <f>L$235</f>
        <v>2026</v>
      </c>
      <c r="M260" s="676">
        <f>M$235</f>
        <v>2027</v>
      </c>
      <c r="N260" s="676">
        <f>N$235</f>
        <v>2028</v>
      </c>
      <c r="O260" s="676">
        <f>O$235</f>
        <v>2029</v>
      </c>
    </row>
    <row r="261" spans="2:16" s="488" customFormat="1" outlineLevel="1">
      <c r="B261" s="483"/>
      <c r="G261" s="484"/>
      <c r="H261" s="677">
        <f>H253</f>
        <v>2025</v>
      </c>
      <c r="I261" s="694">
        <f>SUMIF($K$235:$O$235,H261,$K$238:$O$238)</f>
        <v>17136.360096249999</v>
      </c>
      <c r="J261" s="695">
        <f>I261/I253</f>
        <v>3427.2720192499996</v>
      </c>
      <c r="K261" s="696">
        <f t="shared" ref="K261:O265" si="38">$J261*K253</f>
        <v>3427.2720192499996</v>
      </c>
      <c r="L261" s="696">
        <f t="shared" si="38"/>
        <v>3427.2720192499996</v>
      </c>
      <c r="M261" s="696">
        <f t="shared" si="38"/>
        <v>3427.2720192499996</v>
      </c>
      <c r="N261" s="696">
        <f t="shared" si="38"/>
        <v>3427.2720192499996</v>
      </c>
      <c r="O261" s="697">
        <f t="shared" si="38"/>
        <v>3427.2720192499996</v>
      </c>
    </row>
    <row r="262" spans="2:16" s="488" customFormat="1" outlineLevel="1">
      <c r="B262" s="483"/>
      <c r="G262" s="484"/>
      <c r="H262" s="683">
        <f>H254</f>
        <v>2026</v>
      </c>
      <c r="I262" s="698">
        <f>SUMIF($K$235:$O$235,H262,$K$238:$O$238)</f>
        <v>8568.1800481249993</v>
      </c>
      <c r="J262" s="699">
        <f>I262/I254</f>
        <v>1713.6360096249998</v>
      </c>
      <c r="K262" s="580">
        <f t="shared" si="38"/>
        <v>0</v>
      </c>
      <c r="L262" s="580">
        <f t="shared" si="38"/>
        <v>1713.6360096249998</v>
      </c>
      <c r="M262" s="580">
        <f t="shared" si="38"/>
        <v>1713.6360096249998</v>
      </c>
      <c r="N262" s="580">
        <f t="shared" si="38"/>
        <v>1713.6360096249998</v>
      </c>
      <c r="O262" s="700">
        <f t="shared" si="38"/>
        <v>1713.6360096249998</v>
      </c>
    </row>
    <row r="263" spans="2:16" s="488" customFormat="1" outlineLevel="1">
      <c r="B263" s="483"/>
      <c r="G263" s="484"/>
      <c r="H263" s="683">
        <f>H255</f>
        <v>2027</v>
      </c>
      <c r="I263" s="698">
        <f>SUMIF($K$235:$O$235,H263,$K$238:$O$238)</f>
        <v>8568.1800481249993</v>
      </c>
      <c r="J263" s="699">
        <f>I263/I255</f>
        <v>1713.6360096249998</v>
      </c>
      <c r="K263" s="580">
        <f t="shared" si="38"/>
        <v>0</v>
      </c>
      <c r="L263" s="580">
        <f t="shared" si="38"/>
        <v>0</v>
      </c>
      <c r="M263" s="580">
        <f t="shared" si="38"/>
        <v>1713.6360096249998</v>
      </c>
      <c r="N263" s="580">
        <f t="shared" si="38"/>
        <v>1713.6360096249998</v>
      </c>
      <c r="O263" s="700">
        <f t="shared" si="38"/>
        <v>1713.6360096249998</v>
      </c>
      <c r="P263" s="634"/>
    </row>
    <row r="264" spans="2:16" s="488" customFormat="1" outlineLevel="1">
      <c r="B264" s="483"/>
      <c r="G264" s="484"/>
      <c r="H264" s="683">
        <f>H256</f>
        <v>2028</v>
      </c>
      <c r="I264" s="698">
        <f>SUMIF($K$235:$O$235,H264,$K$238:$O$238)</f>
        <v>8568.1800481249993</v>
      </c>
      <c r="J264" s="699">
        <f>I264/I256</f>
        <v>1713.6360096249998</v>
      </c>
      <c r="K264" s="580">
        <f t="shared" si="38"/>
        <v>0</v>
      </c>
      <c r="L264" s="580">
        <f t="shared" si="38"/>
        <v>0</v>
      </c>
      <c r="M264" s="580">
        <f t="shared" si="38"/>
        <v>0</v>
      </c>
      <c r="N264" s="580">
        <f t="shared" si="38"/>
        <v>1713.6360096249998</v>
      </c>
      <c r="O264" s="700">
        <f t="shared" si="38"/>
        <v>1713.6360096249998</v>
      </c>
      <c r="P264" s="634"/>
    </row>
    <row r="265" spans="2:16" s="488" customFormat="1" outlineLevel="1">
      <c r="B265" s="483"/>
      <c r="G265" s="484"/>
      <c r="H265" s="689">
        <f>H257</f>
        <v>2029</v>
      </c>
      <c r="I265" s="701">
        <f>SUMIF($K$235:$O$235,H265,$K$238:$O$238)</f>
        <v>8568.1800481249993</v>
      </c>
      <c r="J265" s="702">
        <f>I265/I257</f>
        <v>1713.6360096249998</v>
      </c>
      <c r="K265" s="703">
        <f t="shared" si="38"/>
        <v>0</v>
      </c>
      <c r="L265" s="703">
        <f t="shared" si="38"/>
        <v>0</v>
      </c>
      <c r="M265" s="703">
        <f t="shared" si="38"/>
        <v>0</v>
      </c>
      <c r="N265" s="703">
        <f t="shared" si="38"/>
        <v>0</v>
      </c>
      <c r="O265" s="704">
        <f t="shared" si="38"/>
        <v>1713.6360096249998</v>
      </c>
      <c r="P265" s="634"/>
    </row>
    <row r="266" spans="2:16" s="488" customFormat="1" outlineLevel="1">
      <c r="B266" s="670"/>
      <c r="C266" s="671"/>
      <c r="D266" s="518"/>
      <c r="E266" s="518"/>
      <c r="F266" s="520"/>
      <c r="G266" s="520"/>
      <c r="H266" s="520"/>
      <c r="I266" s="520"/>
      <c r="J266" s="520"/>
      <c r="K266" s="672"/>
      <c r="L266" s="672"/>
      <c r="M266" s="672"/>
      <c r="N266" s="672"/>
      <c r="O266" s="672"/>
    </row>
    <row r="267" spans="2:16" s="488" customFormat="1" outlineLevel="1">
      <c r="B267" s="483"/>
      <c r="C267" s="483"/>
      <c r="D267" s="478"/>
      <c r="E267" s="478"/>
      <c r="F267" s="484"/>
      <c r="G267" s="484"/>
      <c r="H267" s="484"/>
      <c r="I267" s="484"/>
      <c r="J267" s="484"/>
      <c r="K267" s="487"/>
      <c r="L267" s="487"/>
      <c r="M267" s="487"/>
      <c r="N267" s="487"/>
      <c r="O267" s="487"/>
    </row>
    <row r="268" spans="2:16" s="488" customFormat="1" ht="13.2" outlineLevel="1">
      <c r="B268" s="705" t="s">
        <v>804</v>
      </c>
      <c r="C268" s="483"/>
      <c r="D268" s="478"/>
      <c r="E268" s="478"/>
      <c r="F268" s="484"/>
      <c r="G268" s="484"/>
      <c r="H268" s="484"/>
      <c r="I268" s="484"/>
      <c r="J268" s="484"/>
      <c r="K268" s="487"/>
      <c r="L268" s="487"/>
      <c r="M268" s="487"/>
      <c r="N268" s="487"/>
      <c r="O268" s="487"/>
    </row>
    <row r="269" spans="2:16" s="488" customFormat="1" outlineLevel="1">
      <c r="B269" s="483"/>
      <c r="C269" s="599" t="s">
        <v>47</v>
      </c>
      <c r="D269" s="478"/>
      <c r="E269" s="478"/>
      <c r="F269" s="484"/>
      <c r="G269" s="484"/>
      <c r="H269" s="511"/>
      <c r="I269" s="511"/>
      <c r="J269" s="511"/>
      <c r="K269" s="515">
        <f>($F$243/$F$242)*K243</f>
        <v>0</v>
      </c>
      <c r="L269" s="515">
        <f>($F$243/$F$242)*L243</f>
        <v>0</v>
      </c>
      <c r="M269" s="515">
        <f>($F$243/$F$242)*M243</f>
        <v>0</v>
      </c>
      <c r="N269" s="515">
        <f>($F$243/$F$242)*N243</f>
        <v>0</v>
      </c>
      <c r="O269" s="515">
        <f>($F$243/$F$242)*O243</f>
        <v>0</v>
      </c>
    </row>
    <row r="270" spans="2:16" s="488" customFormat="1" outlineLevel="1">
      <c r="B270" s="483"/>
      <c r="C270" s="599" t="s">
        <v>48</v>
      </c>
      <c r="D270" s="478"/>
      <c r="E270" s="478"/>
      <c r="F270" s="484"/>
      <c r="G270" s="484"/>
      <c r="H270" s="484"/>
      <c r="I270" s="484"/>
      <c r="J270" s="484"/>
      <c r="K270" s="515">
        <f>SUM(K261:K265)</f>
        <v>3427.2720192499996</v>
      </c>
      <c r="L270" s="515">
        <f>SUM(L261:L265)</f>
        <v>5140.9080288749992</v>
      </c>
      <c r="M270" s="515">
        <f>SUM(M261:M265)</f>
        <v>6854.5440384999993</v>
      </c>
      <c r="N270" s="515">
        <f>SUM(N261:N265)</f>
        <v>8568.1800481249993</v>
      </c>
      <c r="O270" s="515">
        <f>SUM(O261:O265)</f>
        <v>10281.816057749998</v>
      </c>
    </row>
    <row r="271" spans="2:16" s="488" customFormat="1" ht="12.6" outlineLevel="1" thickBot="1">
      <c r="B271" s="483"/>
      <c r="C271" s="599" t="s">
        <v>53</v>
      </c>
      <c r="D271" s="478"/>
      <c r="E271" s="478"/>
      <c r="F271" s="484"/>
      <c r="G271" s="484"/>
      <c r="H271" s="484"/>
      <c r="I271" s="484"/>
      <c r="J271" s="484"/>
      <c r="K271" s="564">
        <f>SUM(K269:K270)</f>
        <v>3427.2720192499996</v>
      </c>
      <c r="L271" s="564">
        <f>SUM(L269:L270)</f>
        <v>5140.9080288749992</v>
      </c>
      <c r="M271" s="564">
        <f>SUM(M269:M270)</f>
        <v>6854.5440384999993</v>
      </c>
      <c r="N271" s="564">
        <f>SUM(N269:N270)</f>
        <v>8568.1800481249993</v>
      </c>
      <c r="O271" s="564">
        <f>SUM(O269:O270)</f>
        <v>10281.816057749998</v>
      </c>
    </row>
    <row r="272" spans="2:16" s="488" customFormat="1" outlineLevel="1">
      <c r="B272" s="483"/>
      <c r="C272" s="599"/>
      <c r="D272" s="478"/>
      <c r="E272" s="478"/>
      <c r="F272" s="484"/>
      <c r="G272" s="484"/>
      <c r="H272" s="484"/>
      <c r="I272" s="484"/>
      <c r="J272" s="484"/>
      <c r="K272" s="511"/>
      <c r="L272" s="511"/>
      <c r="M272" s="511"/>
      <c r="N272" s="511"/>
      <c r="O272" s="511"/>
    </row>
    <row r="273" spans="1:16" s="488" customFormat="1" outlineLevel="1">
      <c r="B273" s="483"/>
      <c r="C273" s="599"/>
      <c r="D273" s="478"/>
      <c r="E273" s="478"/>
      <c r="F273" s="484"/>
      <c r="G273" s="484"/>
      <c r="H273" s="484"/>
      <c r="I273" s="484"/>
      <c r="J273" s="484"/>
      <c r="K273" s="511"/>
      <c r="L273" s="511"/>
      <c r="M273" s="511"/>
      <c r="N273" s="511"/>
      <c r="O273" s="511"/>
    </row>
    <row r="274" spans="1:16" s="488" customFormat="1" outlineLevel="1">
      <c r="C274" s="706"/>
      <c r="E274" s="478"/>
      <c r="F274" s="484"/>
      <c r="G274" s="484"/>
      <c r="H274" s="484"/>
      <c r="I274" s="484"/>
      <c r="J274" s="484"/>
      <c r="K274" s="487"/>
      <c r="L274" s="487"/>
      <c r="M274" s="487"/>
      <c r="N274" s="487"/>
      <c r="O274" s="707" t="s">
        <v>188</v>
      </c>
      <c r="P274" s="466"/>
    </row>
    <row r="275" spans="1:16" s="488" customFormat="1" outlineLevel="1">
      <c r="C275" s="706"/>
      <c r="E275" s="478"/>
      <c r="F275" s="484"/>
      <c r="G275" s="484"/>
      <c r="H275" s="484"/>
      <c r="I275" s="484"/>
      <c r="J275" s="484"/>
      <c r="K275" s="487"/>
      <c r="L275" s="487"/>
      <c r="M275" s="487"/>
      <c r="N275" s="487"/>
      <c r="O275" s="708" t="s">
        <v>263</v>
      </c>
      <c r="P275" s="466"/>
    </row>
    <row r="276" spans="1:16" s="488" customFormat="1" outlineLevel="1">
      <c r="C276" s="706"/>
      <c r="E276" s="478"/>
      <c r="F276" s="484"/>
      <c r="G276" s="484"/>
      <c r="H276" s="484"/>
      <c r="I276" s="484"/>
      <c r="J276" s="484"/>
      <c r="K276" s="487"/>
      <c r="L276" s="487"/>
      <c r="M276" s="487"/>
      <c r="N276" s="487"/>
      <c r="O276" s="708"/>
      <c r="P276" s="466"/>
    </row>
    <row r="277" spans="1:16" s="488" customFormat="1" outlineLevel="1">
      <c r="B277" s="670"/>
      <c r="C277" s="670"/>
      <c r="D277" s="518"/>
      <c r="E277" s="518"/>
      <c r="F277" s="520"/>
      <c r="G277" s="520"/>
      <c r="H277" s="520"/>
      <c r="I277" s="520"/>
      <c r="J277" s="520"/>
      <c r="K277" s="672"/>
      <c r="L277" s="672"/>
      <c r="M277" s="672"/>
      <c r="N277" s="672"/>
      <c r="O277" s="672"/>
    </row>
    <row r="278" spans="1:16" s="488" customFormat="1">
      <c r="B278" s="483"/>
      <c r="C278" s="483"/>
      <c r="D278" s="478"/>
      <c r="E278" s="478"/>
      <c r="F278" s="484"/>
      <c r="G278" s="484"/>
      <c r="H278" s="484"/>
      <c r="I278" s="484"/>
      <c r="J278" s="484"/>
      <c r="K278" s="487"/>
      <c r="L278" s="487"/>
      <c r="M278" s="487"/>
      <c r="N278" s="487"/>
      <c r="O278" s="487"/>
    </row>
    <row r="279" spans="1:16" s="488" customFormat="1">
      <c r="A279" s="488" t="s">
        <v>80</v>
      </c>
      <c r="B279" s="626" t="s">
        <v>40</v>
      </c>
      <c r="C279" s="627"/>
      <c r="D279" s="628"/>
      <c r="E279" s="628"/>
      <c r="F279" s="629"/>
      <c r="G279" s="629"/>
      <c r="H279" s="630"/>
      <c r="I279" s="630"/>
      <c r="J279" s="630"/>
      <c r="K279" s="630"/>
      <c r="L279" s="630"/>
      <c r="M279" s="630"/>
      <c r="N279" s="630"/>
      <c r="O279" s="630"/>
    </row>
    <row r="280" spans="1:16" s="488" customFormat="1" outlineLevel="1">
      <c r="B280" s="477"/>
      <c r="C280" s="477"/>
      <c r="D280" s="478"/>
      <c r="E280" s="478"/>
      <c r="F280" s="479"/>
      <c r="G280" s="479"/>
      <c r="H280" s="480"/>
      <c r="I280" s="480"/>
      <c r="J280" s="481"/>
      <c r="K280" s="482"/>
      <c r="L280" s="482"/>
      <c r="M280" s="482"/>
      <c r="N280" s="482"/>
      <c r="O280" s="482"/>
    </row>
    <row r="281" spans="1:16" s="488" customFormat="1" ht="12.6" outlineLevel="1" thickBot="1">
      <c r="B281" s="483" t="s">
        <v>344</v>
      </c>
      <c r="C281" s="483"/>
      <c r="D281" s="478"/>
      <c r="E281" s="478"/>
      <c r="F281" s="484"/>
      <c r="G281" s="484"/>
      <c r="H281" s="480"/>
      <c r="I281" s="484"/>
      <c r="J281" s="485">
        <f>K281-1</f>
        <v>2024</v>
      </c>
      <c r="K281" s="486">
        <f>$K$5</f>
        <v>2025</v>
      </c>
      <c r="L281" s="486">
        <f>K281+1</f>
        <v>2026</v>
      </c>
      <c r="M281" s="486">
        <f>L281+1</f>
        <v>2027</v>
      </c>
      <c r="N281" s="486">
        <f>M281+1</f>
        <v>2028</v>
      </c>
      <c r="O281" s="486">
        <f>N281+1</f>
        <v>2029</v>
      </c>
      <c r="P281" s="466"/>
    </row>
    <row r="282" spans="1:16" s="488" customFormat="1" outlineLevel="1">
      <c r="B282" s="483" t="str">
        <f>$B$6</f>
        <v>Model Running: Base Case Drivers</v>
      </c>
      <c r="C282" s="483"/>
      <c r="D282" s="478"/>
      <c r="E282" s="478"/>
      <c r="F282" s="484"/>
      <c r="G282" s="484"/>
      <c r="H282" s="484"/>
      <c r="I282" s="484"/>
      <c r="J282" s="484"/>
      <c r="K282" s="487"/>
      <c r="L282" s="487"/>
      <c r="M282" s="487"/>
      <c r="N282" s="487"/>
      <c r="O282" s="487"/>
    </row>
    <row r="283" spans="1:16" s="488" customFormat="1" outlineLevel="1">
      <c r="B283" s="483"/>
      <c r="C283" s="483"/>
      <c r="D283" s="478"/>
      <c r="E283" s="478"/>
      <c r="F283" s="484"/>
      <c r="G283" s="484"/>
      <c r="H283" s="484"/>
      <c r="I283" s="484"/>
      <c r="J283" s="484"/>
      <c r="K283" s="487"/>
      <c r="L283" s="487"/>
      <c r="M283" s="487"/>
      <c r="N283" s="487"/>
      <c r="O283" s="487"/>
    </row>
    <row r="284" spans="1:16" s="488" customFormat="1" outlineLevel="1">
      <c r="B284" s="599" t="s">
        <v>41</v>
      </c>
      <c r="D284" s="478"/>
      <c r="E284" s="478"/>
      <c r="F284" s="484"/>
      <c r="G284" s="484"/>
      <c r="H284" s="484"/>
      <c r="I284" s="709"/>
      <c r="J284" s="710">
        <f>J238</f>
        <v>0</v>
      </c>
      <c r="K284" s="710">
        <f>Inputs!H38</f>
        <v>17136.360096249999</v>
      </c>
      <c r="L284" s="710">
        <f>Inputs!I38</f>
        <v>8568.1800481249993</v>
      </c>
      <c r="M284" s="710">
        <f>Inputs!J38</f>
        <v>8568.1800481249993</v>
      </c>
      <c r="N284" s="710">
        <f>Inputs!K38</f>
        <v>8568.1800481249993</v>
      </c>
      <c r="O284" s="711">
        <f>Inputs!L38</f>
        <v>8568.1800481249993</v>
      </c>
      <c r="P284" s="466"/>
    </row>
    <row r="285" spans="1:16" s="488" customFormat="1" outlineLevel="1">
      <c r="B285" s="483"/>
      <c r="C285" s="483"/>
      <c r="D285" s="478"/>
      <c r="E285" s="478"/>
      <c r="F285" s="484"/>
      <c r="G285" s="484"/>
      <c r="H285" s="484"/>
      <c r="I285" s="484"/>
      <c r="J285" s="484"/>
      <c r="K285" s="487"/>
      <c r="L285" s="487"/>
      <c r="M285" s="487"/>
      <c r="N285" s="487"/>
      <c r="O285" s="487"/>
      <c r="P285" s="634"/>
    </row>
    <row r="286" spans="1:16" s="488" customFormat="1" outlineLevel="1">
      <c r="B286" s="489" t="s">
        <v>58</v>
      </c>
      <c r="C286" s="712"/>
      <c r="D286" s="712"/>
      <c r="E286" s="712"/>
      <c r="F286" s="713">
        <f>Transaction!$N$34</f>
        <v>0.5</v>
      </c>
      <c r="G286" s="484"/>
      <c r="H286" s="484"/>
      <c r="I286" s="484"/>
      <c r="J286" s="484"/>
      <c r="K286" s="487"/>
      <c r="L286" s="487"/>
      <c r="M286" s="487"/>
      <c r="N286" s="487"/>
      <c r="O286" s="487"/>
      <c r="P286" s="634"/>
    </row>
    <row r="287" spans="1:16" s="488" customFormat="1" outlineLevel="1">
      <c r="B287" s="714" t="s">
        <v>43</v>
      </c>
      <c r="C287" s="670"/>
      <c r="D287" s="518"/>
      <c r="E287" s="518"/>
      <c r="F287" s="715">
        <f>Transaction!$N$37</f>
        <v>0.3</v>
      </c>
      <c r="G287" s="484"/>
      <c r="H287" s="484"/>
      <c r="I287" s="484"/>
      <c r="J287" s="484"/>
      <c r="K287" s="487"/>
      <c r="L287" s="487"/>
      <c r="M287" s="487"/>
      <c r="N287" s="487"/>
      <c r="O287" s="487"/>
      <c r="P287" s="466"/>
    </row>
    <row r="288" spans="1:16" s="488" customFormat="1" outlineLevel="1">
      <c r="B288" s="508"/>
      <c r="C288" s="716"/>
      <c r="D288" s="716"/>
      <c r="E288" s="716"/>
      <c r="F288" s="717"/>
      <c r="G288" s="484"/>
      <c r="H288" s="484"/>
      <c r="I288" s="484"/>
      <c r="J288" s="484"/>
      <c r="K288" s="718"/>
      <c r="L288" s="718"/>
      <c r="M288" s="718"/>
      <c r="N288" s="718"/>
      <c r="O288" s="718"/>
      <c r="P288" s="466"/>
    </row>
    <row r="289" spans="2:16" s="488" customFormat="1" outlineLevel="1">
      <c r="B289" s="508"/>
      <c r="C289" s="716"/>
      <c r="D289" s="716"/>
      <c r="E289" s="716"/>
      <c r="F289" s="717"/>
      <c r="G289" s="484"/>
      <c r="H289" s="484"/>
      <c r="I289" s="484"/>
      <c r="J289" s="484"/>
      <c r="K289" s="718"/>
      <c r="L289" s="718"/>
      <c r="M289" s="718"/>
      <c r="N289" s="718"/>
      <c r="O289" s="718"/>
      <c r="P289" s="466"/>
    </row>
    <row r="290" spans="2:16" s="488" customFormat="1" ht="13.2" outlineLevel="1">
      <c r="B290" s="719" t="s">
        <v>805</v>
      </c>
      <c r="D290" s="478"/>
      <c r="E290" s="478"/>
      <c r="F290" s="484"/>
      <c r="G290" s="484"/>
      <c r="H290" s="484"/>
      <c r="I290" s="484"/>
      <c r="J290" s="484"/>
      <c r="K290" s="487"/>
      <c r="L290" s="487"/>
      <c r="M290" s="487"/>
      <c r="N290" s="487"/>
      <c r="O290" s="487"/>
      <c r="P290" s="634"/>
    </row>
    <row r="291" spans="2:16" s="488" customFormat="1" outlineLevel="1">
      <c r="B291" s="599"/>
      <c r="C291" s="599" t="s">
        <v>7</v>
      </c>
      <c r="D291" s="478"/>
      <c r="E291" s="478"/>
      <c r="F291" s="484"/>
      <c r="G291" s="484"/>
      <c r="H291" s="484"/>
      <c r="I291" s="511"/>
      <c r="J291" s="515"/>
      <c r="K291" s="515">
        <f>J294</f>
        <v>0</v>
      </c>
      <c r="L291" s="515">
        <f>K294</f>
        <v>13709.088076999999</v>
      </c>
      <c r="M291" s="515">
        <f>L294</f>
        <v>17136.360096249999</v>
      </c>
      <c r="N291" s="515">
        <f>M294</f>
        <v>18849.996105874998</v>
      </c>
      <c r="O291" s="515">
        <f>N294</f>
        <v>18849.996105874998</v>
      </c>
      <c r="P291" s="634"/>
    </row>
    <row r="292" spans="2:16" s="488" customFormat="1" outlineLevel="1">
      <c r="B292" s="599"/>
      <c r="C292" s="599" t="s">
        <v>41</v>
      </c>
      <c r="D292" s="478"/>
      <c r="E292" s="478"/>
      <c r="F292" s="484"/>
      <c r="G292" s="484"/>
      <c r="H292" s="484"/>
      <c r="I292" s="511"/>
      <c r="J292" s="720"/>
      <c r="K292" s="515">
        <f>K284</f>
        <v>17136.360096249999</v>
      </c>
      <c r="L292" s="515">
        <f>L284</f>
        <v>8568.1800481249993</v>
      </c>
      <c r="M292" s="515">
        <f>M284</f>
        <v>8568.1800481249993</v>
      </c>
      <c r="N292" s="515">
        <f>N284</f>
        <v>8568.1800481249993</v>
      </c>
      <c r="O292" s="515">
        <f>O284</f>
        <v>8568.1800481249993</v>
      </c>
      <c r="P292" s="634"/>
    </row>
    <row r="293" spans="2:16" s="488" customFormat="1" outlineLevel="1">
      <c r="B293" s="599"/>
      <c r="C293" s="599" t="s">
        <v>42</v>
      </c>
      <c r="D293" s="478"/>
      <c r="E293" s="478"/>
      <c r="F293" s="484"/>
      <c r="G293" s="484"/>
      <c r="H293" s="484"/>
      <c r="I293" s="511"/>
      <c r="J293" s="521"/>
      <c r="K293" s="557">
        <f>-K271</f>
        <v>-3427.2720192499996</v>
      </c>
      <c r="L293" s="557">
        <f>-L271</f>
        <v>-5140.9080288749992</v>
      </c>
      <c r="M293" s="557">
        <f>-M271</f>
        <v>-6854.5440384999993</v>
      </c>
      <c r="N293" s="557">
        <f>-N271</f>
        <v>-8568.1800481249993</v>
      </c>
      <c r="O293" s="557">
        <f>-O271</f>
        <v>-10281.816057749998</v>
      </c>
      <c r="P293" s="634"/>
    </row>
    <row r="294" spans="2:16" s="488" customFormat="1" outlineLevel="1">
      <c r="B294" s="599"/>
      <c r="C294" s="599" t="s">
        <v>8</v>
      </c>
      <c r="D294" s="478"/>
      <c r="E294" s="478"/>
      <c r="F294" s="484"/>
      <c r="G294" s="484"/>
      <c r="H294" s="560"/>
      <c r="I294" s="511"/>
      <c r="J294" s="515">
        <f>+Transaction!I35</f>
        <v>0</v>
      </c>
      <c r="K294" s="515">
        <f>SUM(K291:K293)</f>
        <v>13709.088076999999</v>
      </c>
      <c r="L294" s="515">
        <f>SUM(L291:L293)</f>
        <v>17136.360096249999</v>
      </c>
      <c r="M294" s="515">
        <f>SUM(M291:M293)</f>
        <v>18849.996105874998</v>
      </c>
      <c r="N294" s="515">
        <f>SUM(N291:N293)</f>
        <v>18849.996105874998</v>
      </c>
      <c r="O294" s="515">
        <f>SUM(O291:O293)</f>
        <v>17136.360096249999</v>
      </c>
      <c r="P294" s="634"/>
    </row>
    <row r="295" spans="2:16" s="488" customFormat="1" outlineLevel="1">
      <c r="B295" s="599"/>
      <c r="C295" s="599"/>
      <c r="D295" s="478"/>
      <c r="E295" s="478"/>
      <c r="F295" s="484"/>
      <c r="G295" s="484"/>
      <c r="H295" s="560"/>
      <c r="I295" s="511"/>
      <c r="J295" s="562"/>
      <c r="K295" s="515"/>
      <c r="L295" s="515"/>
      <c r="M295" s="515"/>
      <c r="N295" s="515"/>
      <c r="O295" s="515"/>
      <c r="P295" s="634"/>
    </row>
    <row r="296" spans="2:16" s="488" customFormat="1" outlineLevel="1">
      <c r="B296" s="483"/>
      <c r="C296" s="483"/>
      <c r="D296" s="478" t="s">
        <v>80</v>
      </c>
      <c r="E296" s="478"/>
      <c r="F296" s="484"/>
      <c r="G296" s="484"/>
      <c r="H296" s="484"/>
      <c r="I296" s="484"/>
      <c r="J296" s="574"/>
      <c r="K296" s="574"/>
      <c r="L296" s="574"/>
      <c r="M296" s="574"/>
      <c r="N296" s="574"/>
      <c r="O296" s="574"/>
      <c r="P296" s="487"/>
    </row>
    <row r="297" spans="2:16" s="488" customFormat="1" ht="13.2" outlineLevel="1">
      <c r="B297" s="705" t="s">
        <v>806</v>
      </c>
      <c r="D297" s="478"/>
      <c r="E297" s="478"/>
      <c r="F297" s="484"/>
      <c r="G297" s="484"/>
      <c r="H297" s="484"/>
      <c r="I297" s="484"/>
      <c r="J297" s="574"/>
      <c r="K297" s="574"/>
      <c r="L297" s="574"/>
      <c r="M297" s="574"/>
      <c r="N297" s="574"/>
      <c r="O297" s="574"/>
      <c r="P297" s="487"/>
    </row>
    <row r="298" spans="2:16" s="488" customFormat="1" outlineLevel="1">
      <c r="B298" s="599"/>
      <c r="C298" s="599" t="s">
        <v>7</v>
      </c>
      <c r="D298" s="478"/>
      <c r="E298" s="478"/>
      <c r="F298" s="484"/>
      <c r="G298" s="484"/>
      <c r="H298" s="484"/>
      <c r="I298" s="511"/>
      <c r="J298" s="515"/>
      <c r="K298" s="515">
        <f>J301</f>
        <v>0</v>
      </c>
      <c r="L298" s="515">
        <f>K301</f>
        <v>14565.9060818125</v>
      </c>
      <c r="M298" s="515">
        <f>L301</f>
        <v>17479.087298175</v>
      </c>
      <c r="N298" s="515">
        <f>M301</f>
        <v>19518.31414962875</v>
      </c>
      <c r="O298" s="515">
        <f>N301</f>
        <v>20945.772945646375</v>
      </c>
      <c r="P298" s="487"/>
    </row>
    <row r="299" spans="2:16" s="488" customFormat="1" outlineLevel="1">
      <c r="B299" s="599"/>
      <c r="C299" s="599" t="s">
        <v>41</v>
      </c>
      <c r="D299" s="478"/>
      <c r="E299" s="478"/>
      <c r="F299" s="484"/>
      <c r="G299" s="484"/>
      <c r="H299" s="484"/>
      <c r="I299" s="511"/>
      <c r="J299" s="515"/>
      <c r="K299" s="515">
        <f>K292</f>
        <v>17136.360096249999</v>
      </c>
      <c r="L299" s="515">
        <f>L292</f>
        <v>8568.1800481249993</v>
      </c>
      <c r="M299" s="515">
        <f>M292</f>
        <v>8568.1800481249993</v>
      </c>
      <c r="N299" s="515">
        <f>N292</f>
        <v>8568.1800481249993</v>
      </c>
      <c r="O299" s="515">
        <f>O292</f>
        <v>8568.1800481249993</v>
      </c>
      <c r="P299" s="487"/>
    </row>
    <row r="300" spans="2:16" s="488" customFormat="1" ht="13.2" outlineLevel="1">
      <c r="B300" s="599"/>
      <c r="C300" s="599" t="s">
        <v>807</v>
      </c>
      <c r="D300" s="478"/>
      <c r="E300" s="478"/>
      <c r="F300" s="484"/>
      <c r="G300" s="484"/>
      <c r="H300" s="484"/>
      <c r="I300" s="511"/>
      <c r="J300" s="521"/>
      <c r="K300" s="521">
        <f>-(K298+K299*$F$286)*$F$287</f>
        <v>-2570.4540144374996</v>
      </c>
      <c r="L300" s="521">
        <f>-(L298+L299*$F$286)*$F$287</f>
        <v>-5654.9988317624993</v>
      </c>
      <c r="M300" s="521">
        <f>-(M298+M299*$F$286)*$F$287</f>
        <v>-6528.9531966712493</v>
      </c>
      <c r="N300" s="521">
        <f>-(N298+N299*$F$286)*$F$287</f>
        <v>-7140.7212521073743</v>
      </c>
      <c r="O300" s="521">
        <f>-(O298+O299*$F$286)*$F$287</f>
        <v>-7568.9588909126624</v>
      </c>
      <c r="P300" s="487"/>
    </row>
    <row r="301" spans="2:16" s="488" customFormat="1" outlineLevel="1">
      <c r="B301" s="599"/>
      <c r="C301" s="599" t="s">
        <v>8</v>
      </c>
      <c r="D301" s="478"/>
      <c r="E301" s="478"/>
      <c r="F301" s="484"/>
      <c r="G301" s="484"/>
      <c r="H301" s="494"/>
      <c r="I301" s="511"/>
      <c r="J301" s="562">
        <f>+Transaction!N35</f>
        <v>0</v>
      </c>
      <c r="K301" s="515">
        <f>SUM(K298:K300)</f>
        <v>14565.9060818125</v>
      </c>
      <c r="L301" s="515">
        <f>SUM(L298:L300)</f>
        <v>17479.087298175</v>
      </c>
      <c r="M301" s="515">
        <f>SUM(M298:M300)</f>
        <v>19518.31414962875</v>
      </c>
      <c r="N301" s="515">
        <f>SUM(N298:N300)</f>
        <v>20945.772945646375</v>
      </c>
      <c r="O301" s="515">
        <f>SUM(O298:O300)</f>
        <v>21944.994102858713</v>
      </c>
      <c r="P301" s="487"/>
    </row>
    <row r="302" spans="2:16" s="488" customFormat="1" outlineLevel="1">
      <c r="B302" s="483"/>
      <c r="C302" s="483"/>
      <c r="D302" s="478"/>
      <c r="E302" s="478"/>
      <c r="F302" s="484"/>
      <c r="G302" s="484"/>
      <c r="H302" s="484"/>
      <c r="I302" s="484"/>
      <c r="J302" s="484"/>
      <c r="K302" s="487"/>
      <c r="L302" s="487"/>
      <c r="M302" s="487"/>
      <c r="N302" s="487"/>
      <c r="O302" s="487"/>
    </row>
    <row r="303" spans="2:16" s="488" customFormat="1" outlineLevel="1">
      <c r="B303" s="483"/>
      <c r="C303" s="483"/>
      <c r="D303" s="478"/>
      <c r="E303" s="478"/>
      <c r="F303" s="484"/>
      <c r="G303" s="484"/>
      <c r="H303" s="484"/>
      <c r="I303" s="484"/>
      <c r="J303" s="484"/>
      <c r="K303" s="487"/>
      <c r="L303" s="487"/>
      <c r="M303" s="487"/>
      <c r="N303" s="487"/>
      <c r="O303" s="487"/>
    </row>
    <row r="304" spans="2:16" s="488" customFormat="1" outlineLevel="1">
      <c r="B304" s="483"/>
      <c r="C304" s="483"/>
      <c r="D304" s="478"/>
      <c r="E304" s="478"/>
      <c r="F304" s="484"/>
      <c r="G304" s="484"/>
      <c r="H304" s="484"/>
      <c r="I304" s="484"/>
      <c r="J304" s="484"/>
      <c r="K304" s="487"/>
      <c r="L304" s="487"/>
      <c r="M304" s="487"/>
      <c r="N304" s="487"/>
      <c r="O304" s="487"/>
    </row>
    <row r="305" spans="1:16" s="488" customFormat="1" outlineLevel="1">
      <c r="C305" s="706"/>
      <c r="E305" s="478"/>
      <c r="F305" s="484"/>
      <c r="G305" s="484"/>
      <c r="H305" s="484"/>
      <c r="I305" s="484"/>
      <c r="J305" s="484"/>
      <c r="K305" s="487"/>
      <c r="L305" s="487"/>
      <c r="M305" s="487"/>
      <c r="N305" s="487"/>
      <c r="O305" s="707" t="s">
        <v>189</v>
      </c>
      <c r="P305" s="466"/>
    </row>
    <row r="306" spans="1:16" s="488" customFormat="1" outlineLevel="1">
      <c r="B306" s="483"/>
      <c r="C306" s="483"/>
      <c r="D306" s="478"/>
      <c r="E306" s="478"/>
      <c r="F306" s="484"/>
      <c r="G306" s="484"/>
      <c r="H306" s="484"/>
      <c r="I306" s="484"/>
      <c r="J306" s="484"/>
      <c r="K306" s="487"/>
      <c r="L306" s="487"/>
      <c r="M306" s="487"/>
      <c r="N306" s="487"/>
      <c r="O306" s="708" t="s">
        <v>264</v>
      </c>
    </row>
    <row r="307" spans="1:16" s="488" customFormat="1" outlineLevel="1">
      <c r="B307" s="670"/>
      <c r="C307" s="670"/>
      <c r="D307" s="518"/>
      <c r="E307" s="518"/>
      <c r="F307" s="520"/>
      <c r="G307" s="520"/>
      <c r="H307" s="520"/>
      <c r="I307" s="520"/>
      <c r="J307" s="520"/>
      <c r="K307" s="672"/>
      <c r="L307" s="672"/>
      <c r="M307" s="672"/>
      <c r="N307" s="672"/>
      <c r="O307" s="672"/>
    </row>
    <row r="308" spans="1:16" s="488" customFormat="1">
      <c r="B308" s="483"/>
      <c r="C308" s="483"/>
      <c r="D308" s="478"/>
      <c r="E308" s="478"/>
      <c r="F308" s="484"/>
      <c r="G308" s="484"/>
      <c r="H308" s="484"/>
      <c r="I308" s="484"/>
      <c r="J308" s="484"/>
      <c r="K308" s="487"/>
      <c r="L308" s="487"/>
      <c r="M308" s="487"/>
      <c r="N308" s="487"/>
      <c r="O308" s="487"/>
    </row>
    <row r="309" spans="1:16" s="488" customFormat="1">
      <c r="A309" s="488" t="s">
        <v>80</v>
      </c>
      <c r="B309" s="626" t="s">
        <v>56</v>
      </c>
      <c r="C309" s="627"/>
      <c r="D309" s="628"/>
      <c r="E309" s="628"/>
      <c r="F309" s="629"/>
      <c r="G309" s="629"/>
      <c r="H309" s="630"/>
      <c r="I309" s="630"/>
      <c r="J309" s="630"/>
      <c r="K309" s="630"/>
      <c r="L309" s="630"/>
      <c r="M309" s="630"/>
      <c r="N309" s="630"/>
      <c r="O309" s="630"/>
    </row>
    <row r="310" spans="1:16" s="488" customFormat="1" outlineLevel="1">
      <c r="B310" s="477"/>
      <c r="C310" s="477"/>
      <c r="D310" s="478"/>
      <c r="E310" s="478"/>
      <c r="F310" s="479"/>
      <c r="G310" s="479"/>
      <c r="H310" s="480"/>
      <c r="I310" s="480"/>
      <c r="J310" s="481"/>
      <c r="K310" s="482"/>
      <c r="L310" s="482"/>
      <c r="M310" s="482"/>
      <c r="N310" s="482"/>
      <c r="O310" s="482"/>
    </row>
    <row r="311" spans="1:16" s="488" customFormat="1" ht="12.6" outlineLevel="1" thickBot="1">
      <c r="B311" s="483" t="s">
        <v>344</v>
      </c>
      <c r="C311" s="483"/>
      <c r="D311" s="478"/>
      <c r="E311" s="478"/>
      <c r="F311" s="484"/>
      <c r="G311" s="484"/>
      <c r="H311" s="484"/>
      <c r="I311" s="484"/>
      <c r="J311" s="485">
        <f>K311-1</f>
        <v>2024</v>
      </c>
      <c r="K311" s="486">
        <f>$K$5</f>
        <v>2025</v>
      </c>
      <c r="L311" s="486">
        <f>K311+1</f>
        <v>2026</v>
      </c>
      <c r="M311" s="486">
        <f>L311+1</f>
        <v>2027</v>
      </c>
      <c r="N311" s="486">
        <f>M311+1</f>
        <v>2028</v>
      </c>
      <c r="O311" s="486">
        <f>N311+1</f>
        <v>2029</v>
      </c>
      <c r="P311" s="466"/>
    </row>
    <row r="312" spans="1:16" s="488" customFormat="1" outlineLevel="1">
      <c r="B312" s="483" t="str">
        <f>$B$6</f>
        <v>Model Running: Base Case Drivers</v>
      </c>
      <c r="C312" s="483"/>
      <c r="D312" s="478"/>
      <c r="E312" s="478"/>
      <c r="F312" s="484"/>
      <c r="G312" s="484"/>
      <c r="H312" s="484"/>
      <c r="I312" s="484"/>
      <c r="J312" s="484"/>
      <c r="K312" s="487"/>
      <c r="L312" s="487"/>
      <c r="M312" s="487"/>
      <c r="N312" s="487"/>
      <c r="O312" s="487"/>
      <c r="P312" s="466"/>
    </row>
    <row r="313" spans="1:16" s="488" customFormat="1" outlineLevel="1">
      <c r="B313" s="483"/>
      <c r="C313" s="483"/>
      <c r="D313" s="478"/>
      <c r="E313" s="478"/>
      <c r="F313" s="484"/>
      <c r="G313" s="484"/>
      <c r="H313" s="484"/>
      <c r="I313" s="484"/>
      <c r="J313" s="484"/>
      <c r="K313" s="487"/>
      <c r="L313" s="487"/>
      <c r="M313" s="487"/>
      <c r="N313" s="487"/>
      <c r="O313" s="487"/>
      <c r="P313" s="466"/>
    </row>
    <row r="314" spans="1:16" s="488" customFormat="1" outlineLevel="1">
      <c r="B314" s="508" t="s">
        <v>46</v>
      </c>
      <c r="C314" s="599"/>
      <c r="D314" s="478"/>
      <c r="E314" s="478"/>
      <c r="F314" s="484"/>
      <c r="G314" s="484"/>
      <c r="H314" s="511"/>
      <c r="I314" s="511"/>
      <c r="J314" s="511"/>
      <c r="K314" s="721">
        <f>K121</f>
        <v>92601.556105750002</v>
      </c>
      <c r="L314" s="722">
        <f>L121</f>
        <v>111915.23489098052</v>
      </c>
      <c r="M314" s="722">
        <f>M121</f>
        <v>131995.00334819136</v>
      </c>
      <c r="N314" s="722">
        <f>N121</f>
        <v>154745.35600110868</v>
      </c>
      <c r="O314" s="723">
        <f>O121</f>
        <v>179782.83103702395</v>
      </c>
      <c r="P314" s="466"/>
    </row>
    <row r="315" spans="1:16" s="488" customFormat="1" outlineLevel="1">
      <c r="B315" s="599" t="s">
        <v>39</v>
      </c>
      <c r="C315" s="483"/>
      <c r="D315" s="478"/>
      <c r="E315" s="478"/>
      <c r="F315" s="484"/>
      <c r="G315" s="484"/>
      <c r="H315" s="484"/>
      <c r="I315" s="484"/>
      <c r="J315" s="484"/>
      <c r="K315" s="724">
        <f>IF(K325&gt;0,1,0)</f>
        <v>1</v>
      </c>
      <c r="L315" s="725">
        <f>IF(L325&gt;0,1,0)</f>
        <v>1</v>
      </c>
      <c r="M315" s="725">
        <f>IF(M325&gt;0,1,0)</f>
        <v>1</v>
      </c>
      <c r="N315" s="725">
        <f>IF(N325&gt;0,1,0)</f>
        <v>1</v>
      </c>
      <c r="O315" s="726">
        <f>IF(O325&gt;0,1,0)</f>
        <v>1</v>
      </c>
      <c r="P315" s="727"/>
    </row>
    <row r="316" spans="1:16" s="488" customFormat="1" outlineLevel="1">
      <c r="B316" s="483"/>
      <c r="C316" s="483"/>
      <c r="D316" s="478"/>
      <c r="E316" s="478"/>
      <c r="F316" s="484"/>
      <c r="G316" s="484"/>
      <c r="H316" s="484"/>
      <c r="I316" s="484"/>
      <c r="O316" s="487"/>
    </row>
    <row r="317" spans="1:16" s="488" customFormat="1" outlineLevel="1">
      <c r="B317" s="489" t="s">
        <v>38</v>
      </c>
      <c r="C317" s="728"/>
      <c r="D317" s="729"/>
      <c r="E317" s="729"/>
      <c r="F317" s="730">
        <f>Transaction!$I$28</f>
        <v>0.3</v>
      </c>
      <c r="G317" s="484"/>
      <c r="H317" s="484"/>
      <c r="I317" s="484"/>
      <c r="O317" s="487"/>
    </row>
    <row r="318" spans="1:16" outlineLevel="1">
      <c r="A318" s="488"/>
      <c r="B318" s="731" t="s">
        <v>190</v>
      </c>
      <c r="C318" s="533"/>
      <c r="D318" s="518"/>
      <c r="E318" s="518"/>
      <c r="F318" s="732">
        <f>IF(O336=0,0,1)</f>
        <v>0</v>
      </c>
      <c r="G318" s="484"/>
      <c r="H318" s="515"/>
      <c r="I318" s="515"/>
      <c r="J318" s="515"/>
      <c r="K318" s="515"/>
      <c r="L318" s="515"/>
      <c r="M318" s="515"/>
      <c r="N318" s="515"/>
      <c r="P318" s="466"/>
    </row>
    <row r="319" spans="1:16" s="488" customFormat="1" outlineLevel="1">
      <c r="B319" s="508"/>
      <c r="C319" s="733"/>
      <c r="D319" s="734"/>
      <c r="E319" s="734"/>
      <c r="F319" s="735"/>
      <c r="G319" s="484"/>
      <c r="H319" s="484"/>
      <c r="I319" s="484"/>
      <c r="O319" s="487"/>
    </row>
    <row r="320" spans="1:16" s="488" customFormat="1" outlineLevel="1">
      <c r="B320" s="483"/>
      <c r="C320" s="483"/>
      <c r="D320" s="478"/>
      <c r="E320" s="478"/>
      <c r="F320" s="736"/>
      <c r="G320" s="484"/>
      <c r="H320" s="484"/>
      <c r="I320" s="484"/>
      <c r="J320" s="484"/>
      <c r="K320" s="487"/>
      <c r="L320" s="487"/>
      <c r="M320" s="487"/>
      <c r="N320" s="487"/>
      <c r="O320" s="487"/>
    </row>
    <row r="321" spans="2:16" s="488" customFormat="1" outlineLevel="1">
      <c r="B321" s="633" t="s">
        <v>183</v>
      </c>
      <c r="C321" s="483"/>
      <c r="D321" s="478"/>
      <c r="E321" s="478"/>
      <c r="F321" s="484"/>
      <c r="G321" s="484"/>
      <c r="H321" s="484"/>
      <c r="I321" s="484"/>
      <c r="J321" s="484"/>
      <c r="K321" s="487"/>
      <c r="L321" s="487"/>
      <c r="M321" s="487"/>
      <c r="N321" s="487"/>
      <c r="O321" s="487"/>
    </row>
    <row r="322" spans="2:16" s="488" customFormat="1" outlineLevel="1">
      <c r="B322" s="483"/>
      <c r="C322" s="599" t="s">
        <v>21</v>
      </c>
      <c r="D322" s="478"/>
      <c r="E322" s="478"/>
      <c r="F322" s="484"/>
      <c r="G322" s="484"/>
      <c r="H322" s="511"/>
      <c r="I322" s="511"/>
      <c r="J322" s="511"/>
      <c r="K322" s="515">
        <f>K314</f>
        <v>92601.556105750002</v>
      </c>
      <c r="L322" s="515">
        <f>L314</f>
        <v>111915.23489098052</v>
      </c>
      <c r="M322" s="515">
        <f>M314</f>
        <v>131995.00334819136</v>
      </c>
      <c r="N322" s="515">
        <f>N314</f>
        <v>154745.35600110868</v>
      </c>
      <c r="O322" s="515">
        <f>O314</f>
        <v>179782.83103702395</v>
      </c>
    </row>
    <row r="323" spans="2:16" s="488" customFormat="1" outlineLevel="1">
      <c r="B323" s="483"/>
      <c r="C323" s="599" t="s">
        <v>22</v>
      </c>
      <c r="D323" s="478"/>
      <c r="E323" s="478"/>
      <c r="F323" s="484"/>
      <c r="G323" s="484"/>
      <c r="H323" s="484"/>
      <c r="I323" s="484"/>
      <c r="J323" s="484"/>
      <c r="K323" s="562">
        <f>-K293</f>
        <v>3427.2720192499996</v>
      </c>
      <c r="L323" s="562">
        <f>-L293</f>
        <v>5140.9080288749992</v>
      </c>
      <c r="M323" s="562">
        <f>-M293</f>
        <v>6854.5440384999993</v>
      </c>
      <c r="N323" s="562">
        <f>-N293</f>
        <v>8568.1800481249993</v>
      </c>
      <c r="O323" s="562">
        <f>-O293</f>
        <v>10281.816057749998</v>
      </c>
    </row>
    <row r="324" spans="2:16" s="488" customFormat="1" ht="13.2" outlineLevel="1">
      <c r="B324" s="483"/>
      <c r="C324" s="599" t="s">
        <v>808</v>
      </c>
      <c r="D324" s="478"/>
      <c r="E324" s="478"/>
      <c r="F324" s="484"/>
      <c r="G324" s="484"/>
      <c r="H324" s="484"/>
      <c r="I324" s="484"/>
      <c r="J324" s="484"/>
      <c r="K324" s="557">
        <f>K300</f>
        <v>-2570.4540144374996</v>
      </c>
      <c r="L324" s="557">
        <f>L300</f>
        <v>-5654.9988317624993</v>
      </c>
      <c r="M324" s="557">
        <f>M300</f>
        <v>-6528.9531966712493</v>
      </c>
      <c r="N324" s="557">
        <f>N300</f>
        <v>-7140.7212521073743</v>
      </c>
      <c r="O324" s="557">
        <f>O300</f>
        <v>-7568.9588909126624</v>
      </c>
    </row>
    <row r="325" spans="2:16" s="488" customFormat="1" outlineLevel="1">
      <c r="B325" s="483"/>
      <c r="C325" s="599" t="s">
        <v>44</v>
      </c>
      <c r="D325" s="478"/>
      <c r="E325" s="478"/>
      <c r="F325" s="484"/>
      <c r="G325" s="484"/>
      <c r="H325" s="511"/>
      <c r="I325" s="511"/>
      <c r="J325" s="511"/>
      <c r="K325" s="515">
        <f>SUM(K322:K324)</f>
        <v>93458.374110562494</v>
      </c>
      <c r="L325" s="515">
        <f>SUM(L322:L324)</f>
        <v>111401.14408809302</v>
      </c>
      <c r="M325" s="515">
        <f>SUM(M322:M324)</f>
        <v>132320.59419002011</v>
      </c>
      <c r="N325" s="515">
        <f>SUM(N322:N324)</f>
        <v>156172.81479712631</v>
      </c>
      <c r="O325" s="515">
        <f>SUM(O322:O324)</f>
        <v>182495.68820386127</v>
      </c>
      <c r="P325" s="737"/>
    </row>
    <row r="326" spans="2:16" s="488" customFormat="1" outlineLevel="1">
      <c r="B326" s="483"/>
      <c r="C326" s="599"/>
      <c r="D326" s="478"/>
      <c r="E326" s="478"/>
      <c r="F326" s="484"/>
      <c r="G326" s="484"/>
      <c r="H326" s="484"/>
      <c r="I326" s="484"/>
      <c r="J326" s="484"/>
      <c r="K326" s="515"/>
      <c r="L326" s="515"/>
      <c r="M326" s="515"/>
      <c r="N326" s="515"/>
      <c r="O326" s="515"/>
      <c r="P326" s="737"/>
    </row>
    <row r="327" spans="2:16" s="488" customFormat="1" ht="13.2" outlineLevel="1">
      <c r="B327" s="633" t="s">
        <v>809</v>
      </c>
      <c r="C327" s="599"/>
      <c r="D327" s="478"/>
      <c r="E327" s="478"/>
      <c r="F327" s="484"/>
      <c r="G327" s="484"/>
      <c r="H327" s="484"/>
      <c r="I327" s="484"/>
      <c r="J327" s="484"/>
      <c r="K327" s="515"/>
      <c r="L327" s="515"/>
      <c r="M327" s="515"/>
      <c r="N327" s="515"/>
      <c r="O327" s="515"/>
      <c r="P327" s="737"/>
    </row>
    <row r="328" spans="2:16" s="488" customFormat="1" outlineLevel="1">
      <c r="B328" s="483"/>
      <c r="C328" s="599" t="s">
        <v>44</v>
      </c>
      <c r="D328" s="478"/>
      <c r="E328" s="478"/>
      <c r="F328" s="484"/>
      <c r="G328" s="484"/>
      <c r="H328" s="511"/>
      <c r="I328" s="511"/>
      <c r="J328" s="511"/>
      <c r="K328" s="515">
        <f>K325</f>
        <v>93458.374110562494</v>
      </c>
      <c r="L328" s="515">
        <f>L325</f>
        <v>111401.14408809302</v>
      </c>
      <c r="M328" s="515">
        <f>M325</f>
        <v>132320.59419002011</v>
      </c>
      <c r="N328" s="515">
        <f>N325</f>
        <v>156172.81479712631</v>
      </c>
      <c r="O328" s="515">
        <f>O325</f>
        <v>182495.68820386127</v>
      </c>
    </row>
    <row r="329" spans="2:16" s="488" customFormat="1" ht="13.2" outlineLevel="1">
      <c r="B329" s="483"/>
      <c r="C329" s="599" t="s">
        <v>810</v>
      </c>
      <c r="D329" s="478"/>
      <c r="E329" s="478"/>
      <c r="F329" s="484"/>
      <c r="G329" s="484"/>
      <c r="H329" s="484"/>
      <c r="I329" s="484"/>
      <c r="J329" s="484"/>
      <c r="K329" s="521">
        <f>K335</f>
        <v>0</v>
      </c>
      <c r="L329" s="521">
        <f>L335</f>
        <v>0</v>
      </c>
      <c r="M329" s="521">
        <f>M335</f>
        <v>0</v>
      </c>
      <c r="N329" s="521">
        <f>N335</f>
        <v>0</v>
      </c>
      <c r="O329" s="521">
        <f>O335</f>
        <v>0</v>
      </c>
    </row>
    <row r="330" spans="2:16" s="488" customFormat="1" outlineLevel="1">
      <c r="B330" s="483"/>
      <c r="C330" s="599" t="s">
        <v>23</v>
      </c>
      <c r="D330" s="478"/>
      <c r="E330" s="478"/>
      <c r="F330" s="484"/>
      <c r="G330" s="484"/>
      <c r="H330" s="484"/>
      <c r="I330" s="484"/>
      <c r="J330" s="484"/>
      <c r="K330" s="515">
        <f>MAX(SUM(K328:K329),0)</f>
        <v>93458.374110562494</v>
      </c>
      <c r="L330" s="515">
        <f>MAX(SUM(L328:L329),0)</f>
        <v>111401.14408809302</v>
      </c>
      <c r="M330" s="515">
        <f>MAX(SUM(M328:M329),0)</f>
        <v>132320.59419002011</v>
      </c>
      <c r="N330" s="515">
        <f>MAX(SUM(N328:N329),0)</f>
        <v>156172.81479712631</v>
      </c>
      <c r="O330" s="515">
        <f>MAX(SUM(O328:O329),0)</f>
        <v>182495.68820386127</v>
      </c>
    </row>
    <row r="331" spans="2:16" s="488" customFormat="1" outlineLevel="1">
      <c r="B331" s="483"/>
      <c r="C331" s="483"/>
      <c r="D331" s="478"/>
      <c r="E331" s="478"/>
      <c r="F331" s="484"/>
      <c r="G331" s="484"/>
      <c r="H331" s="484"/>
      <c r="I331" s="484"/>
      <c r="J331" s="484"/>
      <c r="K331" s="574"/>
      <c r="L331" s="574"/>
      <c r="M331" s="574"/>
      <c r="N331" s="574"/>
      <c r="O331" s="574"/>
    </row>
    <row r="332" spans="2:16" s="488" customFormat="1" outlineLevel="1">
      <c r="B332" s="633" t="s">
        <v>184</v>
      </c>
      <c r="C332" s="483"/>
      <c r="D332" s="478"/>
      <c r="E332" s="478"/>
      <c r="F332" s="484"/>
      <c r="G332" s="484"/>
      <c r="H332" s="484"/>
      <c r="I332" s="484"/>
      <c r="J332" s="484"/>
      <c r="K332" s="574"/>
      <c r="L332" s="574"/>
      <c r="M332" s="574"/>
      <c r="N332" s="574"/>
      <c r="O332" s="574"/>
    </row>
    <row r="333" spans="2:16" s="488" customFormat="1" outlineLevel="1">
      <c r="B333" s="483"/>
      <c r="C333" s="599" t="s">
        <v>7</v>
      </c>
      <c r="D333" s="478"/>
      <c r="E333" s="478"/>
      <c r="F333" s="484"/>
      <c r="G333" s="484"/>
      <c r="H333" s="484"/>
      <c r="I333" s="484"/>
      <c r="J333" s="484"/>
      <c r="K333" s="515">
        <f>J336</f>
        <v>0</v>
      </c>
      <c r="L333" s="515">
        <f>K336</f>
        <v>0</v>
      </c>
      <c r="M333" s="515">
        <f>L336</f>
        <v>0</v>
      </c>
      <c r="N333" s="515">
        <f>M336</f>
        <v>0</v>
      </c>
      <c r="O333" s="515">
        <f>N336</f>
        <v>0</v>
      </c>
    </row>
    <row r="334" spans="2:16" s="488" customFormat="1" outlineLevel="1">
      <c r="B334" s="483"/>
      <c r="C334" s="599" t="s">
        <v>34</v>
      </c>
      <c r="D334" s="478"/>
      <c r="E334" s="478"/>
      <c r="F334" s="484"/>
      <c r="G334" s="484"/>
      <c r="H334" s="484"/>
      <c r="I334" s="484"/>
      <c r="J334" s="484"/>
      <c r="K334" s="515">
        <f>-MIN(K322,0)</f>
        <v>0</v>
      </c>
      <c r="L334" s="515">
        <f>-MIN(L322,0)</f>
        <v>0</v>
      </c>
      <c r="M334" s="515">
        <f>-MIN(M322,0)</f>
        <v>0</v>
      </c>
      <c r="N334" s="515">
        <f>-MIN(N322,0)</f>
        <v>0</v>
      </c>
      <c r="O334" s="515">
        <f>-MIN(O322,0)</f>
        <v>0</v>
      </c>
      <c r="P334" s="737"/>
    </row>
    <row r="335" spans="2:16" s="488" customFormat="1" outlineLevel="1">
      <c r="B335" s="483"/>
      <c r="C335" s="599" t="s">
        <v>45</v>
      </c>
      <c r="D335" s="478"/>
      <c r="E335" s="478"/>
      <c r="F335" s="484"/>
      <c r="G335" s="484"/>
      <c r="H335" s="484"/>
      <c r="I335" s="484"/>
      <c r="J335" s="520"/>
      <c r="K335" s="521">
        <f>-MIN(K333,K328)*K315</f>
        <v>0</v>
      </c>
      <c r="L335" s="521">
        <f>-MIN(L333,L328)*L315</f>
        <v>0</v>
      </c>
      <c r="M335" s="521">
        <f>-MIN(M333,M328)*M315</f>
        <v>0</v>
      </c>
      <c r="N335" s="521">
        <f>-MIN(N333,N328)*N315</f>
        <v>0</v>
      </c>
      <c r="O335" s="521">
        <f>-MIN(O333,O328)*O315</f>
        <v>0</v>
      </c>
      <c r="P335" s="737"/>
    </row>
    <row r="336" spans="2:16" s="488" customFormat="1" outlineLevel="1">
      <c r="B336" s="483"/>
      <c r="C336" s="599" t="s">
        <v>8</v>
      </c>
      <c r="D336" s="478"/>
      <c r="E336" s="478"/>
      <c r="F336" s="484"/>
      <c r="G336" s="484"/>
      <c r="H336" s="484"/>
      <c r="I336" s="484"/>
      <c r="J336" s="562">
        <f>Transaction!$N$36</f>
        <v>0</v>
      </c>
      <c r="K336" s="515">
        <f>SUM(K333:K335)</f>
        <v>0</v>
      </c>
      <c r="L336" s="515">
        <f>SUM(L333:L335)</f>
        <v>0</v>
      </c>
      <c r="M336" s="515">
        <f>SUM(M333:M335)</f>
        <v>0</v>
      </c>
      <c r="N336" s="515">
        <f>SUM(N333:N335)</f>
        <v>0</v>
      </c>
      <c r="O336" s="515">
        <f>SUM(O333:O335)</f>
        <v>0</v>
      </c>
      <c r="P336" s="466"/>
    </row>
    <row r="337" spans="1:16" s="488" customFormat="1" outlineLevel="1">
      <c r="B337" s="483"/>
      <c r="C337" s="483"/>
      <c r="D337" s="478"/>
      <c r="E337" s="478"/>
      <c r="F337" s="484"/>
      <c r="G337" s="484"/>
      <c r="H337" s="484"/>
      <c r="I337" s="484"/>
      <c r="J337" s="484"/>
      <c r="K337" s="487"/>
      <c r="L337" s="487"/>
      <c r="M337" s="487"/>
      <c r="N337" s="487"/>
      <c r="O337" s="487"/>
    </row>
    <row r="338" spans="1:16" s="488" customFormat="1" outlineLevel="1">
      <c r="B338" s="738"/>
      <c r="C338" s="738"/>
      <c r="D338" s="739"/>
      <c r="E338" s="739"/>
      <c r="F338" s="740"/>
      <c r="G338" s="740"/>
      <c r="H338" s="740"/>
      <c r="I338" s="740"/>
      <c r="J338" s="740"/>
      <c r="K338" s="741"/>
      <c r="L338" s="741"/>
      <c r="M338" s="741"/>
      <c r="N338" s="741"/>
      <c r="O338" s="741"/>
      <c r="P338" s="466"/>
    </row>
    <row r="339" spans="1:16" s="488" customFormat="1" outlineLevel="1">
      <c r="B339" s="483"/>
      <c r="C339" s="483"/>
      <c r="D339" s="478"/>
      <c r="E339" s="478"/>
      <c r="F339" s="484"/>
      <c r="G339" s="484"/>
      <c r="H339" s="484"/>
      <c r="I339" s="484"/>
      <c r="J339" s="484"/>
      <c r="K339" s="487"/>
      <c r="L339" s="487"/>
      <c r="M339" s="487"/>
      <c r="N339" s="487"/>
      <c r="O339" s="487"/>
    </row>
    <row r="340" spans="1:16" s="488" customFormat="1" outlineLevel="1">
      <c r="B340" s="633" t="s">
        <v>185</v>
      </c>
      <c r="C340" s="483"/>
      <c r="D340" s="478"/>
      <c r="E340" s="478"/>
      <c r="F340" s="484"/>
      <c r="G340" s="484"/>
      <c r="H340" s="484"/>
      <c r="I340" s="484"/>
      <c r="J340" s="484"/>
      <c r="K340" s="487"/>
      <c r="L340" s="487"/>
      <c r="M340" s="487"/>
      <c r="N340" s="487"/>
      <c r="O340" s="487"/>
    </row>
    <row r="341" spans="1:16" s="488" customFormat="1" outlineLevel="1">
      <c r="B341" s="483"/>
      <c r="C341" s="599" t="s">
        <v>35</v>
      </c>
      <c r="D341" s="478"/>
      <c r="E341" s="478"/>
      <c r="F341" s="484"/>
      <c r="G341" s="484"/>
      <c r="H341" s="511"/>
      <c r="I341" s="511"/>
      <c r="J341" s="511"/>
      <c r="K341" s="515">
        <f>$F$317*K330</f>
        <v>28037.512233168749</v>
      </c>
      <c r="L341" s="580">
        <f>$F$317*L330</f>
        <v>33420.343226427904</v>
      </c>
      <c r="M341" s="515">
        <f>$F$317*M330</f>
        <v>39696.178257006031</v>
      </c>
      <c r="N341" s="515">
        <f>$F$317*N330</f>
        <v>46851.844439137894</v>
      </c>
      <c r="O341" s="515">
        <f>$F$317*O330</f>
        <v>54748.706461158377</v>
      </c>
    </row>
    <row r="342" spans="1:16" s="488" customFormat="1" outlineLevel="1">
      <c r="B342" s="483"/>
      <c r="C342" s="599" t="s">
        <v>36</v>
      </c>
      <c r="D342" s="478"/>
      <c r="E342" s="478"/>
      <c r="F342" s="484"/>
      <c r="G342" s="484"/>
      <c r="H342" s="484"/>
      <c r="I342" s="484"/>
      <c r="J342" s="484"/>
      <c r="K342" s="515">
        <f>K343-K341</f>
        <v>-257.04540144374914</v>
      </c>
      <c r="L342" s="515">
        <f>L343-L341</f>
        <v>154.22724086624658</v>
      </c>
      <c r="M342" s="515">
        <f>M343-M341</f>
        <v>-97.677252548623073</v>
      </c>
      <c r="N342" s="515">
        <f>N343-N341</f>
        <v>-428.23763880529441</v>
      </c>
      <c r="O342" s="515">
        <f>O343-O341</f>
        <v>-813.8571500511971</v>
      </c>
      <c r="P342" s="466"/>
    </row>
    <row r="343" spans="1:16" s="488" customFormat="1" ht="12.6" outlineLevel="1" thickBot="1">
      <c r="B343" s="483"/>
      <c r="C343" s="599" t="s">
        <v>37</v>
      </c>
      <c r="D343" s="478"/>
      <c r="E343" s="478"/>
      <c r="F343" s="484"/>
      <c r="G343" s="484"/>
      <c r="H343" s="484"/>
      <c r="I343" s="484"/>
      <c r="J343" s="484"/>
      <c r="K343" s="564">
        <f>MAX($F$317*K322,0)</f>
        <v>27780.466831725</v>
      </c>
      <c r="L343" s="564">
        <f>MAX($F$317*L322,0)</f>
        <v>33574.57046729415</v>
      </c>
      <c r="M343" s="564">
        <f>MAX($F$317*M322,0)</f>
        <v>39598.501004457408</v>
      </c>
      <c r="N343" s="564">
        <f>MAX($F$317*N322,0)</f>
        <v>46423.6068003326</v>
      </c>
      <c r="O343" s="564">
        <f>MAX($F$317*O322,0)</f>
        <v>53934.84931110718</v>
      </c>
      <c r="P343" s="466"/>
    </row>
    <row r="344" spans="1:16" s="488" customFormat="1" outlineLevel="1">
      <c r="B344" s="483"/>
      <c r="C344" s="599"/>
      <c r="D344" s="478"/>
      <c r="E344" s="478"/>
      <c r="F344" s="484"/>
      <c r="G344" s="484"/>
      <c r="H344" s="484"/>
      <c r="I344" s="484"/>
      <c r="J344" s="484"/>
      <c r="K344" s="515"/>
      <c r="L344" s="515"/>
      <c r="M344" s="515"/>
      <c r="N344" s="515"/>
      <c r="O344" s="515"/>
      <c r="P344" s="466"/>
    </row>
    <row r="345" spans="1:16" outlineLevel="1">
      <c r="A345" s="488"/>
      <c r="C345" s="508"/>
      <c r="D345" s="478"/>
      <c r="E345" s="478"/>
      <c r="F345" s="493"/>
      <c r="G345" s="484"/>
      <c r="H345" s="515"/>
      <c r="I345" s="515"/>
      <c r="J345" s="515"/>
      <c r="K345" s="515"/>
      <c r="L345" s="515"/>
      <c r="M345" s="515"/>
      <c r="N345" s="515"/>
      <c r="O345" s="515"/>
      <c r="P345" s="466"/>
    </row>
    <row r="346" spans="1:16" s="488" customFormat="1" outlineLevel="1">
      <c r="C346" s="706"/>
      <c r="E346" s="478"/>
      <c r="F346" s="484"/>
      <c r="G346" s="484"/>
      <c r="H346" s="484"/>
      <c r="I346" s="484"/>
      <c r="J346" s="484"/>
      <c r="K346" s="487"/>
      <c r="L346" s="487"/>
      <c r="M346" s="487"/>
      <c r="N346" s="487"/>
      <c r="O346" s="707" t="s">
        <v>264</v>
      </c>
      <c r="P346" s="466"/>
    </row>
    <row r="347" spans="1:16" s="488" customFormat="1" outlineLevel="1">
      <c r="C347" s="742"/>
      <c r="E347" s="478"/>
      <c r="F347" s="484"/>
      <c r="G347" s="484"/>
      <c r="H347" s="484"/>
      <c r="I347" s="484"/>
      <c r="J347" s="484"/>
      <c r="K347" s="487"/>
      <c r="L347" s="487"/>
      <c r="M347" s="487"/>
      <c r="N347" s="487"/>
      <c r="O347" s="708" t="s">
        <v>265</v>
      </c>
    </row>
    <row r="348" spans="1:16" s="488" customFormat="1" outlineLevel="1">
      <c r="C348" s="742"/>
      <c r="E348" s="478"/>
      <c r="F348" s="484"/>
      <c r="G348" s="484"/>
      <c r="H348" s="484"/>
      <c r="I348" s="484"/>
      <c r="J348" s="484"/>
      <c r="K348" s="487"/>
      <c r="L348" s="487"/>
      <c r="M348" s="487"/>
      <c r="N348" s="487"/>
      <c r="O348" s="743" t="s">
        <v>266</v>
      </c>
    </row>
    <row r="349" spans="1:16" outlineLevel="1">
      <c r="B349" s="622"/>
      <c r="C349" s="622"/>
      <c r="D349" s="622"/>
      <c r="E349" s="622"/>
      <c r="F349" s="622"/>
      <c r="G349" s="622"/>
      <c r="H349" s="622"/>
      <c r="I349" s="622"/>
      <c r="J349" s="622"/>
      <c r="K349" s="623"/>
      <c r="L349" s="622"/>
      <c r="M349" s="622"/>
      <c r="N349" s="622"/>
      <c r="O349" s="622"/>
    </row>
    <row r="350" spans="1:16">
      <c r="B350" s="624"/>
      <c r="C350" s="624"/>
      <c r="D350" s="624"/>
      <c r="E350" s="624"/>
      <c r="F350" s="624"/>
      <c r="G350" s="624"/>
      <c r="H350" s="624"/>
      <c r="I350" s="624"/>
      <c r="J350" s="624"/>
      <c r="K350" s="625"/>
      <c r="L350" s="624"/>
      <c r="M350" s="624"/>
      <c r="N350" s="624"/>
      <c r="O350" s="624"/>
    </row>
    <row r="351" spans="1:16">
      <c r="A351" s="467" t="s">
        <v>80</v>
      </c>
      <c r="B351" s="626" t="s">
        <v>294</v>
      </c>
      <c r="C351" s="627"/>
      <c r="D351" s="628"/>
      <c r="E351" s="628"/>
      <c r="F351" s="629"/>
      <c r="G351" s="629"/>
      <c r="H351" s="630"/>
      <c r="I351" s="630"/>
      <c r="J351" s="630"/>
      <c r="K351" s="630"/>
      <c r="L351" s="630"/>
      <c r="M351" s="630"/>
      <c r="N351" s="630"/>
      <c r="O351" s="630"/>
    </row>
    <row r="352" spans="1:16" outlineLevel="1">
      <c r="B352" s="587"/>
      <c r="C352" s="588"/>
      <c r="D352" s="589"/>
      <c r="E352" s="481"/>
      <c r="F352" s="481"/>
      <c r="G352" s="481"/>
      <c r="H352" s="481"/>
      <c r="I352" s="481"/>
      <c r="J352" s="481"/>
      <c r="K352" s="482"/>
      <c r="L352" s="482"/>
      <c r="M352" s="482"/>
      <c r="N352" s="482"/>
      <c r="O352" s="482"/>
    </row>
    <row r="353" spans="2:15" ht="12.6" outlineLevel="1" thickBot="1">
      <c r="B353" s="483" t="s">
        <v>344</v>
      </c>
      <c r="C353" s="588"/>
      <c r="D353" s="590"/>
      <c r="E353" s="590"/>
      <c r="F353" s="590"/>
      <c r="G353" s="590"/>
      <c r="H353" s="591"/>
      <c r="I353" s="484"/>
      <c r="J353" s="485" t="s">
        <v>130</v>
      </c>
      <c r="K353" s="486">
        <f>$K$5</f>
        <v>2025</v>
      </c>
      <c r="L353" s="486">
        <f>K353+1</f>
        <v>2026</v>
      </c>
      <c r="M353" s="486">
        <f>L353+1</f>
        <v>2027</v>
      </c>
      <c r="N353" s="486">
        <f>M353+1</f>
        <v>2028</v>
      </c>
      <c r="O353" s="486">
        <f>N353+1</f>
        <v>2029</v>
      </c>
    </row>
    <row r="354" spans="2:15" outlineLevel="1">
      <c r="B354" s="483" t="str">
        <f>$B$6</f>
        <v>Model Running: Base Case Drivers</v>
      </c>
      <c r="C354" s="588"/>
      <c r="D354" s="590"/>
      <c r="E354" s="590"/>
      <c r="F354" s="590"/>
      <c r="G354" s="590"/>
      <c r="H354" s="590"/>
      <c r="I354" s="592"/>
      <c r="J354" s="592"/>
      <c r="K354" s="592"/>
      <c r="L354" s="592"/>
      <c r="M354" s="592"/>
      <c r="N354" s="592"/>
      <c r="O354" s="592"/>
    </row>
    <row r="355" spans="2:15" outlineLevel="1">
      <c r="B355" s="483"/>
      <c r="C355" s="588"/>
      <c r="D355" s="590"/>
      <c r="E355" s="590"/>
      <c r="F355" s="590"/>
      <c r="G355" s="590"/>
      <c r="H355" s="590"/>
      <c r="I355" s="592"/>
      <c r="J355" s="592"/>
      <c r="K355" s="592"/>
      <c r="L355" s="592"/>
      <c r="M355" s="592"/>
      <c r="N355" s="592"/>
      <c r="O355" s="592"/>
    </row>
    <row r="356" spans="2:15" outlineLevel="1">
      <c r="B356" s="599" t="s">
        <v>227</v>
      </c>
      <c r="C356" s="588"/>
      <c r="D356" s="590"/>
      <c r="E356" s="590"/>
      <c r="F356" s="590"/>
      <c r="G356" s="590"/>
      <c r="H356" s="493" t="s">
        <v>226</v>
      </c>
      <c r="I356" s="592"/>
      <c r="J356" s="744"/>
      <c r="K356" s="745">
        <f>Inputs!H89</f>
        <v>55</v>
      </c>
      <c r="L356" s="746">
        <f>Inputs!I89</f>
        <v>75</v>
      </c>
      <c r="M356" s="746">
        <f>Inputs!J89</f>
        <v>95</v>
      </c>
      <c r="N356" s="746">
        <f>Inputs!K89</f>
        <v>115</v>
      </c>
      <c r="O356" s="747">
        <f>Inputs!L89</f>
        <v>135</v>
      </c>
    </row>
    <row r="357" spans="2:15" outlineLevel="1">
      <c r="B357" s="748"/>
      <c r="C357" s="588"/>
      <c r="D357" s="590"/>
      <c r="E357" s="590"/>
      <c r="F357" s="590"/>
      <c r="G357" s="590"/>
      <c r="H357" s="590"/>
      <c r="I357" s="592"/>
      <c r="J357" s="744"/>
      <c r="K357" s="744"/>
      <c r="L357" s="744"/>
      <c r="M357" s="744"/>
      <c r="N357" s="744"/>
      <c r="O357" s="744"/>
    </row>
    <row r="358" spans="2:15" outlineLevel="1">
      <c r="B358" s="748"/>
      <c r="C358" s="588"/>
      <c r="D358" s="590"/>
      <c r="E358" s="590"/>
      <c r="F358" s="590"/>
      <c r="G358" s="590"/>
      <c r="H358" s="590"/>
      <c r="I358" s="592"/>
      <c r="J358" s="744"/>
      <c r="K358" s="744"/>
      <c r="L358" s="744"/>
      <c r="M358" s="744"/>
      <c r="N358" s="744"/>
      <c r="O358" s="744"/>
    </row>
    <row r="359" spans="2:15" outlineLevel="1">
      <c r="B359" s="749" t="s">
        <v>326</v>
      </c>
      <c r="C359" s="750"/>
      <c r="D359" s="751"/>
      <c r="E359" s="750"/>
      <c r="F359" s="750"/>
      <c r="G359" s="750"/>
      <c r="H359" s="749"/>
      <c r="I359" s="749"/>
      <c r="J359" s="608"/>
      <c r="K359" s="608"/>
      <c r="L359" s="752"/>
      <c r="M359" s="752"/>
      <c r="N359" s="752"/>
      <c r="O359" s="752"/>
    </row>
    <row r="360" spans="2:15" outlineLevel="1">
      <c r="C360" s="599" t="s">
        <v>290</v>
      </c>
      <c r="D360" s="753"/>
      <c r="E360" s="597"/>
      <c r="F360" s="597"/>
      <c r="G360" s="597"/>
      <c r="H360" s="597"/>
      <c r="I360" s="601"/>
      <c r="J360" s="601"/>
      <c r="K360" s="602">
        <f>K406+K411</f>
        <v>1500</v>
      </c>
      <c r="L360" s="602">
        <f>L406+L411</f>
        <v>60444.217861009325</v>
      </c>
      <c r="M360" s="602">
        <f>M406+M411</f>
        <v>134086.42975802426</v>
      </c>
      <c r="N360" s="602">
        <f>N406+N411</f>
        <v>223257.71794061197</v>
      </c>
      <c r="O360" s="602">
        <f>O406+O411</f>
        <v>329654.31490498001</v>
      </c>
    </row>
    <row r="361" spans="2:15" outlineLevel="1">
      <c r="C361" s="599" t="s">
        <v>114</v>
      </c>
      <c r="D361" s="753"/>
      <c r="E361" s="597"/>
      <c r="F361" s="597"/>
      <c r="G361" s="597"/>
      <c r="H361" s="601"/>
      <c r="I361" s="601"/>
      <c r="J361" s="601"/>
      <c r="K361" s="602">
        <f>K141</f>
        <v>59342.717861009325</v>
      </c>
      <c r="L361" s="602">
        <f>L141</f>
        <v>82210.391945139927</v>
      </c>
      <c r="M361" s="602">
        <f>M141</f>
        <v>97739.468230712708</v>
      </c>
      <c r="N361" s="602">
        <f>N141</f>
        <v>114964.77701249304</v>
      </c>
      <c r="O361" s="602">
        <f>O141</f>
        <v>133736.01233738268</v>
      </c>
    </row>
    <row r="362" spans="2:15" outlineLevel="1">
      <c r="C362" s="599" t="s">
        <v>117</v>
      </c>
      <c r="D362" s="753"/>
      <c r="E362" s="597"/>
      <c r="F362" s="597"/>
      <c r="G362" s="597"/>
      <c r="H362" s="601"/>
      <c r="I362" s="601"/>
      <c r="J362" s="601"/>
      <c r="K362" s="602"/>
      <c r="L362" s="602">
        <f>L144</f>
        <v>-8568.1800481249993</v>
      </c>
      <c r="M362" s="602">
        <f>M144</f>
        <v>-8568.1800481249993</v>
      </c>
      <c r="N362" s="602">
        <f>N144</f>
        <v>-8568.1800481249993</v>
      </c>
      <c r="O362" s="602">
        <f>O144</f>
        <v>-8568.1800481249993</v>
      </c>
    </row>
    <row r="363" spans="2:15" outlineLevel="1">
      <c r="C363" s="599" t="s">
        <v>275</v>
      </c>
      <c r="D363" s="753"/>
      <c r="E363" s="597"/>
      <c r="F363" s="597"/>
      <c r="G363" s="597"/>
      <c r="H363" s="601"/>
      <c r="I363" s="601"/>
      <c r="J363" s="601"/>
      <c r="K363" s="602">
        <v>0</v>
      </c>
      <c r="L363" s="602">
        <f>L410+L426+L445</f>
        <v>0</v>
      </c>
      <c r="M363" s="602">
        <f>M410+M426+M445</f>
        <v>0</v>
      </c>
      <c r="N363" s="602">
        <f>N410+N426+N445</f>
        <v>0</v>
      </c>
      <c r="O363" s="602">
        <f>O410+O426+O445</f>
        <v>0</v>
      </c>
    </row>
    <row r="364" spans="2:15" outlineLevel="1">
      <c r="C364" s="599" t="s">
        <v>119</v>
      </c>
      <c r="D364" s="753"/>
      <c r="E364" s="597"/>
      <c r="F364" s="597"/>
      <c r="G364" s="597"/>
      <c r="H364" s="754" t="s">
        <v>273</v>
      </c>
      <c r="I364" s="601"/>
      <c r="J364" s="601"/>
      <c r="K364" s="602">
        <f>SUM(K519:K520)</f>
        <v>16737.860096249999</v>
      </c>
      <c r="L364" s="602">
        <f>SUM(L519:L520)</f>
        <v>0</v>
      </c>
      <c r="M364" s="602">
        <f>SUM(M519:M520)</f>
        <v>0</v>
      </c>
      <c r="N364" s="602">
        <f>SUM(N519:N520)</f>
        <v>0</v>
      </c>
      <c r="O364" s="602">
        <f>SUM(O519:O520)</f>
        <v>0</v>
      </c>
    </row>
    <row r="365" spans="2:15" outlineLevel="1">
      <c r="C365" s="599" t="s">
        <v>120</v>
      </c>
      <c r="D365" s="753"/>
      <c r="E365" s="597"/>
      <c r="F365" s="597"/>
      <c r="G365" s="597"/>
      <c r="H365" s="754" t="s">
        <v>274</v>
      </c>
      <c r="I365" s="601"/>
      <c r="J365" s="601"/>
      <c r="K365" s="602">
        <f>K527</f>
        <v>0</v>
      </c>
      <c r="L365" s="602">
        <f>L527</f>
        <v>0</v>
      </c>
      <c r="M365" s="602">
        <f>M527</f>
        <v>0</v>
      </c>
      <c r="N365" s="602">
        <f>N527</f>
        <v>0</v>
      </c>
      <c r="O365" s="602">
        <f>O527</f>
        <v>0</v>
      </c>
    </row>
    <row r="366" spans="2:15" outlineLevel="1">
      <c r="C366" s="599" t="s">
        <v>231</v>
      </c>
      <c r="D366" s="753"/>
      <c r="E366" s="597"/>
      <c r="F366" s="597"/>
      <c r="G366" s="597"/>
      <c r="H366" s="755">
        <f>Transaction!$I$29</f>
        <v>1500</v>
      </c>
      <c r="I366" s="601"/>
      <c r="J366" s="601"/>
      <c r="K366" s="602">
        <f>-$H$366</f>
        <v>-1500</v>
      </c>
      <c r="L366" s="602">
        <f>-$H$366</f>
        <v>-1500</v>
      </c>
      <c r="M366" s="602">
        <f>-$H$366</f>
        <v>-1500</v>
      </c>
      <c r="N366" s="602">
        <f>-$H$366</f>
        <v>-1500</v>
      </c>
      <c r="O366" s="602">
        <f>-$H$366</f>
        <v>-1500</v>
      </c>
    </row>
    <row r="367" spans="2:15" outlineLevel="1">
      <c r="C367" s="599" t="s">
        <v>338</v>
      </c>
      <c r="D367" s="753"/>
      <c r="E367" s="597"/>
      <c r="F367" s="597"/>
      <c r="G367" s="597"/>
      <c r="H367" s="601"/>
      <c r="I367" s="601"/>
      <c r="J367" s="601"/>
      <c r="K367" s="756">
        <f>SUM(K360:K366)</f>
        <v>76080.577957259316</v>
      </c>
      <c r="L367" s="756">
        <f>SUM(L360:L366)</f>
        <v>132586.42975802426</v>
      </c>
      <c r="M367" s="756">
        <f>SUM(M360:M366)</f>
        <v>221757.71794061197</v>
      </c>
      <c r="N367" s="756">
        <f>SUM(N360:N366)</f>
        <v>328154.31490498001</v>
      </c>
      <c r="O367" s="756">
        <f>SUM(O360:O366)</f>
        <v>453322.14719423768</v>
      </c>
    </row>
    <row r="368" spans="2:15" outlineLevel="1">
      <c r="C368" s="599"/>
      <c r="D368" s="753"/>
      <c r="E368" s="597"/>
      <c r="F368" s="597"/>
      <c r="G368" s="597"/>
      <c r="H368" s="601"/>
      <c r="I368" s="601"/>
      <c r="J368" s="601"/>
      <c r="K368" s="601"/>
      <c r="L368" s="600"/>
      <c r="M368" s="600"/>
      <c r="N368" s="600"/>
      <c r="O368" s="600"/>
    </row>
    <row r="369" spans="2:15" outlineLevel="1">
      <c r="C369" s="599"/>
      <c r="D369" s="753"/>
      <c r="E369" s="597"/>
      <c r="F369" s="597"/>
      <c r="G369" s="597"/>
      <c r="H369" s="601"/>
      <c r="I369" s="601"/>
      <c r="J369" s="601"/>
      <c r="K369" s="601"/>
      <c r="L369" s="600"/>
      <c r="M369" s="600"/>
      <c r="N369" s="600"/>
      <c r="O369" s="600"/>
    </row>
    <row r="370" spans="2:15" outlineLevel="1">
      <c r="B370" s="749" t="s">
        <v>327</v>
      </c>
      <c r="C370" s="750"/>
      <c r="D370" s="751"/>
      <c r="E370" s="750"/>
      <c r="F370" s="750"/>
      <c r="G370" s="750"/>
      <c r="H370" s="749"/>
      <c r="I370" s="749"/>
      <c r="J370" s="608"/>
      <c r="K370" s="608"/>
      <c r="L370" s="752"/>
      <c r="M370" s="752"/>
      <c r="N370" s="752"/>
      <c r="O370" s="752"/>
    </row>
    <row r="371" spans="2:15" outlineLevel="1">
      <c r="C371" s="599" t="s">
        <v>7</v>
      </c>
      <c r="D371" s="753"/>
      <c r="E371" s="597"/>
      <c r="F371" s="597"/>
      <c r="G371" s="597"/>
      <c r="H371" s="601"/>
      <c r="I371" s="601"/>
      <c r="J371" s="601"/>
      <c r="K371" s="602">
        <f>J373</f>
        <v>0</v>
      </c>
      <c r="L371" s="602">
        <f>K373</f>
        <v>0</v>
      </c>
      <c r="M371" s="602">
        <f>L373</f>
        <v>0</v>
      </c>
      <c r="N371" s="602">
        <f>M373</f>
        <v>0</v>
      </c>
      <c r="O371" s="602">
        <f>N373</f>
        <v>0</v>
      </c>
    </row>
    <row r="372" spans="2:15" outlineLevel="1">
      <c r="C372" s="599" t="s">
        <v>123</v>
      </c>
      <c r="D372" s="753"/>
      <c r="E372" s="597"/>
      <c r="F372" s="597"/>
      <c r="G372" s="597"/>
      <c r="H372" s="601"/>
      <c r="I372" s="601"/>
      <c r="J372" s="757"/>
      <c r="K372" s="602">
        <f>-MIN(K367,K371)</f>
        <v>0</v>
      </c>
      <c r="L372" s="602">
        <f>-MIN(L367,L371)</f>
        <v>0</v>
      </c>
      <c r="M372" s="602">
        <f>-MIN(M367,M371)</f>
        <v>0</v>
      </c>
      <c r="N372" s="602">
        <f>-MIN(N367,N371)</f>
        <v>0</v>
      </c>
      <c r="O372" s="602">
        <f>-MIN(O367,O371)</f>
        <v>0</v>
      </c>
    </row>
    <row r="373" spans="2:15" outlineLevel="1">
      <c r="C373" s="508" t="s">
        <v>8</v>
      </c>
      <c r="D373" s="753"/>
      <c r="E373" s="597"/>
      <c r="F373" s="597"/>
      <c r="G373" s="597"/>
      <c r="H373" s="609"/>
      <c r="I373" s="609"/>
      <c r="J373" s="619">
        <f>Transaction!J9</f>
        <v>0</v>
      </c>
      <c r="K373" s="605">
        <f>SUM(K371:K372)</f>
        <v>0</v>
      </c>
      <c r="L373" s="605">
        <f>SUM(L371:L372)</f>
        <v>0</v>
      </c>
      <c r="M373" s="605">
        <f>SUM(M371:M372)</f>
        <v>0</v>
      </c>
      <c r="N373" s="605">
        <f>SUM(N371:N372)</f>
        <v>0</v>
      </c>
      <c r="O373" s="605">
        <f>SUM(O371:O372)</f>
        <v>0</v>
      </c>
    </row>
    <row r="374" spans="2:15" outlineLevel="1">
      <c r="C374" s="758"/>
      <c r="D374" s="607"/>
      <c r="E374" s="598"/>
      <c r="F374" s="598"/>
      <c r="G374" s="598"/>
      <c r="H374" s="610"/>
      <c r="I374" s="609"/>
      <c r="J374" s="609"/>
      <c r="K374" s="609"/>
      <c r="L374" s="610"/>
      <c r="M374" s="610"/>
      <c r="N374" s="610"/>
      <c r="O374" s="610"/>
    </row>
    <row r="375" spans="2:15" outlineLevel="1">
      <c r="C375" s="599" t="s">
        <v>232</v>
      </c>
      <c r="D375" s="607"/>
      <c r="E375" s="598"/>
      <c r="F375" s="598"/>
      <c r="G375" s="598"/>
      <c r="H375" s="610"/>
      <c r="I375" s="609"/>
      <c r="J375" s="609"/>
      <c r="K375" s="759">
        <f>Transaction!$I$56/10000</f>
        <v>0.03</v>
      </c>
      <c r="L375" s="759">
        <f>Transaction!$I$56/10000</f>
        <v>0.03</v>
      </c>
      <c r="M375" s="759">
        <f>Transaction!$I$56/10000</f>
        <v>0.03</v>
      </c>
      <c r="N375" s="759">
        <f>Transaction!$I$56/10000</f>
        <v>0.03</v>
      </c>
      <c r="O375" s="759">
        <f>Transaction!$I$56/10000</f>
        <v>0.03</v>
      </c>
    </row>
    <row r="376" spans="2:15" outlineLevel="1">
      <c r="C376" s="599" t="s">
        <v>225</v>
      </c>
      <c r="D376" s="607"/>
      <c r="E376" s="598"/>
      <c r="F376" s="598"/>
      <c r="G376" s="598"/>
      <c r="H376" s="754" t="s">
        <v>198</v>
      </c>
      <c r="I376" s="609"/>
      <c r="J376" s="609"/>
      <c r="K376" s="760">
        <f>K375+K356/10000</f>
        <v>3.5499999999999997E-2</v>
      </c>
      <c r="L376" s="760">
        <f>L375+L356/10000</f>
        <v>3.7499999999999999E-2</v>
      </c>
      <c r="M376" s="760">
        <f>M375+M356/10000</f>
        <v>3.95E-2</v>
      </c>
      <c r="N376" s="760">
        <f>N375+N356/10000</f>
        <v>4.1499999999999995E-2</v>
      </c>
      <c r="O376" s="760">
        <f>O375+O356/10000</f>
        <v>4.3499999999999997E-2</v>
      </c>
    </row>
    <row r="377" spans="2:15" outlineLevel="1">
      <c r="C377" s="599" t="s">
        <v>131</v>
      </c>
      <c r="D377" s="607"/>
      <c r="E377" s="598"/>
      <c r="G377" s="598"/>
      <c r="H377" s="761">
        <f>Cover!$M$22</f>
        <v>2</v>
      </c>
      <c r="I377" s="609"/>
      <c r="J377" s="609"/>
      <c r="K377" s="602">
        <f>IF($H$377=1,AVERAGE(K371,K373)*K376,K376*K371)</f>
        <v>0</v>
      </c>
      <c r="L377" s="602">
        <f>IF($H$377=1,AVERAGE(L371,L373)*L376,L376*L371)</f>
        <v>0</v>
      </c>
      <c r="M377" s="602">
        <f>IF($H$377=1,AVERAGE(M371,M373)*M376,M376*M371)</f>
        <v>0</v>
      </c>
      <c r="N377" s="602">
        <f>IF($H$377=1,AVERAGE(N371,N373)*N376,N376*N371)</f>
        <v>0</v>
      </c>
      <c r="O377" s="602">
        <f>IF($H$377=1,AVERAGE(O371,O373)*O376,O376*O371)</f>
        <v>0</v>
      </c>
    </row>
    <row r="378" spans="2:15" outlineLevel="1">
      <c r="C378" s="599"/>
      <c r="D378" s="607"/>
      <c r="E378" s="598"/>
      <c r="G378" s="598"/>
      <c r="H378" s="600"/>
      <c r="I378" s="609"/>
      <c r="J378" s="609"/>
      <c r="K378" s="601"/>
      <c r="L378" s="601"/>
      <c r="M378" s="601"/>
      <c r="N378" s="601"/>
      <c r="O378" s="601"/>
    </row>
    <row r="379" spans="2:15" outlineLevel="1">
      <c r="C379" s="599"/>
      <c r="D379" s="607"/>
      <c r="E379" s="598"/>
      <c r="G379" s="598"/>
      <c r="I379" s="609"/>
      <c r="J379" s="609"/>
      <c r="K379" s="601"/>
      <c r="L379" s="601"/>
      <c r="M379" s="601"/>
      <c r="N379" s="601"/>
      <c r="O379" s="601"/>
    </row>
    <row r="380" spans="2:15" outlineLevel="1">
      <c r="B380" s="749" t="s">
        <v>328</v>
      </c>
      <c r="C380" s="750"/>
      <c r="D380" s="751"/>
      <c r="E380" s="750"/>
      <c r="F380" s="750"/>
      <c r="G380" s="750"/>
      <c r="H380" s="749"/>
      <c r="I380" s="749"/>
      <c r="J380" s="608"/>
      <c r="K380" s="608"/>
      <c r="L380" s="752"/>
      <c r="M380" s="752"/>
      <c r="N380" s="752"/>
      <c r="O380" s="752"/>
    </row>
    <row r="381" spans="2:15" outlineLevel="1">
      <c r="C381" s="599" t="s">
        <v>7</v>
      </c>
      <c r="D381" s="753"/>
      <c r="E381" s="597"/>
      <c r="F381" s="597"/>
      <c r="G381" s="597"/>
      <c r="H381" s="601"/>
      <c r="I381" s="601"/>
      <c r="J381" s="601"/>
      <c r="K381" s="602">
        <f>+J383</f>
        <v>1500</v>
      </c>
      <c r="L381" s="620">
        <f>+K383</f>
        <v>1500</v>
      </c>
      <c r="M381" s="620">
        <f>+L383</f>
        <v>1500</v>
      </c>
      <c r="N381" s="620">
        <f>+M383</f>
        <v>1500</v>
      </c>
      <c r="O381" s="620">
        <f>+N383</f>
        <v>1500</v>
      </c>
    </row>
    <row r="382" spans="2:15" outlineLevel="1">
      <c r="C382" s="599" t="s">
        <v>340</v>
      </c>
      <c r="D382" s="753"/>
      <c r="E382" s="597"/>
      <c r="F382" s="597"/>
      <c r="G382" s="597"/>
      <c r="H382" s="754" t="s">
        <v>240</v>
      </c>
      <c r="I382" s="601"/>
      <c r="J382" s="757"/>
      <c r="K382" s="614">
        <f>-K372</f>
        <v>0</v>
      </c>
      <c r="L382" s="614">
        <f>-L372</f>
        <v>0</v>
      </c>
      <c r="M382" s="614">
        <f>-M372</f>
        <v>0</v>
      </c>
      <c r="N382" s="614">
        <f>-N372</f>
        <v>0</v>
      </c>
      <c r="O382" s="614">
        <f>-O372</f>
        <v>0</v>
      </c>
    </row>
    <row r="383" spans="2:15" outlineLevel="1">
      <c r="C383" s="508" t="s">
        <v>8</v>
      </c>
      <c r="D383" s="753"/>
      <c r="E383" s="597"/>
      <c r="F383" s="597"/>
      <c r="G383" s="597"/>
      <c r="H383" s="762">
        <f>+Transaction!$E$56</f>
        <v>1500</v>
      </c>
      <c r="I383" s="601"/>
      <c r="J383" s="602">
        <f>H383-J373</f>
        <v>1500</v>
      </c>
      <c r="K383" s="602">
        <f>SUM(K381:K382)</f>
        <v>1500</v>
      </c>
      <c r="L383" s="602">
        <f>SUM(L381:L382)</f>
        <v>1500</v>
      </c>
      <c r="M383" s="602">
        <f>SUM(M381:M382)</f>
        <v>1500</v>
      </c>
      <c r="N383" s="602">
        <f>SUM(N381:N382)</f>
        <v>1500</v>
      </c>
      <c r="O383" s="602">
        <f>SUM(O381:O382)</f>
        <v>1500</v>
      </c>
    </row>
    <row r="384" spans="2:15" outlineLevel="1">
      <c r="C384" s="758"/>
      <c r="D384" s="753"/>
      <c r="E384" s="597"/>
      <c r="F384" s="597"/>
      <c r="G384" s="597"/>
      <c r="H384" s="600"/>
      <c r="I384" s="601"/>
      <c r="J384" s="601"/>
      <c r="K384" s="601"/>
      <c r="L384" s="600"/>
      <c r="M384" s="600"/>
      <c r="N384" s="600"/>
      <c r="O384" s="600"/>
    </row>
    <row r="385" spans="1:15" outlineLevel="1">
      <c r="C385" s="599" t="s">
        <v>329</v>
      </c>
      <c r="D385" s="753"/>
      <c r="E385" s="597"/>
      <c r="F385" s="597"/>
      <c r="G385" s="597"/>
      <c r="H385" s="754" t="s">
        <v>198</v>
      </c>
      <c r="I385" s="601"/>
      <c r="J385" s="601"/>
      <c r="K385" s="760">
        <v>5.0000000000000001E-3</v>
      </c>
      <c r="L385" s="760">
        <v>5.0000000000000001E-3</v>
      </c>
      <c r="M385" s="760">
        <v>5.0000000000000001E-3</v>
      </c>
      <c r="N385" s="760">
        <v>5.0000000000000001E-3</v>
      </c>
      <c r="O385" s="760">
        <v>5.0000000000000001E-3</v>
      </c>
    </row>
    <row r="386" spans="1:15" outlineLevel="1">
      <c r="C386" s="599" t="s">
        <v>330</v>
      </c>
      <c r="D386" s="753"/>
      <c r="E386" s="597"/>
      <c r="G386" s="597"/>
      <c r="H386" s="761">
        <f>Cover!$M$22</f>
        <v>2</v>
      </c>
      <c r="I386" s="601"/>
      <c r="J386" s="601"/>
      <c r="K386" s="602">
        <f>MAX(IF($H$386=1,K385*AVERAGE(K381,K383),K381*K385),0)</f>
        <v>7.5</v>
      </c>
      <c r="L386" s="602">
        <f>MAX(IF($H$386=1,L385*AVERAGE(L381,L383),L381*L385),0)</f>
        <v>7.5</v>
      </c>
      <c r="M386" s="602">
        <f>MAX(IF($H$386=1,M385*AVERAGE(M381,M383),M381*M385),0)</f>
        <v>7.5</v>
      </c>
      <c r="N386" s="602">
        <f>MAX(IF($H$386=1,N385*AVERAGE(N381,N383),N381*N385),0)</f>
        <v>7.5</v>
      </c>
      <c r="O386" s="602">
        <f>MAX(IF($H$386=1,O385*AVERAGE(O381,O383),O381*O385),0)</f>
        <v>7.5</v>
      </c>
    </row>
    <row r="387" spans="1:15" outlineLevel="1">
      <c r="C387" s="599"/>
      <c r="D387" s="607"/>
      <c r="E387" s="598"/>
      <c r="G387" s="598"/>
      <c r="H387" s="600"/>
      <c r="I387" s="609"/>
      <c r="J387" s="609"/>
      <c r="K387" s="601"/>
      <c r="L387" s="601"/>
      <c r="M387" s="601"/>
      <c r="N387" s="601"/>
      <c r="O387" s="601"/>
    </row>
    <row r="388" spans="1:15" outlineLevel="1">
      <c r="C388" s="599"/>
      <c r="D388" s="607"/>
      <c r="E388" s="598"/>
      <c r="G388" s="598"/>
      <c r="H388" s="600"/>
      <c r="I388" s="609"/>
      <c r="J388" s="609"/>
      <c r="K388" s="601"/>
      <c r="L388" s="601"/>
      <c r="M388" s="601"/>
      <c r="N388" s="601"/>
      <c r="O388" s="601"/>
    </row>
    <row r="389" spans="1:15" outlineLevel="1">
      <c r="C389" s="599"/>
      <c r="D389" s="607"/>
      <c r="E389" s="598"/>
      <c r="G389" s="598"/>
      <c r="H389" s="600"/>
      <c r="I389" s="609"/>
      <c r="J389" s="609"/>
      <c r="K389" s="601"/>
      <c r="L389" s="601"/>
      <c r="M389" s="601"/>
      <c r="N389" s="601"/>
      <c r="O389" s="601"/>
    </row>
    <row r="390" spans="1:15" outlineLevel="1">
      <c r="C390" s="599" t="s">
        <v>331</v>
      </c>
      <c r="D390" s="607"/>
      <c r="E390" s="598"/>
      <c r="G390" s="598"/>
      <c r="I390" s="609"/>
      <c r="J390" s="609"/>
      <c r="K390" s="763">
        <f>IF(K383&lt;0,1,0)</f>
        <v>0</v>
      </c>
      <c r="L390" s="764">
        <f>IF(L383&lt;0,1,0)</f>
        <v>0</v>
      </c>
      <c r="M390" s="764">
        <f>IF(M383&lt;0,1,0)</f>
        <v>0</v>
      </c>
      <c r="N390" s="764">
        <f>IF(N383&lt;0,1,0)</f>
        <v>0</v>
      </c>
      <c r="O390" s="765">
        <f>IF(O383&lt;0,1,0)</f>
        <v>0</v>
      </c>
    </row>
    <row r="391" spans="1:15" outlineLevel="1">
      <c r="C391" s="758"/>
      <c r="D391" s="607"/>
      <c r="E391" s="598"/>
      <c r="G391" s="598"/>
      <c r="H391" s="598"/>
      <c r="I391" s="609"/>
      <c r="J391" s="609"/>
    </row>
    <row r="392" spans="1:15" outlineLevel="1">
      <c r="C392" s="599" t="s">
        <v>332</v>
      </c>
      <c r="D392" s="607"/>
      <c r="E392" s="598"/>
      <c r="G392" s="598"/>
      <c r="H392" s="598"/>
      <c r="I392" s="609"/>
      <c r="J392" s="609"/>
      <c r="K392" s="766">
        <f>K367+K372</f>
        <v>76080.577957259316</v>
      </c>
      <c r="L392" s="767">
        <f>L367+L372</f>
        <v>132586.42975802426</v>
      </c>
      <c r="M392" s="767">
        <f>M367+M372</f>
        <v>221757.71794061197</v>
      </c>
      <c r="N392" s="767">
        <f>N367+N372</f>
        <v>328154.31490498001</v>
      </c>
      <c r="O392" s="768">
        <f>O367+O372</f>
        <v>453322.14719423768</v>
      </c>
    </row>
    <row r="393" spans="1:15" outlineLevel="1">
      <c r="B393" s="598"/>
      <c r="C393" s="598"/>
      <c r="D393" s="607"/>
      <c r="E393" s="598"/>
      <c r="G393" s="598"/>
      <c r="H393" s="598"/>
      <c r="I393" s="609"/>
      <c r="J393" s="609"/>
      <c r="K393" s="609"/>
      <c r="L393" s="609"/>
      <c r="M393" s="609"/>
      <c r="N393" s="609"/>
      <c r="O393" s="609"/>
    </row>
    <row r="394" spans="1:15" outlineLevel="1">
      <c r="B394" s="769"/>
      <c r="C394" s="769"/>
      <c r="D394" s="770"/>
      <c r="E394" s="769"/>
      <c r="F394" s="769"/>
      <c r="G394" s="769"/>
      <c r="H394" s="769"/>
      <c r="I394" s="769"/>
      <c r="J394" s="769"/>
      <c r="K394" s="769"/>
      <c r="L394" s="769"/>
      <c r="M394" s="769"/>
      <c r="N394" s="769"/>
      <c r="O394" s="771"/>
    </row>
    <row r="395" spans="1:15">
      <c r="B395" s="597"/>
      <c r="C395" s="597"/>
      <c r="D395" s="753"/>
      <c r="E395" s="597"/>
      <c r="F395" s="597"/>
      <c r="G395" s="597"/>
      <c r="H395" s="597"/>
      <c r="I395" s="597"/>
      <c r="J395" s="597"/>
      <c r="K395" s="597"/>
      <c r="L395" s="597"/>
      <c r="M395" s="597"/>
      <c r="N395" s="597"/>
      <c r="O395" s="772"/>
    </row>
    <row r="396" spans="1:15">
      <c r="A396" s="467" t="s">
        <v>80</v>
      </c>
      <c r="B396" s="626" t="s">
        <v>295</v>
      </c>
      <c r="C396" s="627"/>
      <c r="D396" s="628"/>
      <c r="E396" s="628"/>
      <c r="F396" s="629"/>
      <c r="G396" s="629"/>
      <c r="H396" s="630"/>
      <c r="I396" s="630"/>
      <c r="J396" s="630"/>
      <c r="K396" s="630"/>
      <c r="L396" s="630"/>
      <c r="M396" s="630"/>
      <c r="N396" s="630"/>
      <c r="O396" s="630"/>
    </row>
    <row r="397" spans="1:15" outlineLevel="1">
      <c r="B397" s="587"/>
      <c r="C397" s="588"/>
      <c r="D397" s="589"/>
      <c r="E397" s="481"/>
      <c r="F397" s="481"/>
      <c r="G397" s="481"/>
      <c r="H397" s="481"/>
      <c r="I397" s="481"/>
      <c r="J397" s="481"/>
      <c r="K397" s="482"/>
      <c r="L397" s="482"/>
      <c r="M397" s="482"/>
      <c r="N397" s="482"/>
      <c r="O397" s="482"/>
    </row>
    <row r="398" spans="1:15" ht="12.6" outlineLevel="1" thickBot="1">
      <c r="B398" s="483" t="s">
        <v>344</v>
      </c>
      <c r="C398" s="588"/>
      <c r="D398" s="590"/>
      <c r="E398" s="590"/>
      <c r="F398" s="590"/>
      <c r="G398" s="590"/>
      <c r="H398" s="591"/>
      <c r="I398" s="484"/>
      <c r="J398" s="485" t="s">
        <v>130</v>
      </c>
      <c r="K398" s="486">
        <f>$K$5</f>
        <v>2025</v>
      </c>
      <c r="L398" s="486">
        <f>K398+1</f>
        <v>2026</v>
      </c>
      <c r="M398" s="486">
        <f>L398+1</f>
        <v>2027</v>
      </c>
      <c r="N398" s="486">
        <f>M398+1</f>
        <v>2028</v>
      </c>
      <c r="O398" s="486">
        <f>N398+1</f>
        <v>2029</v>
      </c>
    </row>
    <row r="399" spans="1:15" outlineLevel="1">
      <c r="B399" s="483" t="str">
        <f>$B$6</f>
        <v>Model Running: Base Case Drivers</v>
      </c>
      <c r="C399" s="588"/>
      <c r="D399" s="590"/>
      <c r="E399" s="590"/>
      <c r="F399" s="590"/>
      <c r="G399" s="590"/>
      <c r="H399" s="591"/>
      <c r="I399" s="484"/>
      <c r="J399" s="590"/>
      <c r="K399" s="487"/>
      <c r="L399" s="487"/>
      <c r="M399" s="487"/>
      <c r="N399" s="487"/>
      <c r="O399" s="487"/>
    </row>
    <row r="400" spans="1:15" outlineLevel="1">
      <c r="B400" s="483"/>
      <c r="C400" s="588"/>
      <c r="D400" s="590"/>
      <c r="E400" s="590"/>
      <c r="F400" s="590"/>
      <c r="G400" s="590"/>
      <c r="H400" s="591"/>
      <c r="I400" s="484"/>
      <c r="J400" s="590"/>
      <c r="K400" s="487"/>
      <c r="L400" s="487"/>
      <c r="M400" s="487"/>
      <c r="N400" s="487"/>
      <c r="O400" s="487"/>
    </row>
    <row r="401" spans="2:15" outlineLevel="1">
      <c r="B401" s="599" t="s">
        <v>227</v>
      </c>
      <c r="C401" s="588"/>
      <c r="D401" s="590"/>
      <c r="E401" s="590"/>
      <c r="F401" s="590"/>
      <c r="G401" s="590"/>
      <c r="H401" s="493" t="s">
        <v>226</v>
      </c>
      <c r="I401" s="592"/>
      <c r="J401" s="744"/>
      <c r="K401" s="745">
        <f>Inputs!H$89</f>
        <v>55</v>
      </c>
      <c r="L401" s="746">
        <f>Inputs!I$89</f>
        <v>75</v>
      </c>
      <c r="M401" s="746">
        <f>Inputs!J$89</f>
        <v>95</v>
      </c>
      <c r="N401" s="746">
        <f>Inputs!K$89</f>
        <v>115</v>
      </c>
      <c r="O401" s="747">
        <f>Inputs!L$89</f>
        <v>135</v>
      </c>
    </row>
    <row r="402" spans="2:15" outlineLevel="1">
      <c r="B402" s="598"/>
      <c r="D402" s="607"/>
      <c r="E402" s="598"/>
      <c r="G402" s="598"/>
      <c r="I402" s="609"/>
      <c r="J402" s="609"/>
      <c r="K402" s="609"/>
      <c r="L402" s="773"/>
      <c r="M402" s="609"/>
      <c r="N402" s="609"/>
      <c r="O402" s="609"/>
    </row>
    <row r="403" spans="2:15" outlineLevel="1">
      <c r="B403" s="598"/>
      <c r="C403" s="598"/>
      <c r="D403" s="607"/>
      <c r="E403" s="598"/>
      <c r="G403" s="598"/>
      <c r="I403" s="609"/>
      <c r="J403" s="609"/>
    </row>
    <row r="404" spans="2:15" outlineLevel="1">
      <c r="B404" s="749" t="s">
        <v>280</v>
      </c>
      <c r="C404" s="597"/>
      <c r="I404" s="601"/>
      <c r="J404" s="601"/>
      <c r="K404" s="601"/>
      <c r="L404" s="600"/>
      <c r="M404" s="600"/>
      <c r="N404" s="600"/>
      <c r="O404" s="600"/>
    </row>
    <row r="405" spans="2:15" outlineLevel="1">
      <c r="C405" s="599" t="s">
        <v>124</v>
      </c>
      <c r="E405" s="774"/>
      <c r="G405" s="774"/>
      <c r="I405" s="775"/>
      <c r="J405" s="775"/>
      <c r="K405" s="776">
        <f>Transaction!F$68</f>
        <v>0.2</v>
      </c>
      <c r="L405" s="777">
        <f>Transaction!G$68</f>
        <v>0.2</v>
      </c>
      <c r="M405" s="777">
        <f>Transaction!H$68</f>
        <v>0.2</v>
      </c>
      <c r="N405" s="777">
        <f>Transaction!I$68</f>
        <v>0.2</v>
      </c>
      <c r="O405" s="778">
        <f>Transaction!J$68</f>
        <v>0.2</v>
      </c>
    </row>
    <row r="406" spans="2:15" outlineLevel="1">
      <c r="C406" s="599" t="s">
        <v>122</v>
      </c>
      <c r="D406" s="607"/>
      <c r="E406" s="598"/>
      <c r="G406" s="598"/>
      <c r="H406" s="598"/>
      <c r="I406" s="609"/>
      <c r="J406" s="609"/>
      <c r="K406" s="779">
        <f>K157</f>
        <v>1500</v>
      </c>
      <c r="L406" s="602">
        <f>L157</f>
        <v>60444.217861009325</v>
      </c>
      <c r="M406" s="602">
        <f>M157</f>
        <v>134086.42975802426</v>
      </c>
      <c r="N406" s="602">
        <f>N157</f>
        <v>223257.71794061197</v>
      </c>
      <c r="O406" s="780">
        <f>O157</f>
        <v>329654.31490498001</v>
      </c>
    </row>
    <row r="407" spans="2:15" outlineLevel="1">
      <c r="C407" s="599" t="s">
        <v>166</v>
      </c>
      <c r="D407" s="607"/>
      <c r="E407" s="598"/>
      <c r="G407" s="598"/>
      <c r="H407" s="598"/>
      <c r="I407" s="609"/>
      <c r="J407" s="609"/>
      <c r="K407" s="781">
        <f>IF(K406&gt;0,1,0)</f>
        <v>1</v>
      </c>
      <c r="L407" s="782">
        <f>IF(L406&gt;0,1,0)</f>
        <v>1</v>
      </c>
      <c r="M407" s="782">
        <f>IF(M406&gt;0,1,0)</f>
        <v>1</v>
      </c>
      <c r="N407" s="782">
        <f>IF(N406&gt;0,1,0)</f>
        <v>1</v>
      </c>
      <c r="O407" s="783">
        <f>IF(O406&gt;0,1,0)</f>
        <v>1</v>
      </c>
    </row>
    <row r="408" spans="2:15" outlineLevel="1">
      <c r="C408" s="599"/>
      <c r="G408" s="597"/>
      <c r="I408" s="775"/>
      <c r="J408" s="775"/>
      <c r="K408" s="784"/>
      <c r="L408" s="784"/>
      <c r="M408" s="784"/>
      <c r="N408" s="784"/>
      <c r="O408" s="784"/>
    </row>
    <row r="409" spans="2:15" outlineLevel="1">
      <c r="C409" s="599" t="s">
        <v>7</v>
      </c>
      <c r="E409" s="598"/>
      <c r="G409" s="598"/>
      <c r="H409" s="754"/>
      <c r="I409" s="609"/>
      <c r="J409" s="609"/>
      <c r="K409" s="602">
        <f>J412</f>
        <v>0</v>
      </c>
      <c r="L409" s="602">
        <f>K412</f>
        <v>0</v>
      </c>
      <c r="M409" s="602">
        <f>L412</f>
        <v>0</v>
      </c>
      <c r="N409" s="602">
        <f>M412</f>
        <v>0</v>
      </c>
      <c r="O409" s="602">
        <f>N412</f>
        <v>0</v>
      </c>
    </row>
    <row r="410" spans="2:15" outlineLevel="1">
      <c r="C410" s="599" t="s">
        <v>125</v>
      </c>
      <c r="E410" s="598"/>
      <c r="G410" s="598"/>
      <c r="H410" s="754" t="s">
        <v>244</v>
      </c>
      <c r="I410" s="609"/>
      <c r="J410" s="609"/>
      <c r="K410" s="602">
        <f>-MIN($J$412*K405,K409)</f>
        <v>0</v>
      </c>
      <c r="L410" s="602">
        <f>-MIN($J$412*L405,L409)</f>
        <v>0</v>
      </c>
      <c r="M410" s="602">
        <f>-MIN($J$412*M405,M409)</f>
        <v>0</v>
      </c>
      <c r="N410" s="602">
        <f>-MIN($J$412*N405,N409)</f>
        <v>0</v>
      </c>
      <c r="O410" s="602">
        <f>-MIN($J$412*O405,O409)</f>
        <v>0</v>
      </c>
    </row>
    <row r="411" spans="2:15" outlineLevel="1">
      <c r="C411" s="599" t="s">
        <v>126</v>
      </c>
      <c r="E411" s="598"/>
      <c r="G411" s="598"/>
      <c r="H411" s="785">
        <f>Transaction!$E$68</f>
        <v>1</v>
      </c>
      <c r="I411" s="609"/>
      <c r="J411" s="786"/>
      <c r="K411" s="602">
        <f>-MIN($H$411*K406,K409+K410)*K407</f>
        <v>0</v>
      </c>
      <c r="L411" s="602">
        <f>-MIN($H$411*L406,L409+L410)*L407</f>
        <v>0</v>
      </c>
      <c r="M411" s="602">
        <f>-MIN($H$411*M406,M409+M410)*M407</f>
        <v>0</v>
      </c>
      <c r="N411" s="602">
        <f>-MIN($H$411*N406,N409+N410)*N407</f>
        <v>0</v>
      </c>
      <c r="O411" s="602">
        <f>-MIN($H$411*O406,O409+O410)*O407</f>
        <v>0</v>
      </c>
    </row>
    <row r="412" spans="2:15" outlineLevel="1">
      <c r="C412" s="508" t="s">
        <v>8</v>
      </c>
      <c r="D412" s="607"/>
      <c r="E412" s="598"/>
      <c r="G412" s="598"/>
      <c r="H412" s="597"/>
      <c r="I412" s="609"/>
      <c r="J412" s="619">
        <f>Transaction!J10</f>
        <v>0</v>
      </c>
      <c r="K412" s="605">
        <f>SUM(K409:K411)</f>
        <v>0</v>
      </c>
      <c r="L412" s="605">
        <f>SUM(L409:L411)</f>
        <v>0</v>
      </c>
      <c r="M412" s="605">
        <f>SUM(M409:M411)</f>
        <v>0</v>
      </c>
      <c r="N412" s="605">
        <f>SUM(N409:N411)</f>
        <v>0</v>
      </c>
      <c r="O412" s="605">
        <f>SUM(O409:O411)</f>
        <v>0</v>
      </c>
    </row>
    <row r="413" spans="2:15" outlineLevel="1">
      <c r="B413" s="758"/>
      <c r="C413" s="598"/>
      <c r="D413" s="607"/>
      <c r="E413" s="598"/>
      <c r="G413" s="598"/>
      <c r="H413" s="597"/>
      <c r="I413" s="609"/>
      <c r="J413" s="609"/>
      <c r="K413" s="609"/>
      <c r="L413" s="610"/>
      <c r="M413" s="610"/>
      <c r="N413" s="610"/>
      <c r="O413" s="610"/>
    </row>
    <row r="414" spans="2:15" outlineLevel="1">
      <c r="B414" s="758"/>
      <c r="C414" s="599" t="s">
        <v>232</v>
      </c>
      <c r="D414" s="607"/>
      <c r="E414" s="598"/>
      <c r="G414" s="598"/>
      <c r="H414" s="597"/>
      <c r="I414" s="609"/>
      <c r="J414" s="609"/>
      <c r="K414" s="787">
        <f>Transaction!$I$57/10000</f>
        <v>0.15</v>
      </c>
      <c r="L414" s="787">
        <f>Transaction!$I$57/10000</f>
        <v>0.15</v>
      </c>
      <c r="M414" s="787">
        <f>Transaction!$I$57/10000</f>
        <v>0.15</v>
      </c>
      <c r="N414" s="787">
        <f>Transaction!$I$57/10000</f>
        <v>0.15</v>
      </c>
      <c r="O414" s="787">
        <f>Transaction!$I$57/10000</f>
        <v>0.15</v>
      </c>
    </row>
    <row r="415" spans="2:15" outlineLevel="1">
      <c r="B415" s="758"/>
      <c r="C415" s="599" t="s">
        <v>225</v>
      </c>
      <c r="D415" s="607"/>
      <c r="E415" s="598"/>
      <c r="F415" s="598"/>
      <c r="G415" s="598"/>
      <c r="H415" s="754" t="s">
        <v>198</v>
      </c>
      <c r="I415" s="609"/>
      <c r="J415" s="773"/>
      <c r="K415" s="760">
        <f>K414+K401/10000</f>
        <v>0.1555</v>
      </c>
      <c r="L415" s="760">
        <f>L414+L401/10000</f>
        <v>0.1575</v>
      </c>
      <c r="M415" s="760">
        <f>M414+M401/10000</f>
        <v>0.1595</v>
      </c>
      <c r="N415" s="760">
        <f>N414+N401/10000</f>
        <v>0.1615</v>
      </c>
      <c r="O415" s="760">
        <f>O414+O401/10000</f>
        <v>0.16350000000000001</v>
      </c>
    </row>
    <row r="416" spans="2:15" outlineLevel="1">
      <c r="C416" s="599" t="s">
        <v>131</v>
      </c>
      <c r="D416" s="607"/>
      <c r="E416" s="598"/>
      <c r="G416" s="598"/>
      <c r="H416" s="761">
        <f>Cover!$M$22</f>
        <v>2</v>
      </c>
      <c r="I416" s="609"/>
      <c r="J416" s="609"/>
      <c r="K416" s="602">
        <f>IF($H$416=1,K415*AVERAGE(K409,K412),K409*K415)</f>
        <v>0</v>
      </c>
      <c r="L416" s="602">
        <f>IF($H$416=1,L415*AVERAGE(L409,L412),L409*L415)</f>
        <v>0</v>
      </c>
      <c r="M416" s="602">
        <f>IF($H$416=1,M415*AVERAGE(M409,M412),M409*M415)</f>
        <v>0</v>
      </c>
      <c r="N416" s="602">
        <f>IF($H$416=1,N415*AVERAGE(N409,N412),N409*N415)</f>
        <v>0</v>
      </c>
      <c r="O416" s="602">
        <f>IF($H$416=1,O415*AVERAGE(O409,O412),O409*O415)</f>
        <v>0</v>
      </c>
    </row>
    <row r="417" spans="2:15" outlineLevel="1">
      <c r="B417" s="606"/>
      <c r="C417" s="598"/>
      <c r="D417" s="607"/>
      <c r="E417" s="598"/>
      <c r="G417" s="598"/>
      <c r="H417" s="597"/>
      <c r="I417" s="609"/>
      <c r="J417" s="609"/>
      <c r="K417" s="609"/>
      <c r="L417" s="610"/>
      <c r="M417" s="610"/>
      <c r="N417" s="610"/>
      <c r="O417" s="610"/>
    </row>
    <row r="418" spans="2:15" outlineLevel="1">
      <c r="B418" s="606"/>
      <c r="C418" s="598"/>
      <c r="D418" s="607"/>
      <c r="E418" s="598"/>
      <c r="G418" s="598"/>
      <c r="H418" s="597"/>
      <c r="I418" s="609"/>
      <c r="J418" s="609"/>
      <c r="K418" s="609"/>
      <c r="L418" s="609"/>
      <c r="M418" s="609"/>
      <c r="N418" s="609"/>
      <c r="O418" s="609"/>
    </row>
    <row r="419" spans="2:15" outlineLevel="1">
      <c r="B419" s="606"/>
      <c r="C419" s="598"/>
      <c r="D419" s="607"/>
      <c r="E419" s="598"/>
      <c r="G419" s="598"/>
      <c r="H419" s="597"/>
      <c r="I419" s="609"/>
      <c r="J419" s="609"/>
      <c r="K419" s="609"/>
      <c r="L419" s="609"/>
      <c r="M419" s="609"/>
      <c r="N419" s="609"/>
      <c r="O419" s="609"/>
    </row>
    <row r="420" spans="2:15" outlineLevel="1">
      <c r="B420" s="749" t="s">
        <v>281</v>
      </c>
      <c r="C420" s="597"/>
      <c r="E420" s="597"/>
      <c r="G420" s="597"/>
      <c r="H420" s="597"/>
      <c r="I420" s="601"/>
      <c r="J420" s="601"/>
      <c r="K420" s="601"/>
      <c r="L420" s="600"/>
      <c r="M420" s="600"/>
      <c r="N420" s="600"/>
      <c r="O420" s="600"/>
    </row>
    <row r="421" spans="2:15" outlineLevel="1">
      <c r="C421" s="599" t="s">
        <v>124</v>
      </c>
      <c r="E421" s="774"/>
      <c r="G421" s="774"/>
      <c r="H421" s="788"/>
      <c r="I421" s="775"/>
      <c r="J421" s="775"/>
      <c r="K421" s="789">
        <f>Transaction!F79</f>
        <v>0</v>
      </c>
      <c r="L421" s="790">
        <f>Transaction!G79</f>
        <v>0</v>
      </c>
      <c r="M421" s="790">
        <f>Transaction!H79</f>
        <v>0</v>
      </c>
      <c r="N421" s="790">
        <f>Transaction!I79</f>
        <v>0</v>
      </c>
      <c r="O421" s="791">
        <f>Transaction!J79</f>
        <v>0</v>
      </c>
    </row>
    <row r="422" spans="2:15" outlineLevel="1">
      <c r="C422" s="599" t="s">
        <v>290</v>
      </c>
      <c r="D422" s="753"/>
      <c r="E422" s="597"/>
      <c r="G422" s="598"/>
      <c r="H422" s="597"/>
      <c r="I422" s="609"/>
      <c r="J422" s="609"/>
      <c r="K422" s="779">
        <f>K392</f>
        <v>76080.577957259316</v>
      </c>
      <c r="L422" s="602">
        <f>L392</f>
        <v>132586.42975802426</v>
      </c>
      <c r="M422" s="602">
        <f>M392</f>
        <v>221757.71794061197</v>
      </c>
      <c r="N422" s="602">
        <f>N392</f>
        <v>328154.31490498001</v>
      </c>
      <c r="O422" s="780">
        <f>O392</f>
        <v>453322.14719423768</v>
      </c>
    </row>
    <row r="423" spans="2:15" outlineLevel="1">
      <c r="C423" s="599" t="s">
        <v>166</v>
      </c>
      <c r="D423" s="753"/>
      <c r="E423" s="597"/>
      <c r="G423" s="598"/>
      <c r="H423" s="597"/>
      <c r="I423" s="609"/>
      <c r="J423" s="609"/>
      <c r="K423" s="781">
        <f>IF(K422&gt;0,1,0)</f>
        <v>1</v>
      </c>
      <c r="L423" s="782">
        <f>IF(L422&gt;0,1,0)</f>
        <v>1</v>
      </c>
      <c r="M423" s="782">
        <f>IF(M422&gt;0,1,0)</f>
        <v>1</v>
      </c>
      <c r="N423" s="782">
        <f>IF(N422&gt;0,1,0)</f>
        <v>1</v>
      </c>
      <c r="O423" s="783">
        <f>IF(O422&gt;0,1,0)</f>
        <v>1</v>
      </c>
    </row>
    <row r="424" spans="2:15" outlineLevel="1">
      <c r="C424" s="599"/>
      <c r="E424" s="774"/>
      <c r="G424" s="774"/>
      <c r="H424" s="788"/>
      <c r="I424" s="775"/>
      <c r="J424" s="775"/>
      <c r="K424" s="775"/>
      <c r="L424" s="775"/>
      <c r="M424" s="775"/>
      <c r="N424" s="775"/>
      <c r="O424" s="775"/>
    </row>
    <row r="425" spans="2:15" outlineLevel="1">
      <c r="C425" s="599" t="s">
        <v>7</v>
      </c>
      <c r="E425" s="598"/>
      <c r="G425" s="598"/>
      <c r="H425" s="754"/>
      <c r="I425" s="609"/>
      <c r="J425" s="609"/>
      <c r="K425" s="602">
        <f>J428</f>
        <v>0</v>
      </c>
      <c r="L425" s="620">
        <f>K428</f>
        <v>0</v>
      </c>
      <c r="M425" s="620">
        <f>L428</f>
        <v>0</v>
      </c>
      <c r="N425" s="620">
        <f>M428</f>
        <v>0</v>
      </c>
      <c r="O425" s="620">
        <f>N428</f>
        <v>0</v>
      </c>
    </row>
    <row r="426" spans="2:15" outlineLevel="1">
      <c r="C426" s="599" t="s">
        <v>125</v>
      </c>
      <c r="E426" s="598"/>
      <c r="G426" s="598"/>
      <c r="H426" s="754" t="s">
        <v>244</v>
      </c>
      <c r="I426" s="609"/>
      <c r="J426" s="609"/>
      <c r="K426" s="602">
        <f>-MIN($J$418*K421,K425)</f>
        <v>0</v>
      </c>
      <c r="L426" s="620">
        <f>-MIN($J$418*L421,L425)</f>
        <v>0</v>
      </c>
      <c r="M426" s="620">
        <f>-MIN($J$418*M421,M425)</f>
        <v>0</v>
      </c>
      <c r="N426" s="620">
        <f>-MIN($J$418*N421,N425)</f>
        <v>0</v>
      </c>
      <c r="O426" s="620">
        <f>-MIN($J$418*O421,O425)</f>
        <v>0</v>
      </c>
    </row>
    <row r="427" spans="2:15" outlineLevel="1">
      <c r="C427" s="599" t="s">
        <v>126</v>
      </c>
      <c r="E427" s="598"/>
      <c r="G427" s="598"/>
      <c r="H427" s="785">
        <f>Transaction!$E$69</f>
        <v>1</v>
      </c>
      <c r="I427" s="609"/>
      <c r="J427" s="786"/>
      <c r="K427" s="602">
        <f>-MIN($H$417*K422,K425+K426)*K423</f>
        <v>0</v>
      </c>
      <c r="L427" s="602">
        <f>-MIN($H$417*L422,L425+L426)*L423</f>
        <v>0</v>
      </c>
      <c r="M427" s="602">
        <f>-MIN($H$417*M422,M425+M426)*M423</f>
        <v>0</v>
      </c>
      <c r="N427" s="602">
        <f>-MIN($H$417*N422,N425+N426)*N423</f>
        <v>0</v>
      </c>
      <c r="O427" s="602">
        <f>-MIN($H$417*O422,O425+O426)*O423</f>
        <v>0</v>
      </c>
    </row>
    <row r="428" spans="2:15" outlineLevel="1">
      <c r="C428" s="508" t="s">
        <v>8</v>
      </c>
      <c r="D428" s="508"/>
      <c r="E428" s="598"/>
      <c r="G428" s="598"/>
      <c r="H428" s="597"/>
      <c r="I428" s="609"/>
      <c r="J428" s="619">
        <f>Transaction!J11</f>
        <v>0</v>
      </c>
      <c r="K428" s="605">
        <f>SUM(K425:K427)</f>
        <v>0</v>
      </c>
      <c r="L428" s="605">
        <f>SUM(L425:L427)</f>
        <v>0</v>
      </c>
      <c r="M428" s="605">
        <f>SUM(M425:M427)</f>
        <v>0</v>
      </c>
      <c r="N428" s="605">
        <f>SUM(N425:N427)</f>
        <v>0</v>
      </c>
      <c r="O428" s="605">
        <f>SUM(O425:O427)</f>
        <v>0</v>
      </c>
    </row>
    <row r="429" spans="2:15" outlineLevel="1">
      <c r="C429" s="758"/>
      <c r="D429" s="607"/>
      <c r="E429" s="598"/>
      <c r="G429" s="598"/>
      <c r="H429" s="597"/>
      <c r="I429" s="609"/>
      <c r="J429" s="609"/>
      <c r="K429" s="609"/>
      <c r="L429" s="610"/>
      <c r="M429" s="610"/>
      <c r="N429" s="610"/>
      <c r="O429" s="610"/>
    </row>
    <row r="430" spans="2:15" outlineLevel="1">
      <c r="C430" s="599" t="s">
        <v>232</v>
      </c>
      <c r="D430" s="607"/>
      <c r="E430" s="598"/>
      <c r="G430" s="598"/>
      <c r="H430" s="597"/>
      <c r="I430" s="609"/>
      <c r="J430" s="609"/>
      <c r="K430" s="787">
        <f>Transaction!$I$58/10000</f>
        <v>0.18</v>
      </c>
      <c r="L430" s="787">
        <f>Transaction!$I$58/10000</f>
        <v>0.18</v>
      </c>
      <c r="M430" s="787">
        <f>Transaction!$I$58/10000</f>
        <v>0.18</v>
      </c>
      <c r="N430" s="787">
        <f>Transaction!$I$58/10000</f>
        <v>0.18</v>
      </c>
      <c r="O430" s="787">
        <f>Transaction!$I$58/10000</f>
        <v>0.18</v>
      </c>
    </row>
    <row r="431" spans="2:15" outlineLevel="1">
      <c r="C431" s="599" t="s">
        <v>225</v>
      </c>
      <c r="D431" s="607"/>
      <c r="E431" s="598"/>
      <c r="G431" s="598"/>
      <c r="H431" s="754" t="s">
        <v>198</v>
      </c>
      <c r="I431" s="609"/>
      <c r="J431" s="609"/>
      <c r="K431" s="760">
        <f>K430+K401/10000</f>
        <v>0.1855</v>
      </c>
      <c r="L431" s="760">
        <f>L430+L401/10000</f>
        <v>0.1875</v>
      </c>
      <c r="M431" s="760">
        <f>M430+M401/10000</f>
        <v>0.1895</v>
      </c>
      <c r="N431" s="760">
        <f>N430+N401/10000</f>
        <v>0.1915</v>
      </c>
      <c r="O431" s="760">
        <f>O430+O401/10000</f>
        <v>0.19350000000000001</v>
      </c>
    </row>
    <row r="432" spans="2:15" outlineLevel="1">
      <c r="C432" s="599" t="s">
        <v>131</v>
      </c>
      <c r="D432" s="599"/>
      <c r="E432" s="598"/>
      <c r="G432" s="598"/>
      <c r="H432" s="761">
        <f>Cover!$M$22</f>
        <v>2</v>
      </c>
      <c r="I432" s="609"/>
      <c r="J432" s="609"/>
      <c r="K432" s="602">
        <f>IF($H$432=1,K431*AVERAGE(K425,K428),K431*K425)</f>
        <v>0</v>
      </c>
      <c r="L432" s="602">
        <f>IF($H$432=1,L431*AVERAGE(L425,L428),L431*L425)</f>
        <v>0</v>
      </c>
      <c r="M432" s="602">
        <f>IF($H$432=1,M431*AVERAGE(M425,M428),M431*M425)</f>
        <v>0</v>
      </c>
      <c r="N432" s="602">
        <f>IF($H$432=1,N431*AVERAGE(N425,N428),N431*N425)</f>
        <v>0</v>
      </c>
      <c r="O432" s="602">
        <f>IF($H$432=1,O431*AVERAGE(O425,O428),O431*O425)</f>
        <v>0</v>
      </c>
    </row>
    <row r="433" spans="1:15" outlineLevel="1">
      <c r="B433" s="758"/>
      <c r="C433" s="598"/>
      <c r="D433" s="607"/>
      <c r="E433" s="598"/>
      <c r="F433" s="598"/>
      <c r="G433" s="598"/>
      <c r="H433" s="610"/>
      <c r="I433" s="610"/>
      <c r="J433" s="609"/>
      <c r="K433" s="610"/>
      <c r="L433" s="610"/>
      <c r="M433" s="610"/>
      <c r="N433" s="610"/>
      <c r="O433" s="610"/>
    </row>
    <row r="434" spans="1:15" outlineLevel="1">
      <c r="B434" s="622"/>
      <c r="C434" s="622"/>
      <c r="D434" s="622"/>
      <c r="E434" s="622"/>
      <c r="F434" s="622"/>
      <c r="G434" s="622"/>
      <c r="H434" s="622"/>
      <c r="I434" s="622"/>
      <c r="J434" s="622"/>
      <c r="K434" s="622"/>
      <c r="L434" s="622"/>
      <c r="M434" s="622"/>
      <c r="N434" s="622"/>
      <c r="O434" s="622"/>
    </row>
    <row r="435" spans="1:15">
      <c r="B435" s="597"/>
      <c r="C435" s="597"/>
      <c r="E435" s="597"/>
      <c r="F435" s="753"/>
      <c r="G435" s="597"/>
      <c r="H435" s="601"/>
      <c r="I435" s="601"/>
      <c r="J435" s="601"/>
      <c r="K435" s="601"/>
      <c r="L435" s="600"/>
      <c r="M435" s="600"/>
      <c r="N435" s="600"/>
      <c r="O435" s="600"/>
    </row>
    <row r="436" spans="1:15">
      <c r="A436" s="467" t="s">
        <v>80</v>
      </c>
      <c r="B436" s="626" t="s">
        <v>296</v>
      </c>
      <c r="C436" s="627"/>
      <c r="D436" s="628"/>
      <c r="E436" s="628"/>
      <c r="F436" s="629"/>
      <c r="G436" s="629"/>
      <c r="H436" s="630"/>
      <c r="I436" s="630"/>
      <c r="J436" s="630"/>
      <c r="K436" s="630"/>
      <c r="L436" s="630"/>
      <c r="M436" s="630"/>
      <c r="N436" s="630"/>
      <c r="O436" s="630"/>
    </row>
    <row r="437" spans="1:15" outlineLevel="1">
      <c r="B437" s="587"/>
      <c r="C437" s="588"/>
      <c r="D437" s="589"/>
      <c r="E437" s="481"/>
      <c r="F437" s="481"/>
      <c r="G437" s="481"/>
      <c r="H437" s="481"/>
      <c r="I437" s="481"/>
      <c r="J437" s="481"/>
      <c r="K437" s="482"/>
      <c r="L437" s="482"/>
      <c r="M437" s="482"/>
      <c r="N437" s="482"/>
      <c r="O437" s="482"/>
    </row>
    <row r="438" spans="1:15" ht="12.6" outlineLevel="1" thickBot="1">
      <c r="B438" s="483" t="s">
        <v>344</v>
      </c>
      <c r="C438" s="588"/>
      <c r="D438" s="590"/>
      <c r="E438" s="590"/>
      <c r="F438" s="590"/>
      <c r="G438" s="590"/>
      <c r="H438" s="591"/>
      <c r="I438" s="484"/>
      <c r="J438" s="485" t="s">
        <v>130</v>
      </c>
      <c r="K438" s="486">
        <f>$K$5</f>
        <v>2025</v>
      </c>
      <c r="L438" s="486">
        <f>K438+1</f>
        <v>2026</v>
      </c>
      <c r="M438" s="486">
        <f>L438+1</f>
        <v>2027</v>
      </c>
      <c r="N438" s="486">
        <f>M438+1</f>
        <v>2028</v>
      </c>
      <c r="O438" s="486">
        <f>N438+1</f>
        <v>2029</v>
      </c>
    </row>
    <row r="439" spans="1:15" outlineLevel="1">
      <c r="B439" s="483" t="str">
        <f>$B$6</f>
        <v>Model Running: Base Case Drivers</v>
      </c>
      <c r="C439" s="588"/>
      <c r="D439" s="590"/>
      <c r="E439" s="590"/>
      <c r="F439" s="590"/>
      <c r="G439" s="590"/>
      <c r="H439" s="591"/>
      <c r="I439" s="484"/>
      <c r="J439" s="590"/>
      <c r="K439" s="487"/>
      <c r="L439" s="487"/>
      <c r="M439" s="487"/>
      <c r="N439" s="487"/>
      <c r="O439" s="487"/>
    </row>
    <row r="440" spans="1:15" outlineLevel="1">
      <c r="B440" s="483"/>
      <c r="C440" s="588"/>
      <c r="D440" s="590"/>
      <c r="E440" s="590"/>
      <c r="F440" s="590"/>
      <c r="G440" s="590"/>
      <c r="H440" s="591"/>
      <c r="I440" s="484"/>
      <c r="J440" s="590"/>
      <c r="K440" s="487"/>
      <c r="L440" s="487"/>
      <c r="M440" s="487"/>
      <c r="N440" s="487"/>
      <c r="O440" s="487"/>
    </row>
    <row r="441" spans="1:15" outlineLevel="1">
      <c r="B441" s="749" t="s">
        <v>291</v>
      </c>
      <c r="C441" s="597"/>
      <c r="E441" s="597"/>
      <c r="G441" s="597"/>
      <c r="H441" s="590"/>
      <c r="I441" s="601"/>
      <c r="J441" s="601"/>
      <c r="K441" s="601"/>
      <c r="L441" s="600"/>
      <c r="M441" s="600"/>
      <c r="N441" s="600"/>
      <c r="O441" s="600"/>
    </row>
    <row r="442" spans="1:15" outlineLevel="1">
      <c r="C442" s="599" t="s">
        <v>124</v>
      </c>
      <c r="E442" s="774"/>
      <c r="G442" s="774"/>
      <c r="H442" s="788"/>
      <c r="I442" s="775"/>
      <c r="J442" s="775"/>
      <c r="K442" s="792">
        <f>Transaction!F70</f>
        <v>0</v>
      </c>
      <c r="L442" s="793">
        <f>Transaction!G70</f>
        <v>0</v>
      </c>
      <c r="M442" s="793">
        <f>Transaction!H70</f>
        <v>0</v>
      </c>
      <c r="N442" s="793">
        <f>Transaction!I70</f>
        <v>0</v>
      </c>
      <c r="O442" s="794">
        <f>Transaction!J70</f>
        <v>0</v>
      </c>
    </row>
    <row r="443" spans="1:15" outlineLevel="1">
      <c r="C443" s="599"/>
      <c r="E443" s="774"/>
      <c r="G443" s="774"/>
      <c r="H443" s="788"/>
      <c r="I443" s="775"/>
      <c r="J443" s="775"/>
      <c r="K443" s="775"/>
      <c r="L443" s="775"/>
      <c r="M443" s="775"/>
      <c r="N443" s="775"/>
      <c r="O443" s="775"/>
    </row>
    <row r="444" spans="1:15" outlineLevel="1">
      <c r="C444" s="599" t="s">
        <v>7</v>
      </c>
      <c r="E444" s="597"/>
      <c r="G444" s="597"/>
      <c r="H444" s="753"/>
      <c r="I444" s="601"/>
      <c r="J444" s="601"/>
      <c r="K444" s="602">
        <f>J447</f>
        <v>0</v>
      </c>
      <c r="L444" s="620">
        <f>K447</f>
        <v>0</v>
      </c>
      <c r="M444" s="620">
        <f>L447</f>
        <v>0</v>
      </c>
      <c r="N444" s="620">
        <f>M447</f>
        <v>0</v>
      </c>
      <c r="O444" s="620">
        <f>N447</f>
        <v>0</v>
      </c>
    </row>
    <row r="445" spans="1:15" outlineLevel="1">
      <c r="C445" s="599" t="s">
        <v>125</v>
      </c>
      <c r="E445" s="597"/>
      <c r="G445" s="597"/>
      <c r="H445" s="753"/>
      <c r="I445" s="601"/>
      <c r="J445" s="601"/>
      <c r="K445" s="602">
        <f>-MIN($J$447*K442,K444)</f>
        <v>0</v>
      </c>
      <c r="L445" s="602">
        <f>-MIN($J$447*L442,L444)</f>
        <v>0</v>
      </c>
      <c r="M445" s="602">
        <f>-MIN($J$447*M442,M444)</f>
        <v>0</v>
      </c>
      <c r="N445" s="602">
        <f>-MIN($J$447*N442,N444)</f>
        <v>0</v>
      </c>
      <c r="O445" s="602">
        <f>-MIN($J$447*O442,O444)</f>
        <v>0</v>
      </c>
    </row>
    <row r="446" spans="1:15" outlineLevel="1">
      <c r="C446" s="599" t="s">
        <v>214</v>
      </c>
      <c r="E446" s="597"/>
      <c r="G446" s="597"/>
      <c r="H446" s="753"/>
      <c r="I446" s="601"/>
      <c r="J446" s="757"/>
      <c r="K446" s="604">
        <f>K457</f>
        <v>0</v>
      </c>
      <c r="L446" s="604">
        <f>L457</f>
        <v>0</v>
      </c>
      <c r="M446" s="604">
        <f>M457</f>
        <v>0</v>
      </c>
      <c r="N446" s="604">
        <f>N457</f>
        <v>0</v>
      </c>
      <c r="O446" s="604">
        <f>O457</f>
        <v>0</v>
      </c>
    </row>
    <row r="447" spans="1:15" outlineLevel="1">
      <c r="C447" s="508" t="s">
        <v>8</v>
      </c>
      <c r="E447" s="597"/>
      <c r="G447" s="597"/>
      <c r="H447" s="753"/>
      <c r="I447" s="601"/>
      <c r="J447" s="619">
        <f>Transaction!J12</f>
        <v>0</v>
      </c>
      <c r="K447" s="602">
        <f>SUM(K444:K446)</f>
        <v>0</v>
      </c>
      <c r="L447" s="602">
        <f>SUM(L444:L446)</f>
        <v>0</v>
      </c>
      <c r="M447" s="602">
        <f>SUM(M444:M446)</f>
        <v>0</v>
      </c>
      <c r="N447" s="602">
        <f>SUM(N444:N446)</f>
        <v>0</v>
      </c>
      <c r="O447" s="602">
        <f>SUM(O444:O446)</f>
        <v>0</v>
      </c>
    </row>
    <row r="448" spans="1:15" outlineLevel="1">
      <c r="C448" s="508"/>
      <c r="E448" s="597"/>
      <c r="G448" s="597"/>
      <c r="H448" s="753"/>
      <c r="I448" s="601"/>
      <c r="J448" s="601"/>
      <c r="K448" s="601"/>
      <c r="L448" s="601"/>
      <c r="M448" s="601"/>
      <c r="N448" s="601"/>
      <c r="O448" s="601"/>
    </row>
    <row r="449" spans="2:15" outlineLevel="1">
      <c r="C449" s="508"/>
      <c r="E449" s="597"/>
      <c r="G449" s="597"/>
      <c r="H449" s="753"/>
      <c r="I449" s="601"/>
      <c r="J449" s="601"/>
      <c r="K449" s="601"/>
      <c r="L449" s="601"/>
      <c r="M449" s="601"/>
      <c r="N449" s="601"/>
      <c r="O449" s="601"/>
    </row>
    <row r="450" spans="2:15" outlineLevel="1">
      <c r="C450" s="758" t="s">
        <v>225</v>
      </c>
      <c r="E450" s="597"/>
      <c r="G450" s="597"/>
      <c r="I450" s="601"/>
      <c r="J450" s="601"/>
      <c r="K450" s="795">
        <v>0.12</v>
      </c>
      <c r="L450" s="795">
        <v>0.12</v>
      </c>
      <c r="M450" s="795">
        <v>0.12</v>
      </c>
      <c r="N450" s="795">
        <v>0.12</v>
      </c>
      <c r="O450" s="795">
        <v>0.12</v>
      </c>
    </row>
    <row r="451" spans="2:15" outlineLevel="1">
      <c r="C451" s="508"/>
      <c r="E451" s="597"/>
      <c r="G451" s="597"/>
      <c r="H451" s="753"/>
      <c r="I451" s="601"/>
      <c r="J451" s="601"/>
      <c r="K451" s="796"/>
      <c r="L451" s="796"/>
      <c r="M451" s="796"/>
      <c r="N451" s="796"/>
      <c r="O451" s="796"/>
    </row>
    <row r="452" spans="2:15" outlineLevel="1">
      <c r="C452" s="758" t="s">
        <v>248</v>
      </c>
      <c r="E452" s="597"/>
      <c r="G452" s="597"/>
      <c r="H452" s="753"/>
      <c r="I452" s="601"/>
      <c r="J452" s="601"/>
      <c r="K452" s="795">
        <f>1-K453</f>
        <v>0.4</v>
      </c>
      <c r="L452" s="795">
        <f>1-L453</f>
        <v>0.4</v>
      </c>
      <c r="M452" s="795">
        <f>1-M453</f>
        <v>0.4</v>
      </c>
      <c r="N452" s="795">
        <f>1-N453</f>
        <v>0.4</v>
      </c>
      <c r="O452" s="795">
        <f>1-O453</f>
        <v>0.4</v>
      </c>
    </row>
    <row r="453" spans="2:15" outlineLevel="1">
      <c r="C453" s="758" t="s">
        <v>249</v>
      </c>
      <c r="E453" s="597"/>
      <c r="G453" s="597"/>
      <c r="H453" s="753"/>
      <c r="I453" s="601"/>
      <c r="J453" s="601"/>
      <c r="K453" s="797">
        <v>0.6</v>
      </c>
      <c r="L453" s="797">
        <v>0.6</v>
      </c>
      <c r="M453" s="797">
        <v>0.6</v>
      </c>
      <c r="N453" s="797">
        <v>0.6</v>
      </c>
      <c r="O453" s="797">
        <v>0.6</v>
      </c>
    </row>
    <row r="454" spans="2:15" outlineLevel="1">
      <c r="C454" s="508" t="s">
        <v>250</v>
      </c>
      <c r="E454" s="597"/>
      <c r="G454" s="597"/>
      <c r="H454" s="753"/>
      <c r="I454" s="601"/>
      <c r="J454" s="601"/>
      <c r="K454" s="795">
        <f>SUM(K452:K453)</f>
        <v>1</v>
      </c>
      <c r="L454" s="795">
        <f>SUM(L452:L453)</f>
        <v>1</v>
      </c>
      <c r="M454" s="795">
        <f>SUM(M452:M453)</f>
        <v>1</v>
      </c>
      <c r="N454" s="795">
        <f>SUM(N452:N453)</f>
        <v>1</v>
      </c>
      <c r="O454" s="795">
        <f>SUM(O452:O453)</f>
        <v>1</v>
      </c>
    </row>
    <row r="455" spans="2:15" outlineLevel="1">
      <c r="C455" s="758"/>
      <c r="E455" s="597"/>
      <c r="G455" s="597"/>
      <c r="H455" s="753"/>
      <c r="I455" s="601"/>
      <c r="J455" s="601"/>
      <c r="K455" s="601"/>
      <c r="L455" s="600"/>
      <c r="M455" s="600"/>
      <c r="N455" s="600"/>
      <c r="O455" s="600"/>
    </row>
    <row r="456" spans="2:15" outlineLevel="1">
      <c r="C456" s="758" t="s">
        <v>229</v>
      </c>
      <c r="E456" s="597"/>
      <c r="G456" s="597"/>
      <c r="H456" s="754" t="s">
        <v>198</v>
      </c>
      <c r="I456" s="601"/>
      <c r="J456" s="601"/>
      <c r="K456" s="798">
        <f>K$450*K452*AVERAGE(K$444,K$447)</f>
        <v>0</v>
      </c>
      <c r="L456" s="798">
        <f>L$450*L452*AVERAGE(L$444,L$447)</f>
        <v>0</v>
      </c>
      <c r="M456" s="798">
        <f>M$450*M452*AVERAGE(M$444,M$447)</f>
        <v>0</v>
      </c>
      <c r="N456" s="798">
        <f>N$450*N452*AVERAGE(N$444,N$447)</f>
        <v>0</v>
      </c>
      <c r="O456" s="798">
        <f>O$450*O452*AVERAGE(O$444,O$447)</f>
        <v>0</v>
      </c>
    </row>
    <row r="457" spans="2:15" outlineLevel="1">
      <c r="C457" s="758" t="s">
        <v>230</v>
      </c>
      <c r="E457" s="597"/>
      <c r="G457" s="597"/>
      <c r="H457" s="761">
        <f>Cover!$M$22</f>
        <v>2</v>
      </c>
      <c r="I457" s="601"/>
      <c r="J457" s="601"/>
      <c r="K457" s="799">
        <f>IF($H$457=1,K$450*K453*AVERAGE(K$444,K$447),K$453*K$450*K$444)</f>
        <v>0</v>
      </c>
      <c r="L457" s="799">
        <f>IF($H$457=1,L$450*L453*AVERAGE(L$444,L$447),L$453*L$450*L$444)</f>
        <v>0</v>
      </c>
      <c r="M457" s="799">
        <f>IF($H$457=1,M$450*M453*AVERAGE(M$444,M$447),M$453*M$450*M$444)</f>
        <v>0</v>
      </c>
      <c r="N457" s="799">
        <f>IF($H$457=1,N$450*N453*AVERAGE(N$444,N$447),N$453*N$450*N$444)</f>
        <v>0</v>
      </c>
      <c r="O457" s="799">
        <f>IF($H$457=1,O$450*O453*AVERAGE(O$444,O$447),O$453*O$450*O$444)</f>
        <v>0</v>
      </c>
    </row>
    <row r="458" spans="2:15" outlineLevel="1">
      <c r="C458" s="508" t="s">
        <v>251</v>
      </c>
      <c r="I458" s="601"/>
      <c r="J458" s="601"/>
      <c r="K458" s="798">
        <f>SUM(K456:K457)</f>
        <v>0</v>
      </c>
      <c r="L458" s="798">
        <f>SUM(L456:L457)</f>
        <v>0</v>
      </c>
      <c r="M458" s="798">
        <f>SUM(M456:M457)</f>
        <v>0</v>
      </c>
      <c r="N458" s="798">
        <f>SUM(N456:N457)</f>
        <v>0</v>
      </c>
      <c r="O458" s="798">
        <f>SUM(O456:O457)</f>
        <v>0</v>
      </c>
    </row>
    <row r="459" spans="2:15" outlineLevel="1">
      <c r="B459" s="483"/>
      <c r="C459" s="588"/>
      <c r="D459" s="590"/>
      <c r="E459" s="590"/>
      <c r="F459" s="590"/>
      <c r="G459" s="590"/>
      <c r="H459" s="591"/>
      <c r="I459" s="484"/>
      <c r="J459" s="590"/>
      <c r="K459" s="487"/>
      <c r="L459" s="487"/>
      <c r="M459" s="487"/>
      <c r="N459" s="487"/>
      <c r="O459" s="487"/>
    </row>
    <row r="460" spans="2:15" outlineLevel="1">
      <c r="B460" s="483"/>
      <c r="C460" s="588"/>
      <c r="D460" s="590"/>
      <c r="E460" s="590"/>
      <c r="F460" s="590"/>
      <c r="G460" s="590"/>
      <c r="H460" s="591"/>
      <c r="I460" s="484"/>
      <c r="J460" s="590"/>
      <c r="K460" s="487"/>
      <c r="L460" s="487"/>
      <c r="M460" s="487"/>
      <c r="N460" s="487"/>
      <c r="O460" s="487"/>
    </row>
    <row r="461" spans="2:15" outlineLevel="1">
      <c r="B461" s="483"/>
      <c r="C461" s="588"/>
      <c r="D461" s="590"/>
      <c r="E461" s="590"/>
      <c r="F461" s="590"/>
      <c r="G461" s="590"/>
      <c r="H461" s="591"/>
      <c r="I461" s="484"/>
      <c r="J461" s="590"/>
      <c r="K461" s="487"/>
      <c r="L461" s="487"/>
      <c r="M461" s="487"/>
      <c r="N461" s="487"/>
      <c r="O461" s="487"/>
    </row>
    <row r="462" spans="2:15" outlineLevel="1">
      <c r="B462" s="749" t="s">
        <v>163</v>
      </c>
      <c r="C462" s="588"/>
      <c r="D462" s="590"/>
      <c r="E462" s="590"/>
      <c r="F462" s="590"/>
      <c r="G462" s="590"/>
      <c r="H462" s="590"/>
      <c r="I462" s="592"/>
      <c r="J462" s="592"/>
      <c r="K462" s="592"/>
      <c r="L462" s="592"/>
      <c r="M462" s="592"/>
      <c r="N462" s="592"/>
      <c r="O462" s="592"/>
    </row>
    <row r="463" spans="2:15" outlineLevel="1">
      <c r="B463" s="749"/>
      <c r="C463" s="599" t="s">
        <v>7</v>
      </c>
      <c r="D463" s="590"/>
      <c r="E463" s="590"/>
      <c r="F463" s="590"/>
      <c r="G463" s="590"/>
      <c r="H463" s="590"/>
      <c r="I463" s="800"/>
      <c r="J463" s="601"/>
      <c r="K463" s="620">
        <f>J465</f>
        <v>1500</v>
      </c>
      <c r="L463" s="620">
        <f>K465</f>
        <v>60444.217861009325</v>
      </c>
      <c r="M463" s="620">
        <f>L465</f>
        <v>134086.42975802426</v>
      </c>
      <c r="N463" s="620">
        <f>M465</f>
        <v>223257.71794061197</v>
      </c>
      <c r="O463" s="620">
        <f>N465</f>
        <v>329654.31490498001</v>
      </c>
    </row>
    <row r="464" spans="2:15" outlineLevel="1">
      <c r="B464" s="749"/>
      <c r="C464" s="599" t="s">
        <v>121</v>
      </c>
      <c r="D464" s="590"/>
      <c r="E464" s="590"/>
      <c r="F464" s="590"/>
      <c r="G464" s="590"/>
      <c r="H464" s="590"/>
      <c r="I464" s="800"/>
      <c r="J464" s="757"/>
      <c r="K464" s="602">
        <f>K158</f>
        <v>58944.217861009325</v>
      </c>
      <c r="L464" s="602">
        <f>L158</f>
        <v>73642.211897014931</v>
      </c>
      <c r="M464" s="602">
        <f>M158</f>
        <v>89171.288182587712</v>
      </c>
      <c r="N464" s="602">
        <f>N158</f>
        <v>106396.59696436804</v>
      </c>
      <c r="O464" s="602">
        <f>O158</f>
        <v>125167.83228925768</v>
      </c>
    </row>
    <row r="465" spans="1:15" outlineLevel="1">
      <c r="B465" s="749"/>
      <c r="C465" s="508" t="s">
        <v>8</v>
      </c>
      <c r="D465" s="590"/>
      <c r="E465" s="590"/>
      <c r="F465" s="590"/>
      <c r="G465" s="590"/>
      <c r="H465" s="590"/>
      <c r="I465" s="800"/>
      <c r="J465" s="619">
        <f>Transaction!I29</f>
        <v>1500</v>
      </c>
      <c r="K465" s="605">
        <f>SUM(K463:K464)</f>
        <v>60444.217861009325</v>
      </c>
      <c r="L465" s="605">
        <f>SUM(L463:L464)</f>
        <v>134086.42975802426</v>
      </c>
      <c r="M465" s="605">
        <f>SUM(M463:M464)</f>
        <v>223257.71794061197</v>
      </c>
      <c r="N465" s="605">
        <f>SUM(N463:N464)</f>
        <v>329654.31490498001</v>
      </c>
      <c r="O465" s="605">
        <f>SUM(O463:O464)</f>
        <v>454822.14719423768</v>
      </c>
    </row>
    <row r="466" spans="1:15" outlineLevel="1">
      <c r="B466" s="749"/>
      <c r="C466" s="599"/>
      <c r="D466" s="590"/>
      <c r="E466" s="590"/>
      <c r="F466" s="590"/>
      <c r="G466" s="590"/>
      <c r="H466" s="754"/>
      <c r="I466" s="800"/>
      <c r="J466" s="625"/>
      <c r="K466" s="625"/>
      <c r="L466" s="625"/>
      <c r="M466" s="625"/>
      <c r="N466" s="625"/>
      <c r="O466" s="625"/>
    </row>
    <row r="467" spans="1:15" outlineLevel="1">
      <c r="B467" s="749"/>
      <c r="C467" s="599" t="s">
        <v>225</v>
      </c>
      <c r="D467" s="590"/>
      <c r="E467" s="590"/>
      <c r="F467" s="590"/>
      <c r="G467" s="590"/>
      <c r="H467" s="754" t="s">
        <v>198</v>
      </c>
      <c r="I467" s="800"/>
      <c r="J467" s="625"/>
      <c r="K467" s="797">
        <f>Transaction!$I$30</f>
        <v>5.5E-2</v>
      </c>
      <c r="L467" s="797">
        <f>Transaction!$I$30</f>
        <v>5.5E-2</v>
      </c>
      <c r="M467" s="797">
        <f>Transaction!$I$30</f>
        <v>5.5E-2</v>
      </c>
      <c r="N467" s="797">
        <f>Transaction!$I$30</f>
        <v>5.5E-2</v>
      </c>
      <c r="O467" s="797">
        <f>Transaction!$I$30</f>
        <v>5.5E-2</v>
      </c>
    </row>
    <row r="468" spans="1:15" outlineLevel="1">
      <c r="B468" s="749"/>
      <c r="C468" s="599" t="s">
        <v>165</v>
      </c>
      <c r="D468" s="599"/>
      <c r="E468" s="590"/>
      <c r="F468" s="590"/>
      <c r="G468" s="590"/>
      <c r="H468" s="761">
        <f>Cover!$M$22</f>
        <v>2</v>
      </c>
      <c r="I468" s="800"/>
      <c r="J468" s="625"/>
      <c r="K468" s="801">
        <f>IF($H$457=1,K467*AVERAGE(K463,K465),K463*K467)</f>
        <v>82.5</v>
      </c>
      <c r="L468" s="801">
        <f>IF($H$457=1,L467*AVERAGE(L463,L465),L463*L467)</f>
        <v>3324.4319823555129</v>
      </c>
      <c r="M468" s="801">
        <f>IF($H$457=1,M467*AVERAGE(M463,M465),M463*M467)</f>
        <v>7374.7536366913346</v>
      </c>
      <c r="N468" s="801">
        <f>IF($H$457=1,N467*AVERAGE(N463,N465),N463*N467)</f>
        <v>12279.174486733658</v>
      </c>
      <c r="O468" s="801">
        <f>IF($H$457=1,O467*AVERAGE(O463,O465),O463*O467)</f>
        <v>18130.9873197739</v>
      </c>
    </row>
    <row r="469" spans="1:15" outlineLevel="1">
      <c r="B469" s="483"/>
      <c r="C469" s="588"/>
      <c r="D469" s="590"/>
      <c r="E469" s="590"/>
      <c r="F469" s="590"/>
      <c r="G469" s="590"/>
      <c r="H469" s="591"/>
      <c r="I469" s="484"/>
      <c r="J469" s="590"/>
      <c r="K469" s="487"/>
      <c r="L469" s="487"/>
      <c r="M469" s="487"/>
      <c r="N469" s="487"/>
      <c r="O469" s="487"/>
    </row>
    <row r="470" spans="1:15" outlineLevel="1">
      <c r="B470" s="670"/>
      <c r="C470" s="802"/>
      <c r="D470" s="803"/>
      <c r="E470" s="803"/>
      <c r="F470" s="803"/>
      <c r="G470" s="803"/>
      <c r="H470" s="804"/>
      <c r="I470" s="520"/>
      <c r="J470" s="803"/>
      <c r="K470" s="672"/>
      <c r="L470" s="672"/>
      <c r="M470" s="672"/>
      <c r="N470" s="672"/>
      <c r="O470" s="672"/>
    </row>
    <row r="471" spans="1:15">
      <c r="B471" s="483"/>
      <c r="C471" s="588"/>
      <c r="D471" s="590"/>
      <c r="E471" s="590"/>
      <c r="F471" s="590"/>
      <c r="G471" s="590"/>
      <c r="H471" s="591"/>
      <c r="I471" s="484"/>
      <c r="J471" s="590"/>
      <c r="K471" s="487"/>
      <c r="L471" s="487"/>
      <c r="M471" s="487"/>
      <c r="N471" s="487"/>
      <c r="O471" s="487"/>
    </row>
    <row r="472" spans="1:15">
      <c r="A472" s="467" t="s">
        <v>80</v>
      </c>
      <c r="B472" s="626" t="s">
        <v>297</v>
      </c>
      <c r="C472" s="627"/>
      <c r="D472" s="628"/>
      <c r="E472" s="628"/>
      <c r="F472" s="629"/>
      <c r="G472" s="629"/>
      <c r="H472" s="630"/>
      <c r="I472" s="630"/>
      <c r="J472" s="630"/>
      <c r="K472" s="630"/>
      <c r="L472" s="630"/>
      <c r="M472" s="630"/>
      <c r="N472" s="630"/>
      <c r="O472" s="630"/>
    </row>
    <row r="473" spans="1:15" outlineLevel="1">
      <c r="B473" s="749"/>
      <c r="C473" s="596"/>
      <c r="D473" s="805"/>
      <c r="E473" s="596"/>
      <c r="F473" s="596"/>
      <c r="G473" s="596"/>
      <c r="H473" s="600"/>
      <c r="I473" s="601"/>
      <c r="J473" s="601"/>
      <c r="K473" s="482"/>
      <c r="L473" s="482"/>
      <c r="M473" s="482"/>
      <c r="N473" s="482"/>
      <c r="O473" s="482"/>
    </row>
    <row r="474" spans="1:15" ht="12.6" outlineLevel="1" thickBot="1">
      <c r="B474" s="483" t="s">
        <v>344</v>
      </c>
      <c r="C474" s="588"/>
      <c r="D474" s="590"/>
      <c r="E474" s="590"/>
      <c r="F474" s="590"/>
      <c r="G474" s="590"/>
      <c r="H474" s="591"/>
      <c r="I474" s="484"/>
      <c r="J474" s="590"/>
      <c r="K474" s="486">
        <f>$K$5</f>
        <v>2025</v>
      </c>
      <c r="L474" s="486">
        <f>K474+1</f>
        <v>2026</v>
      </c>
      <c r="M474" s="486">
        <f>L474+1</f>
        <v>2027</v>
      </c>
      <c r="N474" s="486">
        <f>M474+1</f>
        <v>2028</v>
      </c>
      <c r="O474" s="486">
        <f>N474+1</f>
        <v>2029</v>
      </c>
    </row>
    <row r="475" spans="1:15" outlineLevel="1">
      <c r="B475" s="483" t="str">
        <f>$B$6</f>
        <v>Model Running: Base Case Drivers</v>
      </c>
      <c r="C475" s="596"/>
      <c r="D475" s="805"/>
      <c r="E475" s="596"/>
      <c r="F475" s="596"/>
      <c r="G475" s="596"/>
      <c r="H475" s="600"/>
      <c r="I475" s="601"/>
      <c r="J475" s="601"/>
      <c r="K475" s="601"/>
      <c r="L475" s="600"/>
      <c r="M475" s="600"/>
      <c r="N475" s="600"/>
      <c r="O475" s="600"/>
    </row>
    <row r="476" spans="1:15" outlineLevel="1">
      <c r="B476" s="749"/>
      <c r="C476" s="596"/>
      <c r="D476" s="805"/>
      <c r="E476" s="596"/>
      <c r="F476" s="596"/>
      <c r="G476" s="596"/>
      <c r="H476" s="600"/>
      <c r="I476" s="601"/>
      <c r="J476" s="601"/>
      <c r="K476" s="601"/>
      <c r="L476" s="600"/>
      <c r="M476" s="600"/>
      <c r="N476" s="600"/>
      <c r="O476" s="600"/>
    </row>
    <row r="477" spans="1:15" outlineLevel="1">
      <c r="B477" s="749" t="s">
        <v>168</v>
      </c>
      <c r="C477" s="597"/>
      <c r="E477" s="597"/>
      <c r="G477" s="597"/>
      <c r="H477" s="590"/>
      <c r="I477" s="601"/>
      <c r="J477" s="601"/>
      <c r="K477" s="601"/>
      <c r="L477" s="600"/>
      <c r="M477" s="600"/>
      <c r="N477" s="600"/>
      <c r="O477" s="600"/>
    </row>
    <row r="478" spans="1:15" outlineLevel="1">
      <c r="B478" s="758"/>
      <c r="C478" s="599" t="s">
        <v>321</v>
      </c>
      <c r="D478" s="805"/>
      <c r="E478" s="596"/>
      <c r="F478" s="596"/>
      <c r="G478" s="596"/>
      <c r="H478" s="600"/>
      <c r="I478" s="600"/>
      <c r="J478" s="601"/>
      <c r="K478" s="619">
        <f>K372</f>
        <v>0</v>
      </c>
      <c r="L478" s="619">
        <f>L372</f>
        <v>0</v>
      </c>
      <c r="M478" s="619">
        <f>M372</f>
        <v>0</v>
      </c>
      <c r="N478" s="619">
        <f>N372</f>
        <v>0</v>
      </c>
      <c r="O478" s="619">
        <f>O372</f>
        <v>0</v>
      </c>
    </row>
    <row r="479" spans="1:15" outlineLevel="1">
      <c r="B479" s="758"/>
      <c r="C479" s="599" t="s">
        <v>282</v>
      </c>
      <c r="D479" s="805"/>
      <c r="E479" s="596"/>
      <c r="F479" s="596"/>
      <c r="G479" s="596"/>
      <c r="H479" s="600"/>
      <c r="I479" s="600"/>
      <c r="J479" s="601"/>
      <c r="K479" s="620">
        <f>SUM(K410:K411)</f>
        <v>0</v>
      </c>
      <c r="L479" s="620">
        <f>SUM(L410:L411)</f>
        <v>0</v>
      </c>
      <c r="M479" s="620">
        <f>SUM(M410:M411)</f>
        <v>0</v>
      </c>
      <c r="N479" s="620">
        <f>SUM(N410:N411)</f>
        <v>0</v>
      </c>
      <c r="O479" s="620">
        <f>SUM(O410:O411)</f>
        <v>0</v>
      </c>
    </row>
    <row r="480" spans="1:15" outlineLevel="1">
      <c r="B480" s="758"/>
      <c r="C480" s="599" t="s">
        <v>283</v>
      </c>
      <c r="D480" s="805"/>
      <c r="E480" s="596"/>
      <c r="F480" s="596"/>
      <c r="G480" s="596"/>
      <c r="H480" s="600"/>
      <c r="I480" s="600"/>
      <c r="J480" s="601"/>
      <c r="K480" s="620">
        <f>SUM(K426:K427)</f>
        <v>0</v>
      </c>
      <c r="L480" s="620">
        <f>SUM(L426:L427)</f>
        <v>0</v>
      </c>
      <c r="M480" s="620">
        <f>SUM(M426:M427)</f>
        <v>0</v>
      </c>
      <c r="N480" s="620">
        <f>SUM(N426:N427)</f>
        <v>0</v>
      </c>
      <c r="O480" s="620">
        <f>SUM(O426:O427)</f>
        <v>0</v>
      </c>
    </row>
    <row r="481" spans="2:16" outlineLevel="1">
      <c r="B481" s="758"/>
      <c r="C481" s="599" t="s">
        <v>284</v>
      </c>
      <c r="D481" s="805"/>
      <c r="E481" s="596"/>
      <c r="F481" s="596"/>
      <c r="G481" s="596"/>
      <c r="H481" s="600"/>
      <c r="I481" s="600"/>
      <c r="J481" s="601"/>
      <c r="K481" s="604">
        <f>K445</f>
        <v>0</v>
      </c>
      <c r="L481" s="604">
        <f>L445</f>
        <v>0</v>
      </c>
      <c r="M481" s="604">
        <f>M445</f>
        <v>0</v>
      </c>
      <c r="N481" s="604">
        <f>N445</f>
        <v>0</v>
      </c>
      <c r="O481" s="604">
        <f>O445</f>
        <v>0</v>
      </c>
    </row>
    <row r="482" spans="2:16" outlineLevel="1">
      <c r="B482" s="758"/>
      <c r="C482" s="508" t="s">
        <v>169</v>
      </c>
      <c r="D482" s="805"/>
      <c r="E482" s="596"/>
      <c r="F482" s="596"/>
      <c r="G482" s="596"/>
      <c r="H482" s="600"/>
      <c r="I482" s="600"/>
      <c r="J482" s="601"/>
      <c r="K482" s="602">
        <f>SUM(K478:K481)</f>
        <v>0</v>
      </c>
      <c r="L482" s="602">
        <f>SUM(L478:L481)</f>
        <v>0</v>
      </c>
      <c r="M482" s="602">
        <f>SUM(M478:M481)</f>
        <v>0</v>
      </c>
      <c r="N482" s="602">
        <f>SUM(N478:N481)</f>
        <v>0</v>
      </c>
      <c r="O482" s="602">
        <f>SUM(O478:O481)</f>
        <v>0</v>
      </c>
    </row>
    <row r="483" spans="2:16" outlineLevel="1">
      <c r="B483" s="749"/>
      <c r="C483" s="596"/>
      <c r="D483" s="805"/>
      <c r="E483" s="596"/>
      <c r="F483" s="596"/>
      <c r="G483" s="596"/>
      <c r="H483" s="600"/>
      <c r="I483" s="601"/>
      <c r="J483" s="601"/>
      <c r="K483" s="601"/>
      <c r="L483" s="600"/>
      <c r="M483" s="600"/>
      <c r="N483" s="600"/>
      <c r="O483" s="600"/>
    </row>
    <row r="484" spans="2:16" outlineLevel="1">
      <c r="B484" s="749"/>
      <c r="C484" s="596"/>
      <c r="D484" s="805"/>
      <c r="E484" s="596"/>
      <c r="F484" s="596"/>
      <c r="G484" s="596"/>
      <c r="H484" s="600"/>
      <c r="I484" s="601"/>
      <c r="J484" s="601"/>
      <c r="K484" s="601"/>
      <c r="L484" s="600"/>
      <c r="M484" s="600"/>
      <c r="N484" s="600"/>
      <c r="O484" s="600"/>
    </row>
    <row r="485" spans="2:16" outlineLevel="1">
      <c r="B485" s="749" t="s">
        <v>167</v>
      </c>
      <c r="C485" s="597"/>
      <c r="E485" s="597"/>
      <c r="G485" s="597"/>
      <c r="H485" s="590"/>
      <c r="I485" s="601"/>
      <c r="J485" s="601"/>
      <c r="K485" s="601"/>
      <c r="L485" s="600"/>
      <c r="M485" s="600"/>
      <c r="N485" s="600"/>
      <c r="O485" s="600"/>
    </row>
    <row r="486" spans="2:16" outlineLevel="1">
      <c r="B486" s="758"/>
      <c r="C486" s="599" t="s">
        <v>321</v>
      </c>
      <c r="D486" s="805"/>
      <c r="E486" s="596"/>
      <c r="F486" s="596"/>
      <c r="G486" s="596"/>
      <c r="H486" s="600"/>
      <c r="I486" s="600"/>
      <c r="K486" s="620">
        <f>K373</f>
        <v>0</v>
      </c>
      <c r="L486" s="620">
        <f>L373</f>
        <v>0</v>
      </c>
      <c r="M486" s="620">
        <f>M373</f>
        <v>0</v>
      </c>
      <c r="N486" s="620">
        <f>N373</f>
        <v>0</v>
      </c>
      <c r="O486" s="620">
        <f>O373</f>
        <v>0</v>
      </c>
    </row>
    <row r="487" spans="2:16" outlineLevel="1">
      <c r="B487" s="758"/>
      <c r="C487" s="599" t="s">
        <v>282</v>
      </c>
      <c r="D487" s="805"/>
      <c r="E487" s="596"/>
      <c r="F487" s="596"/>
      <c r="G487" s="596"/>
      <c r="H487" s="600"/>
      <c r="I487" s="600"/>
      <c r="K487" s="620">
        <f>K412</f>
        <v>0</v>
      </c>
      <c r="L487" s="620">
        <f>L412</f>
        <v>0</v>
      </c>
      <c r="M487" s="620">
        <f>M412</f>
        <v>0</v>
      </c>
      <c r="N487" s="620">
        <f>N412</f>
        <v>0</v>
      </c>
      <c r="O487" s="620">
        <f>O412</f>
        <v>0</v>
      </c>
    </row>
    <row r="488" spans="2:16" outlineLevel="1">
      <c r="B488" s="758"/>
      <c r="C488" s="599" t="s">
        <v>283</v>
      </c>
      <c r="D488" s="805"/>
      <c r="E488" s="596"/>
      <c r="F488" s="596"/>
      <c r="G488" s="596"/>
      <c r="H488" s="600"/>
      <c r="I488" s="600"/>
      <c r="K488" s="620">
        <f>K428</f>
        <v>0</v>
      </c>
      <c r="L488" s="620">
        <f>L428</f>
        <v>0</v>
      </c>
      <c r="M488" s="620">
        <f>M428</f>
        <v>0</v>
      </c>
      <c r="N488" s="620">
        <f>N428</f>
        <v>0</v>
      </c>
      <c r="O488" s="620">
        <f>O428</f>
        <v>0</v>
      </c>
    </row>
    <row r="489" spans="2:16" outlineLevel="1">
      <c r="B489" s="758"/>
      <c r="C489" s="599" t="s">
        <v>284</v>
      </c>
      <c r="D489" s="805"/>
      <c r="E489" s="596"/>
      <c r="F489" s="596"/>
      <c r="G489" s="596"/>
      <c r="H489" s="600"/>
      <c r="I489" s="600"/>
      <c r="K489" s="604">
        <f>K447</f>
        <v>0</v>
      </c>
      <c r="L489" s="604">
        <f>L447</f>
        <v>0</v>
      </c>
      <c r="M489" s="604">
        <f>M447</f>
        <v>0</v>
      </c>
      <c r="N489" s="604">
        <f>N447</f>
        <v>0</v>
      </c>
      <c r="O489" s="604">
        <f>O447</f>
        <v>0</v>
      </c>
    </row>
    <row r="490" spans="2:16" outlineLevel="1">
      <c r="B490" s="758"/>
      <c r="C490" s="508" t="s">
        <v>136</v>
      </c>
      <c r="D490" s="805"/>
      <c r="E490" s="596"/>
      <c r="F490" s="596"/>
      <c r="G490" s="596"/>
      <c r="H490" s="600"/>
      <c r="I490" s="600"/>
      <c r="K490" s="602">
        <f>SUM(K486:K489)</f>
        <v>0</v>
      </c>
      <c r="L490" s="602">
        <f>SUM(L486:L489)</f>
        <v>0</v>
      </c>
      <c r="M490" s="602">
        <f>SUM(M486:M489)</f>
        <v>0</v>
      </c>
      <c r="N490" s="602">
        <f>SUM(N486:N489)</f>
        <v>0</v>
      </c>
      <c r="O490" s="602">
        <f>SUM(O486:O489)</f>
        <v>0</v>
      </c>
    </row>
    <row r="491" spans="2:16" outlineLevel="1">
      <c r="B491" s="749"/>
      <c r="C491" s="596"/>
      <c r="D491" s="805"/>
      <c r="E491" s="596"/>
      <c r="F491" s="596"/>
      <c r="G491" s="596"/>
      <c r="H491" s="600"/>
      <c r="I491" s="601"/>
      <c r="J491" s="601"/>
      <c r="K491" s="601"/>
      <c r="L491" s="601"/>
      <c r="M491" s="601"/>
      <c r="N491" s="601"/>
      <c r="O491" s="601"/>
    </row>
    <row r="492" spans="2:16" outlineLevel="1">
      <c r="B492" s="749"/>
      <c r="C492" s="596"/>
      <c r="D492" s="805"/>
      <c r="E492" s="596"/>
      <c r="F492" s="596"/>
      <c r="G492" s="596"/>
      <c r="H492" s="600"/>
      <c r="I492" s="601"/>
      <c r="J492" s="601"/>
      <c r="K492" s="601"/>
      <c r="L492" s="601"/>
      <c r="M492" s="601"/>
      <c r="N492" s="601"/>
      <c r="O492" s="601"/>
      <c r="P492" s="806"/>
    </row>
    <row r="493" spans="2:16" outlineLevel="1">
      <c r="B493" s="749" t="s">
        <v>233</v>
      </c>
      <c r="C493" s="597"/>
      <c r="E493" s="597"/>
      <c r="G493" s="597"/>
      <c r="H493" s="590"/>
      <c r="I493" s="601"/>
      <c r="J493" s="601"/>
      <c r="K493" s="601"/>
      <c r="L493" s="600"/>
      <c r="M493" s="600"/>
      <c r="N493" s="600"/>
      <c r="O493" s="600"/>
      <c r="P493" s="806"/>
    </row>
    <row r="494" spans="2:16" outlineLevel="1">
      <c r="B494" s="758"/>
      <c r="C494" s="599" t="s">
        <v>333</v>
      </c>
      <c r="D494" s="805"/>
      <c r="E494" s="596"/>
      <c r="F494" s="596"/>
      <c r="G494" s="596"/>
      <c r="H494" s="600"/>
      <c r="I494" s="600"/>
      <c r="J494" s="601"/>
      <c r="K494" s="620">
        <f>SUM(K377,K386)</f>
        <v>7.5</v>
      </c>
      <c r="L494" s="620">
        <f>SUM(L377,L386)</f>
        <v>7.5</v>
      </c>
      <c r="M494" s="620">
        <f>SUM(M377,M386)</f>
        <v>7.5</v>
      </c>
      <c r="N494" s="620">
        <f>SUM(N377,N386)</f>
        <v>7.5</v>
      </c>
      <c r="O494" s="620">
        <f>SUM(O377,O386)</f>
        <v>7.5</v>
      </c>
    </row>
    <row r="495" spans="2:16" outlineLevel="1">
      <c r="B495" s="758"/>
      <c r="C495" s="599" t="s">
        <v>282</v>
      </c>
      <c r="D495" s="805"/>
      <c r="E495" s="596"/>
      <c r="F495" s="596"/>
      <c r="G495" s="596"/>
      <c r="H495" s="600"/>
      <c r="I495" s="600"/>
      <c r="J495" s="601"/>
      <c r="K495" s="620">
        <f>K416</f>
        <v>0</v>
      </c>
      <c r="L495" s="620">
        <f>L416</f>
        <v>0</v>
      </c>
      <c r="M495" s="620">
        <f>M416</f>
        <v>0</v>
      </c>
      <c r="N495" s="620">
        <f>N416</f>
        <v>0</v>
      </c>
      <c r="O495" s="620">
        <f>O416</f>
        <v>0</v>
      </c>
    </row>
    <row r="496" spans="2:16" outlineLevel="1">
      <c r="B496" s="758"/>
      <c r="C496" s="599" t="s">
        <v>283</v>
      </c>
      <c r="D496" s="805"/>
      <c r="E496" s="596"/>
      <c r="F496" s="596"/>
      <c r="G496" s="596"/>
      <c r="H496" s="600"/>
      <c r="I496" s="600"/>
      <c r="J496" s="601"/>
      <c r="K496" s="620">
        <f>K432</f>
        <v>0</v>
      </c>
      <c r="L496" s="620">
        <f>L432</f>
        <v>0</v>
      </c>
      <c r="M496" s="620">
        <f>M432</f>
        <v>0</v>
      </c>
      <c r="N496" s="620">
        <f>N432</f>
        <v>0</v>
      </c>
      <c r="O496" s="620">
        <f>O432</f>
        <v>0</v>
      </c>
    </row>
    <row r="497" spans="1:16" outlineLevel="1">
      <c r="B497" s="758"/>
      <c r="C497" s="599" t="s">
        <v>284</v>
      </c>
      <c r="D497" s="805"/>
      <c r="E497" s="596"/>
      <c r="F497" s="596"/>
      <c r="G497" s="596"/>
      <c r="H497" s="600"/>
      <c r="I497" s="600"/>
      <c r="J497" s="601"/>
      <c r="K497" s="604">
        <f>K456</f>
        <v>0</v>
      </c>
      <c r="L497" s="604">
        <f>L456</f>
        <v>0</v>
      </c>
      <c r="M497" s="604">
        <f>M456</f>
        <v>0</v>
      </c>
      <c r="N497" s="604">
        <f>N456</f>
        <v>0</v>
      </c>
      <c r="O497" s="604">
        <f>O456</f>
        <v>0</v>
      </c>
    </row>
    <row r="498" spans="1:16" outlineLevel="1">
      <c r="B498" s="758"/>
      <c r="C498" s="508" t="s">
        <v>131</v>
      </c>
      <c r="D498" s="805"/>
      <c r="E498" s="596"/>
      <c r="F498" s="596"/>
      <c r="G498" s="596"/>
      <c r="H498" s="600"/>
      <c r="I498" s="600"/>
      <c r="J498" s="601"/>
      <c r="K498" s="602">
        <f>SUM(K494:K497)</f>
        <v>7.5</v>
      </c>
      <c r="L498" s="602">
        <f>SUM(L494:L497)</f>
        <v>7.5</v>
      </c>
      <c r="M498" s="602">
        <f>SUM(M494:M497)</f>
        <v>7.5</v>
      </c>
      <c r="N498" s="602">
        <f>SUM(N494:N497)</f>
        <v>7.5</v>
      </c>
      <c r="O498" s="602">
        <f>SUM(O494:O497)</f>
        <v>7.5</v>
      </c>
    </row>
    <row r="499" spans="1:16" outlineLevel="1">
      <c r="B499" s="758"/>
      <c r="C499" s="508"/>
      <c r="D499" s="805"/>
      <c r="E499" s="596"/>
      <c r="F499" s="596"/>
      <c r="G499" s="596"/>
      <c r="H499" s="600"/>
      <c r="I499" s="600"/>
      <c r="J499" s="601"/>
      <c r="K499" s="601"/>
      <c r="L499" s="601"/>
      <c r="M499" s="601"/>
      <c r="N499" s="601"/>
      <c r="O499" s="601"/>
    </row>
    <row r="500" spans="1:16" outlineLevel="1">
      <c r="B500" s="758"/>
      <c r="C500" s="599" t="s">
        <v>341</v>
      </c>
      <c r="D500" s="805"/>
      <c r="E500" s="596"/>
      <c r="F500" s="596"/>
      <c r="G500" s="596"/>
      <c r="H500" s="600"/>
      <c r="I500" s="600"/>
      <c r="J500" s="601"/>
      <c r="K500" s="604">
        <f>-K468</f>
        <v>-82.5</v>
      </c>
      <c r="L500" s="604">
        <f>-L468</f>
        <v>-3324.4319823555129</v>
      </c>
      <c r="M500" s="604">
        <f>-M468</f>
        <v>-7374.7536366913346</v>
      </c>
      <c r="N500" s="604">
        <f>-N468</f>
        <v>-12279.174486733658</v>
      </c>
      <c r="O500" s="604">
        <f>-O468</f>
        <v>-18130.9873197739</v>
      </c>
    </row>
    <row r="501" spans="1:16" outlineLevel="1">
      <c r="B501" s="749"/>
      <c r="C501" s="508" t="s">
        <v>253</v>
      </c>
      <c r="D501" s="805"/>
      <c r="E501" s="596"/>
      <c r="F501" s="596"/>
      <c r="G501" s="596"/>
      <c r="H501" s="600"/>
      <c r="I501" s="601"/>
      <c r="J501" s="601"/>
      <c r="K501" s="602">
        <f>K498+K500</f>
        <v>-75</v>
      </c>
      <c r="L501" s="602">
        <f>L498+L500</f>
        <v>-3316.9319823555129</v>
      </c>
      <c r="M501" s="602">
        <f>M498+M500</f>
        <v>-7367.2536366913346</v>
      </c>
      <c r="N501" s="602">
        <f>N498+N500</f>
        <v>-12271.674486733658</v>
      </c>
      <c r="O501" s="602">
        <f>O498+O500</f>
        <v>-18123.4873197739</v>
      </c>
    </row>
    <row r="502" spans="1:16" outlineLevel="1">
      <c r="B502" s="749"/>
      <c r="C502" s="597"/>
      <c r="E502" s="597"/>
      <c r="G502" s="597"/>
      <c r="H502" s="590"/>
      <c r="I502" s="601"/>
      <c r="J502" s="601"/>
      <c r="K502" s="601"/>
      <c r="L502" s="600"/>
      <c r="M502" s="600"/>
      <c r="N502" s="600"/>
      <c r="O502" s="600"/>
    </row>
    <row r="503" spans="1:16" outlineLevel="1">
      <c r="B503" s="749"/>
      <c r="C503" s="597"/>
      <c r="E503" s="597"/>
      <c r="G503" s="597"/>
      <c r="H503" s="590"/>
      <c r="I503" s="601"/>
      <c r="J503" s="601"/>
      <c r="K503" s="601"/>
      <c r="L503" s="600"/>
      <c r="M503" s="600"/>
      <c r="N503" s="600"/>
      <c r="O503" s="600"/>
    </row>
    <row r="504" spans="1:16" outlineLevel="1">
      <c r="B504" s="749" t="s">
        <v>234</v>
      </c>
      <c r="C504" s="597"/>
      <c r="E504" s="597"/>
      <c r="G504" s="597"/>
      <c r="H504" s="590"/>
      <c r="I504" s="601"/>
      <c r="J504" s="601"/>
      <c r="K504" s="601"/>
      <c r="L504" s="600"/>
      <c r="M504" s="600"/>
      <c r="N504" s="600"/>
      <c r="O504" s="600"/>
    </row>
    <row r="505" spans="1:16" outlineLevel="1">
      <c r="B505" s="749"/>
      <c r="C505" s="599" t="s">
        <v>253</v>
      </c>
      <c r="D505" s="805"/>
      <c r="E505" s="596"/>
      <c r="F505" s="596"/>
      <c r="G505" s="596"/>
      <c r="H505" s="600"/>
      <c r="I505" s="600"/>
      <c r="J505" s="601"/>
      <c r="K505" s="602">
        <f>K501</f>
        <v>-75</v>
      </c>
      <c r="L505" s="602">
        <f>L501</f>
        <v>-3316.9319823555129</v>
      </c>
      <c r="M505" s="602">
        <f>M501</f>
        <v>-7367.2536366913346</v>
      </c>
      <c r="N505" s="602">
        <f>N501</f>
        <v>-12271.674486733658</v>
      </c>
      <c r="O505" s="602">
        <f>O501</f>
        <v>-18123.4873197739</v>
      </c>
    </row>
    <row r="506" spans="1:16" outlineLevel="1">
      <c r="B506" s="749"/>
      <c r="C506" s="599" t="s">
        <v>270</v>
      </c>
      <c r="D506" s="805"/>
      <c r="E506" s="596"/>
      <c r="F506" s="596"/>
      <c r="G506" s="596"/>
      <c r="H506" s="600"/>
      <c r="I506" s="600"/>
      <c r="J506" s="601"/>
      <c r="K506" s="614">
        <f>K457</f>
        <v>0</v>
      </c>
      <c r="L506" s="614">
        <f>L457</f>
        <v>0</v>
      </c>
      <c r="M506" s="614">
        <f>M457</f>
        <v>0</v>
      </c>
      <c r="N506" s="614">
        <f>N457</f>
        <v>0</v>
      </c>
      <c r="O506" s="614">
        <f>O457</f>
        <v>0</v>
      </c>
    </row>
    <row r="507" spans="1:16" outlineLevel="1">
      <c r="B507" s="749"/>
      <c r="C507" s="599" t="s">
        <v>251</v>
      </c>
      <c r="D507" s="805"/>
      <c r="E507" s="596"/>
      <c r="F507" s="596"/>
      <c r="G507" s="596"/>
      <c r="H507" s="600"/>
      <c r="I507" s="600"/>
      <c r="J507" s="601"/>
      <c r="K507" s="602">
        <f>SUM(K505:K506)</f>
        <v>-75</v>
      </c>
      <c r="L507" s="602">
        <f>SUM(L505:L506)</f>
        <v>-3316.9319823555129</v>
      </c>
      <c r="M507" s="602">
        <f>SUM(M505:M506)</f>
        <v>-7367.2536366913346</v>
      </c>
      <c r="N507" s="602">
        <f>SUM(N505:N506)</f>
        <v>-12271.674486733658</v>
      </c>
      <c r="O507" s="602">
        <f>SUM(O505:O506)</f>
        <v>-18123.4873197739</v>
      </c>
    </row>
    <row r="508" spans="1:16" outlineLevel="1">
      <c r="B508" s="749"/>
      <c r="C508" s="508"/>
      <c r="D508" s="805"/>
      <c r="E508" s="596"/>
      <c r="F508" s="596"/>
      <c r="G508" s="596"/>
      <c r="H508" s="600"/>
      <c r="I508" s="601"/>
      <c r="J508" s="601"/>
      <c r="K508" s="601"/>
      <c r="L508" s="601"/>
      <c r="M508" s="601"/>
      <c r="N508" s="601"/>
      <c r="O508" s="601"/>
    </row>
    <row r="509" spans="1:16" outlineLevel="1">
      <c r="B509" s="622"/>
      <c r="C509" s="622"/>
      <c r="D509" s="622"/>
      <c r="E509" s="622"/>
      <c r="F509" s="622"/>
      <c r="G509" s="622"/>
      <c r="H509" s="622"/>
      <c r="I509" s="622"/>
      <c r="J509" s="622"/>
      <c r="K509" s="622"/>
      <c r="L509" s="622"/>
      <c r="M509" s="622"/>
      <c r="N509" s="622"/>
      <c r="O509" s="622"/>
    </row>
    <row r="511" spans="1:16">
      <c r="A511" s="467" t="s">
        <v>80</v>
      </c>
      <c r="B511" s="626" t="s">
        <v>298</v>
      </c>
      <c r="C511" s="627"/>
      <c r="D511" s="628"/>
      <c r="E511" s="628"/>
      <c r="F511" s="629"/>
      <c r="G511" s="629"/>
      <c r="H511" s="630"/>
      <c r="I511" s="630"/>
      <c r="J511" s="630"/>
      <c r="K511" s="630"/>
      <c r="L511" s="630"/>
      <c r="M511" s="630"/>
      <c r="N511" s="630"/>
      <c r="O511" s="630"/>
      <c r="P511" s="807"/>
    </row>
    <row r="512" spans="1:16" outlineLevel="1">
      <c r="C512" s="587"/>
      <c r="D512" s="588"/>
      <c r="E512" s="589"/>
      <c r="F512" s="481"/>
      <c r="G512" s="481"/>
      <c r="H512" s="481"/>
      <c r="I512" s="481"/>
      <c r="J512" s="631"/>
      <c r="K512" s="482"/>
      <c r="L512" s="482"/>
      <c r="M512" s="482"/>
      <c r="N512" s="482"/>
      <c r="O512" s="482"/>
      <c r="P512" s="592"/>
    </row>
    <row r="513" spans="2:16" ht="12.6" outlineLevel="1" thickBot="1">
      <c r="B513" s="483" t="s">
        <v>344</v>
      </c>
      <c r="C513" s="748"/>
      <c r="D513" s="588"/>
      <c r="E513" s="590"/>
      <c r="F513" s="590"/>
      <c r="G513" s="590"/>
      <c r="H513" s="591"/>
      <c r="I513" s="484"/>
      <c r="J513" s="485" t="s">
        <v>130</v>
      </c>
      <c r="K513" s="486">
        <f>$K$5</f>
        <v>2025</v>
      </c>
      <c r="L513" s="486">
        <f>K513+1</f>
        <v>2026</v>
      </c>
      <c r="M513" s="486">
        <f>L513+1</f>
        <v>2027</v>
      </c>
      <c r="N513" s="486">
        <f>M513+1</f>
        <v>2028</v>
      </c>
      <c r="O513" s="486">
        <f>N513+1</f>
        <v>2029</v>
      </c>
      <c r="P513" s="592"/>
    </row>
    <row r="514" spans="2:16" outlineLevel="1">
      <c r="B514" s="483" t="str">
        <f>$B$6</f>
        <v>Model Running: Base Case Drivers</v>
      </c>
      <c r="C514" s="748"/>
      <c r="D514" s="588"/>
      <c r="E514" s="590"/>
      <c r="F514" s="590"/>
      <c r="G514" s="590"/>
      <c r="H514" s="590"/>
      <c r="I514" s="590"/>
      <c r="J514" s="592"/>
      <c r="K514" s="592"/>
      <c r="L514" s="592"/>
      <c r="M514" s="592"/>
      <c r="N514" s="592"/>
      <c r="O514" s="592"/>
      <c r="P514" s="592"/>
    </row>
    <row r="515" spans="2:16" outlineLevel="1">
      <c r="B515" s="483"/>
      <c r="C515" s="748"/>
      <c r="D515" s="588"/>
      <c r="E515" s="590"/>
      <c r="F515" s="590"/>
      <c r="G515" s="590"/>
      <c r="H515" s="590"/>
      <c r="I515" s="590"/>
      <c r="J515" s="592"/>
      <c r="K515" s="592"/>
      <c r="L515" s="592"/>
      <c r="M515" s="592"/>
      <c r="N515" s="592"/>
      <c r="O515" s="592"/>
      <c r="P515" s="592"/>
    </row>
    <row r="516" spans="2:16" outlineLevel="1">
      <c r="C516" s="748"/>
      <c r="D516" s="588"/>
      <c r="E516" s="590"/>
      <c r="F516" s="590"/>
      <c r="G516" s="590"/>
      <c r="H516" s="590"/>
      <c r="I516" s="590"/>
      <c r="J516" s="592"/>
      <c r="K516" s="592"/>
      <c r="L516" s="592"/>
      <c r="M516" s="592"/>
      <c r="N516" s="592"/>
      <c r="O516" s="592"/>
      <c r="P516" s="592"/>
    </row>
    <row r="517" spans="2:16" outlineLevel="1">
      <c r="B517" s="749" t="s">
        <v>141</v>
      </c>
      <c r="C517" s="750"/>
      <c r="D517" s="750"/>
      <c r="F517" s="749"/>
      <c r="G517" s="750"/>
      <c r="H517" s="750"/>
      <c r="I517" s="749"/>
      <c r="J517" s="749"/>
      <c r="K517" s="749"/>
      <c r="L517" s="750"/>
      <c r="M517" s="750"/>
      <c r="N517" s="750"/>
      <c r="O517" s="750"/>
      <c r="P517" s="772"/>
    </row>
    <row r="518" spans="2:16" outlineLevel="1">
      <c r="C518" s="599" t="s">
        <v>7</v>
      </c>
      <c r="D518" s="805"/>
      <c r="F518" s="601"/>
      <c r="G518" s="600"/>
      <c r="H518" s="808"/>
      <c r="I518" s="601"/>
      <c r="J518" s="612"/>
      <c r="K518" s="602">
        <f>J521</f>
        <v>0</v>
      </c>
      <c r="L518" s="602">
        <f>K521</f>
        <v>16737.860096249999</v>
      </c>
      <c r="M518" s="602">
        <f>L521</f>
        <v>16737.860096249999</v>
      </c>
      <c r="N518" s="602">
        <f>M521</f>
        <v>16737.860096249999</v>
      </c>
      <c r="O518" s="602">
        <f>N521</f>
        <v>16737.860096249999</v>
      </c>
      <c r="P518" s="772"/>
    </row>
    <row r="519" spans="2:16" outlineLevel="1">
      <c r="C519" s="599" t="s">
        <v>127</v>
      </c>
      <c r="D519" s="809"/>
      <c r="F519" s="612"/>
      <c r="G519" s="810"/>
      <c r="H519" s="810"/>
      <c r="I519" s="612"/>
      <c r="J519" s="612"/>
      <c r="K519" s="602">
        <f>Inputs!H103</f>
        <v>16737.860096249999</v>
      </c>
      <c r="L519" s="602">
        <f>Inputs!I103</f>
        <v>0</v>
      </c>
      <c r="M519" s="602">
        <f>Inputs!J103</f>
        <v>0</v>
      </c>
      <c r="N519" s="602">
        <f>Inputs!K103</f>
        <v>0</v>
      </c>
      <c r="O519" s="602">
        <f>Inputs!L103</f>
        <v>0</v>
      </c>
      <c r="P519" s="772"/>
    </row>
    <row r="520" spans="2:16" outlineLevel="1">
      <c r="C520" s="599" t="s">
        <v>128</v>
      </c>
      <c r="D520" s="809"/>
      <c r="F520" s="612"/>
      <c r="G520" s="612"/>
      <c r="H520" s="612"/>
      <c r="I520" s="612"/>
      <c r="J520" s="811"/>
      <c r="K520" s="602">
        <f>Inputs!H110</f>
        <v>0</v>
      </c>
      <c r="L520" s="602">
        <f>Inputs!I110</f>
        <v>0</v>
      </c>
      <c r="M520" s="602">
        <f>Inputs!J110</f>
        <v>0</v>
      </c>
      <c r="N520" s="602">
        <f>Inputs!K110</f>
        <v>0</v>
      </c>
      <c r="O520" s="602">
        <f>Inputs!L110</f>
        <v>0</v>
      </c>
      <c r="P520" s="772"/>
    </row>
    <row r="521" spans="2:16" outlineLevel="1">
      <c r="C521" s="508" t="s">
        <v>8</v>
      </c>
      <c r="D521" s="812"/>
      <c r="F521" s="601"/>
      <c r="G521" s="601"/>
      <c r="H521" s="601"/>
      <c r="I521" s="601"/>
      <c r="J521" s="619">
        <v>0</v>
      </c>
      <c r="K521" s="605">
        <f>SUM(K518:K520)</f>
        <v>16737.860096249999</v>
      </c>
      <c r="L521" s="605">
        <f>SUM(L518:L520)</f>
        <v>16737.860096249999</v>
      </c>
      <c r="M521" s="605">
        <f>SUM(M518:M520)</f>
        <v>16737.860096249999</v>
      </c>
      <c r="N521" s="605">
        <f>SUM(N518:N520)</f>
        <v>16737.860096249999</v>
      </c>
      <c r="O521" s="605">
        <f>SUM(O518:O520)</f>
        <v>16737.860096249999</v>
      </c>
      <c r="P521" s="772"/>
    </row>
    <row r="522" spans="2:16" outlineLevel="1">
      <c r="B522" s="749"/>
      <c r="C522" s="749"/>
      <c r="D522" s="813"/>
      <c r="F522" s="608"/>
      <c r="G522" s="608"/>
      <c r="H522" s="608"/>
      <c r="I522" s="608"/>
      <c r="J522" s="608"/>
      <c r="K522" s="608"/>
      <c r="L522" s="608"/>
      <c r="M522" s="608"/>
      <c r="N522" s="608"/>
      <c r="O522" s="608"/>
      <c r="P522" s="814"/>
    </row>
    <row r="523" spans="2:16" outlineLevel="1">
      <c r="B523" s="597"/>
      <c r="C523" s="597"/>
      <c r="D523" s="812"/>
      <c r="F523" s="601"/>
      <c r="G523" s="601"/>
      <c r="H523" s="601"/>
      <c r="I523" s="601"/>
      <c r="J523" s="601"/>
      <c r="K523" s="601"/>
      <c r="L523" s="601"/>
      <c r="M523" s="601"/>
      <c r="N523" s="601"/>
      <c r="O523" s="601"/>
      <c r="P523" s="772"/>
    </row>
    <row r="524" spans="2:16" outlineLevel="1">
      <c r="B524" s="749" t="s">
        <v>142</v>
      </c>
      <c r="C524" s="749"/>
      <c r="D524" s="749"/>
      <c r="F524" s="608"/>
      <c r="G524" s="608"/>
      <c r="H524" s="752"/>
      <c r="I524" s="608"/>
      <c r="J524" s="608"/>
      <c r="K524" s="608"/>
      <c r="L524" s="752"/>
      <c r="M524" s="752"/>
      <c r="N524" s="752"/>
      <c r="O524" s="752"/>
      <c r="P524" s="772"/>
    </row>
    <row r="525" spans="2:16" outlineLevel="1">
      <c r="C525" s="599" t="s">
        <v>7</v>
      </c>
      <c r="D525" s="812"/>
      <c r="F525" s="616"/>
      <c r="G525" s="601"/>
      <c r="H525" s="600"/>
      <c r="I525" s="601"/>
      <c r="J525" s="601"/>
      <c r="K525" s="602">
        <f>J528</f>
        <v>1500</v>
      </c>
      <c r="L525" s="602">
        <f>K528</f>
        <v>66321.089274024998</v>
      </c>
      <c r="M525" s="602">
        <f>L528</f>
        <v>144661.75369771136</v>
      </c>
      <c r="N525" s="602">
        <f>M528</f>
        <v>237058.2560414453</v>
      </c>
      <c r="O525" s="602">
        <f>N528</f>
        <v>345380.00524222141</v>
      </c>
      <c r="P525" s="772"/>
    </row>
    <row r="526" spans="2:16" outlineLevel="1">
      <c r="C526" s="599" t="s">
        <v>342</v>
      </c>
      <c r="D526" s="815"/>
      <c r="F526" s="609"/>
      <c r="G526" s="601"/>
      <c r="H526" s="600"/>
      <c r="I526" s="601"/>
      <c r="J526" s="601"/>
      <c r="K526" s="602">
        <f>K127</f>
        <v>64821.089274024998</v>
      </c>
      <c r="L526" s="602">
        <f>L127</f>
        <v>78340.664423686365</v>
      </c>
      <c r="M526" s="602">
        <f>M127</f>
        <v>92396.502343733941</v>
      </c>
      <c r="N526" s="602">
        <f>N127</f>
        <v>108321.74920077607</v>
      </c>
      <c r="O526" s="602">
        <f>O127</f>
        <v>125847.98172591676</v>
      </c>
      <c r="P526" s="772"/>
    </row>
    <row r="527" spans="2:16" outlineLevel="1">
      <c r="C527" s="599" t="s">
        <v>129</v>
      </c>
      <c r="D527" s="815"/>
      <c r="F527" s="816"/>
      <c r="G527" s="612"/>
      <c r="H527" s="612"/>
      <c r="I527" s="612"/>
      <c r="J527" s="811"/>
      <c r="K527" s="602">
        <f>Inputs!H96</f>
        <v>0</v>
      </c>
      <c r="L527" s="602">
        <f>Inputs!I96</f>
        <v>0</v>
      </c>
      <c r="M527" s="602">
        <f>Inputs!J96</f>
        <v>0</v>
      </c>
      <c r="N527" s="602">
        <f>Inputs!K96</f>
        <v>0</v>
      </c>
      <c r="O527" s="602">
        <f>Inputs!L96</f>
        <v>0</v>
      </c>
      <c r="P527" s="772"/>
    </row>
    <row r="528" spans="2:16" outlineLevel="1">
      <c r="C528" s="508" t="s">
        <v>8</v>
      </c>
      <c r="D528" s="815"/>
      <c r="F528" s="609"/>
      <c r="G528" s="601"/>
      <c r="H528" s="601"/>
      <c r="I528" s="601"/>
      <c r="J528" s="619">
        <f>Transaction!I29</f>
        <v>1500</v>
      </c>
      <c r="K528" s="605">
        <f>SUM(K525:K527)</f>
        <v>66321.089274024998</v>
      </c>
      <c r="L528" s="605">
        <f>SUM(L525:L527)</f>
        <v>144661.75369771136</v>
      </c>
      <c r="M528" s="605">
        <f>SUM(M525:M527)</f>
        <v>237058.2560414453</v>
      </c>
      <c r="N528" s="605">
        <f>SUM(N525:N527)</f>
        <v>345380.00524222141</v>
      </c>
      <c r="O528" s="605">
        <f>SUM(O525:O527)</f>
        <v>471227.98696813814</v>
      </c>
      <c r="P528" s="772"/>
    </row>
    <row r="529" spans="1:16" outlineLevel="1">
      <c r="C529" s="758"/>
      <c r="D529" s="598"/>
      <c r="E529" s="815"/>
      <c r="F529" s="609"/>
      <c r="G529" s="609"/>
      <c r="H529" s="609"/>
      <c r="I529" s="609"/>
      <c r="J529" s="609"/>
      <c r="K529" s="609"/>
      <c r="L529" s="609"/>
      <c r="M529" s="609"/>
      <c r="N529" s="609"/>
      <c r="O529" s="609"/>
      <c r="P529" s="772"/>
    </row>
    <row r="530" spans="1:16" outlineLevel="1">
      <c r="B530" s="533"/>
      <c r="C530" s="622"/>
      <c r="D530" s="622"/>
      <c r="E530" s="622"/>
      <c r="F530" s="622"/>
      <c r="G530" s="622"/>
      <c r="H530" s="622"/>
      <c r="I530" s="622"/>
      <c r="J530" s="622"/>
      <c r="K530" s="622"/>
      <c r="L530" s="622"/>
      <c r="M530" s="622"/>
      <c r="N530" s="622"/>
      <c r="O530" s="622"/>
      <c r="P530" s="772"/>
    </row>
    <row r="531" spans="1:16">
      <c r="C531" s="597"/>
      <c r="D531" s="596"/>
      <c r="E531" s="596"/>
      <c r="F531" s="596"/>
      <c r="G531" s="596"/>
      <c r="H531" s="596"/>
      <c r="I531" s="596"/>
      <c r="J531" s="596"/>
      <c r="K531" s="596"/>
      <c r="L531" s="596"/>
      <c r="M531" s="596"/>
      <c r="N531" s="596"/>
      <c r="O531" s="596"/>
      <c r="P531" s="597"/>
    </row>
    <row r="532" spans="1:16">
      <c r="A532" s="467" t="s">
        <v>80</v>
      </c>
      <c r="B532" s="626" t="s">
        <v>299</v>
      </c>
      <c r="C532" s="627"/>
      <c r="D532" s="628"/>
      <c r="E532" s="628"/>
      <c r="F532" s="629"/>
      <c r="G532" s="629"/>
      <c r="H532" s="630"/>
      <c r="I532" s="630"/>
      <c r="J532" s="630"/>
      <c r="K532" s="630"/>
      <c r="L532" s="630"/>
      <c r="M532" s="630"/>
      <c r="N532" s="630"/>
      <c r="O532" s="630"/>
      <c r="P532" s="597"/>
    </row>
    <row r="533" spans="1:16" outlineLevel="1">
      <c r="C533" s="587"/>
      <c r="D533" s="588"/>
      <c r="E533" s="589"/>
      <c r="F533" s="481"/>
      <c r="G533" s="481"/>
      <c r="H533" s="481"/>
      <c r="I533" s="481"/>
      <c r="J533" s="481"/>
      <c r="K533" s="482"/>
      <c r="L533" s="482"/>
      <c r="M533" s="482"/>
      <c r="N533" s="482"/>
      <c r="O533" s="482"/>
      <c r="P533" s="597"/>
    </row>
    <row r="534" spans="1:16" outlineLevel="1">
      <c r="B534" s="483" t="s">
        <v>344</v>
      </c>
      <c r="C534" s="748"/>
      <c r="D534" s="588"/>
      <c r="E534" s="590"/>
      <c r="F534" s="590"/>
      <c r="G534" s="590"/>
      <c r="H534" s="590"/>
      <c r="J534" s="481"/>
      <c r="K534" s="487">
        <f>$K$5</f>
        <v>2025</v>
      </c>
      <c r="L534" s="817">
        <f>K534+1</f>
        <v>2026</v>
      </c>
      <c r="M534" s="817">
        <f>L534+1</f>
        <v>2027</v>
      </c>
      <c r="N534" s="817">
        <f>M534+1</f>
        <v>2028</v>
      </c>
      <c r="O534" s="817">
        <f>N534+1</f>
        <v>2029</v>
      </c>
    </row>
    <row r="535" spans="1:16" ht="12.6" outlineLevel="1" thickBot="1">
      <c r="B535" s="483" t="str">
        <f>$B$6</f>
        <v>Model Running: Base Case Drivers</v>
      </c>
      <c r="C535" s="748"/>
      <c r="D535" s="588"/>
      <c r="E535" s="590"/>
      <c r="F535" s="590"/>
      <c r="G535" s="590"/>
      <c r="H535" s="590"/>
      <c r="J535" s="481"/>
      <c r="K535" s="818">
        <v>1</v>
      </c>
      <c r="L535" s="818">
        <v>2</v>
      </c>
      <c r="M535" s="818">
        <v>3</v>
      </c>
      <c r="N535" s="818">
        <v>4</v>
      </c>
      <c r="O535" s="818">
        <v>5</v>
      </c>
    </row>
    <row r="536" spans="1:16" outlineLevel="1">
      <c r="C536" s="748"/>
      <c r="D536" s="588" t="s">
        <v>80</v>
      </c>
      <c r="E536" s="590"/>
      <c r="F536" s="590"/>
      <c r="G536" s="590"/>
      <c r="H536" s="590"/>
      <c r="J536" s="590"/>
      <c r="K536" s="592"/>
      <c r="L536" s="592"/>
      <c r="M536" s="592"/>
      <c r="N536" s="592"/>
      <c r="O536" s="592"/>
    </row>
    <row r="537" spans="1:16" outlineLevel="1">
      <c r="B537" s="819" t="s">
        <v>303</v>
      </c>
      <c r="C537" s="749"/>
      <c r="D537" s="749"/>
      <c r="F537" s="608"/>
      <c r="G537" s="608"/>
      <c r="H537" s="752"/>
      <c r="I537" s="608"/>
      <c r="J537" s="608"/>
      <c r="K537" s="608"/>
      <c r="L537" s="752"/>
      <c r="M537" s="752"/>
      <c r="N537" s="752"/>
      <c r="O537" s="752"/>
      <c r="P537" s="772"/>
    </row>
    <row r="538" spans="1:16" outlineLevel="1">
      <c r="C538" s="599" t="s">
        <v>26</v>
      </c>
      <c r="E538" s="607"/>
      <c r="F538" s="820"/>
      <c r="G538" s="820"/>
      <c r="H538" s="820"/>
      <c r="J538" s="609"/>
      <c r="K538" s="798">
        <f>K112</f>
        <v>95953.828125</v>
      </c>
      <c r="L538" s="798">
        <f>L112</f>
        <v>113739.2109375</v>
      </c>
      <c r="M538" s="798">
        <f>M112</f>
        <v>131482.29375000001</v>
      </c>
      <c r="N538" s="798">
        <f>N112</f>
        <v>151041.86156250004</v>
      </c>
      <c r="O538" s="798">
        <f>O112</f>
        <v>171941.15977500004</v>
      </c>
    </row>
    <row r="539" spans="1:16" outlineLevel="1">
      <c r="C539" s="599" t="s">
        <v>29</v>
      </c>
      <c r="K539" s="798">
        <f>K123</f>
        <v>28037.512233168749</v>
      </c>
      <c r="L539" s="798">
        <f>L123</f>
        <v>33420.343226427904</v>
      </c>
      <c r="M539" s="798">
        <f>M123</f>
        <v>39696.178257006031</v>
      </c>
      <c r="N539" s="798">
        <f>N123</f>
        <v>46851.844439137894</v>
      </c>
      <c r="O539" s="798">
        <f>O123</f>
        <v>54748.706461158377</v>
      </c>
      <c r="P539" s="821"/>
    </row>
    <row r="540" spans="1:16" outlineLevel="1">
      <c r="C540" s="599" t="s">
        <v>50</v>
      </c>
      <c r="E540" s="753"/>
      <c r="F540" s="822"/>
      <c r="G540" s="822"/>
      <c r="H540" s="822"/>
      <c r="J540" s="601"/>
      <c r="K540" s="798">
        <f>-K144</f>
        <v>17136.360096249999</v>
      </c>
      <c r="L540" s="798">
        <f>-L144</f>
        <v>8568.1800481249993</v>
      </c>
      <c r="M540" s="798">
        <f>-M144</f>
        <v>8568.1800481249993</v>
      </c>
      <c r="N540" s="798">
        <f>-N144</f>
        <v>8568.1800481249993</v>
      </c>
      <c r="O540" s="798">
        <f>-O144</f>
        <v>8568.1800481249993</v>
      </c>
    </row>
    <row r="541" spans="1:16" outlineLevel="1">
      <c r="C541" s="599" t="s">
        <v>251</v>
      </c>
      <c r="E541" s="607"/>
      <c r="F541" s="820"/>
      <c r="G541" s="820"/>
      <c r="H541" s="820"/>
      <c r="J541" s="609"/>
      <c r="K541" s="798">
        <f>K119</f>
        <v>-75</v>
      </c>
      <c r="L541" s="798">
        <f>L119</f>
        <v>-3316.9319823555129</v>
      </c>
      <c r="M541" s="798">
        <f>M119</f>
        <v>-7367.2536366913346</v>
      </c>
      <c r="N541" s="798">
        <f>N119</f>
        <v>-12271.674486733658</v>
      </c>
      <c r="O541" s="798">
        <f>O119</f>
        <v>-18123.4873197739</v>
      </c>
    </row>
    <row r="542" spans="1:16" outlineLevel="1">
      <c r="C542" s="599" t="s">
        <v>252</v>
      </c>
      <c r="E542" s="753"/>
      <c r="F542" s="822"/>
      <c r="G542" s="822"/>
      <c r="H542" s="822"/>
      <c r="J542" s="601"/>
      <c r="K542" s="798">
        <f>K363*-1</f>
        <v>0</v>
      </c>
      <c r="L542" s="798">
        <f>L363*-1</f>
        <v>0</v>
      </c>
      <c r="M542" s="798">
        <f>M363*-1</f>
        <v>0</v>
      </c>
      <c r="N542" s="798">
        <f>N363*-1</f>
        <v>0</v>
      </c>
      <c r="O542" s="798">
        <f>O363*-1</f>
        <v>0</v>
      </c>
    </row>
    <row r="543" spans="1:16" outlineLevel="1">
      <c r="C543" s="508" t="s">
        <v>90</v>
      </c>
      <c r="E543" s="607"/>
      <c r="F543" s="820"/>
      <c r="G543" s="820"/>
      <c r="H543" s="820"/>
      <c r="J543" s="601"/>
      <c r="K543" s="798">
        <f>K490</f>
        <v>0</v>
      </c>
      <c r="L543" s="798">
        <f>L490</f>
        <v>0</v>
      </c>
      <c r="M543" s="798">
        <f>M490</f>
        <v>0</v>
      </c>
      <c r="N543" s="798">
        <f>N490</f>
        <v>0</v>
      </c>
      <c r="O543" s="798">
        <f>O490</f>
        <v>0</v>
      </c>
    </row>
    <row r="544" spans="1:16" outlineLevel="1">
      <c r="C544" s="749"/>
      <c r="D544" s="749"/>
      <c r="F544" s="752"/>
      <c r="G544" s="608"/>
      <c r="H544" s="754"/>
      <c r="I544" s="608"/>
      <c r="J544" s="608"/>
      <c r="P544" s="772"/>
    </row>
    <row r="545" spans="2:16" outlineLevel="1">
      <c r="B545" s="819" t="s">
        <v>204</v>
      </c>
      <c r="D545" s="749"/>
      <c r="G545" s="608"/>
      <c r="H545" s="823" t="s">
        <v>208</v>
      </c>
      <c r="I545" s="608"/>
      <c r="J545" s="608"/>
      <c r="K545" s="824">
        <f>IF(K535&lt;=$H547,1,0)</f>
        <v>1</v>
      </c>
      <c r="L545" s="825">
        <f>IF(L535&lt;=$H547,1,0)</f>
        <v>1</v>
      </c>
      <c r="M545" s="825">
        <f>IF(M535&lt;=$H547,1,0)</f>
        <v>1</v>
      </c>
      <c r="N545" s="825">
        <f>IF(N535&lt;=$H547,1,0)</f>
        <v>0</v>
      </c>
      <c r="O545" s="826">
        <f>IF(O535&lt;=$H547,1,0)</f>
        <v>0</v>
      </c>
      <c r="P545" s="772"/>
    </row>
    <row r="546" spans="2:16" outlineLevel="1">
      <c r="B546" s="819"/>
      <c r="C546" s="749"/>
      <c r="D546" s="749"/>
      <c r="F546" s="752"/>
      <c r="G546" s="608"/>
      <c r="I546" s="608"/>
      <c r="J546" s="608"/>
      <c r="P546" s="772"/>
    </row>
    <row r="547" spans="2:16" outlineLevel="1">
      <c r="B547" s="819"/>
      <c r="C547" s="823" t="s">
        <v>210</v>
      </c>
      <c r="D547" s="749"/>
      <c r="F547" s="752"/>
      <c r="G547" s="608"/>
      <c r="H547" s="827">
        <f>Transaction!$D$77</f>
        <v>3</v>
      </c>
      <c r="I547" s="608"/>
      <c r="J547" s="608"/>
      <c r="P547" s="772"/>
    </row>
    <row r="548" spans="2:16" outlineLevel="1">
      <c r="B548" s="819"/>
      <c r="C548" s="823" t="s">
        <v>205</v>
      </c>
      <c r="E548" s="828"/>
      <c r="G548" s="749"/>
      <c r="H548" s="829">
        <f>Transaction!$D$78</f>
        <v>4</v>
      </c>
      <c r="I548" s="608"/>
      <c r="J548" s="608"/>
      <c r="K548" s="608"/>
      <c r="L548" s="752"/>
      <c r="M548" s="752"/>
      <c r="N548" s="752"/>
      <c r="O548" s="752"/>
      <c r="P548" s="772"/>
    </row>
    <row r="549" spans="2:16" outlineLevel="1">
      <c r="B549" s="819"/>
      <c r="C549" s="624" t="s">
        <v>306</v>
      </c>
      <c r="E549" s="828"/>
      <c r="G549" s="749"/>
      <c r="H549" s="829">
        <f>Transaction!$D$79</f>
        <v>0.5</v>
      </c>
      <c r="I549" s="608"/>
      <c r="J549" s="608"/>
      <c r="K549" s="608"/>
      <c r="L549" s="752"/>
      <c r="M549" s="752"/>
      <c r="N549" s="752"/>
      <c r="O549" s="752"/>
      <c r="P549" s="772"/>
    </row>
    <row r="550" spans="2:16" outlineLevel="1">
      <c r="B550" s="819"/>
      <c r="C550" s="823" t="s">
        <v>206</v>
      </c>
      <c r="E550" s="828"/>
      <c r="G550" s="749"/>
      <c r="H550" s="830">
        <f>H549+((H548-1)*H549)</f>
        <v>2</v>
      </c>
      <c r="I550" s="608"/>
      <c r="J550" s="608"/>
      <c r="P550" s="772"/>
    </row>
    <row r="551" spans="2:16" outlineLevel="1">
      <c r="B551" s="819"/>
      <c r="C551" s="823"/>
      <c r="E551" s="828"/>
      <c r="G551" s="749"/>
      <c r="H551" s="831"/>
      <c r="I551" s="608"/>
      <c r="J551" s="608"/>
      <c r="P551" s="772"/>
    </row>
    <row r="552" spans="2:16" outlineLevel="1">
      <c r="C552" s="624" t="s">
        <v>307</v>
      </c>
      <c r="H552" s="831"/>
      <c r="J552" s="749"/>
      <c r="K552" s="832">
        <v>0</v>
      </c>
      <c r="L552" s="833">
        <f>L545*$H549</f>
        <v>0.5</v>
      </c>
      <c r="M552" s="833">
        <f>M545*$H549</f>
        <v>0.5</v>
      </c>
      <c r="N552" s="833">
        <f>N545*$H549</f>
        <v>0</v>
      </c>
      <c r="O552" s="833">
        <f>O545*$H549</f>
        <v>0</v>
      </c>
    </row>
    <row r="553" spans="2:16" outlineLevel="1">
      <c r="C553" s="823" t="s">
        <v>207</v>
      </c>
      <c r="H553" s="831"/>
      <c r="J553" s="749"/>
      <c r="K553" s="833">
        <f>H550</f>
        <v>2</v>
      </c>
      <c r="L553" s="833">
        <f>K553-L552</f>
        <v>1.5</v>
      </c>
      <c r="M553" s="833">
        <f>L553-M552</f>
        <v>1</v>
      </c>
      <c r="N553" s="833">
        <f>M553-N552</f>
        <v>1</v>
      </c>
      <c r="O553" s="833">
        <f>N553-O552</f>
        <v>1</v>
      </c>
    </row>
    <row r="554" spans="2:16" outlineLevel="1">
      <c r="C554" s="823" t="s">
        <v>180</v>
      </c>
      <c r="D554" s="834"/>
      <c r="E554" s="835"/>
      <c r="F554" s="834"/>
      <c r="G554" s="836"/>
      <c r="H554" s="831"/>
      <c r="I554" s="834"/>
      <c r="J554" s="606"/>
      <c r="K554" s="837">
        <f>K543/K538</f>
        <v>0</v>
      </c>
      <c r="L554" s="837">
        <f>L543/L538</f>
        <v>0</v>
      </c>
      <c r="M554" s="837">
        <f>M543/M538</f>
        <v>0</v>
      </c>
      <c r="N554" s="837">
        <f>N543/N538</f>
        <v>0</v>
      </c>
      <c r="O554" s="837">
        <f>O543/O538</f>
        <v>0</v>
      </c>
    </row>
    <row r="555" spans="2:16" outlineLevel="1">
      <c r="C555" s="823"/>
      <c r="D555" s="834"/>
      <c r="E555" s="828"/>
      <c r="F555" s="834"/>
      <c r="G555" s="836"/>
      <c r="H555" s="831"/>
      <c r="I555" s="834"/>
      <c r="J555" s="606"/>
      <c r="K555" s="838"/>
      <c r="L555" s="838"/>
      <c r="M555" s="838"/>
      <c r="N555" s="838"/>
      <c r="O555" s="838"/>
    </row>
    <row r="556" spans="2:16" outlineLevel="1">
      <c r="C556" s="624" t="s">
        <v>310</v>
      </c>
      <c r="D556" s="834"/>
      <c r="E556" s="828"/>
      <c r="G556" s="839"/>
      <c r="H556" s="493" t="s">
        <v>318</v>
      </c>
      <c r="I556" s="834"/>
      <c r="J556" s="606"/>
      <c r="K556" s="798">
        <f>K538-(K543/K553)</f>
        <v>95953.828125</v>
      </c>
      <c r="L556" s="798">
        <f>L538-(L543/L553)</f>
        <v>113739.2109375</v>
      </c>
      <c r="M556" s="798">
        <f>M538-(M543/M553)</f>
        <v>131482.29375000001</v>
      </c>
      <c r="N556" s="798">
        <f>N538-(N543/N553)</f>
        <v>151041.86156250004</v>
      </c>
      <c r="O556" s="798">
        <f>O538-(O543/O553)</f>
        <v>171941.15977500004</v>
      </c>
    </row>
    <row r="557" spans="2:16" outlineLevel="1">
      <c r="C557" s="624" t="s">
        <v>310</v>
      </c>
      <c r="D557" s="834"/>
      <c r="E557" s="828"/>
      <c r="F557" s="834"/>
      <c r="G557" s="839"/>
      <c r="H557" s="493" t="s">
        <v>319</v>
      </c>
      <c r="I557" s="834"/>
      <c r="J557" s="606"/>
      <c r="K557" s="840">
        <f>K556/K538</f>
        <v>1</v>
      </c>
      <c r="L557" s="840">
        <f>L556/L538</f>
        <v>1</v>
      </c>
      <c r="M557" s="840">
        <f>M556/M538</f>
        <v>1</v>
      </c>
      <c r="N557" s="840">
        <f>N556/N538</f>
        <v>1</v>
      </c>
      <c r="O557" s="840">
        <f>O556/O538</f>
        <v>1</v>
      </c>
    </row>
    <row r="558" spans="2:16" outlineLevel="1">
      <c r="B558" s="819"/>
      <c r="C558" s="749"/>
      <c r="D558" s="749"/>
      <c r="G558" s="608"/>
      <c r="I558" s="608"/>
      <c r="J558" s="608"/>
      <c r="K558" s="841"/>
      <c r="L558" s="842"/>
      <c r="M558" s="842"/>
      <c r="N558" s="842"/>
      <c r="O558" s="842"/>
      <c r="P558" s="772"/>
    </row>
    <row r="559" spans="2:16" outlineLevel="1">
      <c r="B559" s="819" t="s">
        <v>209</v>
      </c>
      <c r="D559" s="749"/>
      <c r="F559" s="608"/>
      <c r="G559" s="608"/>
      <c r="H559" s="823" t="s">
        <v>208</v>
      </c>
      <c r="I559" s="608"/>
      <c r="J559" s="608"/>
      <c r="K559" s="824">
        <f>IF(K535&lt;=$H561,1,0)</f>
        <v>1</v>
      </c>
      <c r="L559" s="825">
        <f>IF(L535&lt;=$H561,1,0)</f>
        <v>1</v>
      </c>
      <c r="M559" s="825">
        <f>IF(M535&lt;=$H561,1,0)</f>
        <v>1</v>
      </c>
      <c r="N559" s="825">
        <f>IF(N535&lt;=$H561,1,0)</f>
        <v>0</v>
      </c>
      <c r="O559" s="826">
        <f>IF(O535&lt;=$H561,1,0)</f>
        <v>0</v>
      </c>
      <c r="P559" s="772"/>
    </row>
    <row r="560" spans="2:16" outlineLevel="1">
      <c r="B560" s="819"/>
      <c r="C560" s="749"/>
      <c r="D560" s="749"/>
      <c r="F560" s="752"/>
      <c r="G560" s="608"/>
      <c r="I560" s="608"/>
      <c r="J560" s="608"/>
      <c r="P560" s="772"/>
    </row>
    <row r="561" spans="1:16" outlineLevel="1">
      <c r="B561" s="819"/>
      <c r="C561" s="823" t="s">
        <v>210</v>
      </c>
      <c r="D561" s="749"/>
      <c r="F561" s="752"/>
      <c r="G561" s="608"/>
      <c r="H561" s="827">
        <f>Transaction!$D$77</f>
        <v>3</v>
      </c>
      <c r="I561" s="608"/>
      <c r="J561" s="608"/>
      <c r="P561" s="772"/>
    </row>
    <row r="562" spans="1:16" outlineLevel="1">
      <c r="B562" s="819"/>
      <c r="C562" s="823" t="s">
        <v>205</v>
      </c>
      <c r="E562" s="828"/>
      <c r="G562" s="749"/>
      <c r="H562" s="829">
        <f>+Transaction!$D$80</f>
        <v>1</v>
      </c>
      <c r="I562" s="608"/>
      <c r="J562" s="608"/>
      <c r="K562" s="608"/>
      <c r="L562" s="752"/>
      <c r="M562" s="752"/>
      <c r="N562" s="752"/>
      <c r="O562" s="752"/>
      <c r="P562" s="772"/>
    </row>
    <row r="563" spans="1:16" outlineLevel="1">
      <c r="B563" s="819"/>
      <c r="C563" s="624" t="s">
        <v>308</v>
      </c>
      <c r="E563" s="828"/>
      <c r="G563" s="749"/>
      <c r="H563" s="829">
        <f>Transaction!$D$81</f>
        <v>0.1</v>
      </c>
      <c r="I563" s="608"/>
      <c r="J563" s="608"/>
      <c r="K563" s="608"/>
      <c r="L563" s="752"/>
      <c r="M563" s="752"/>
      <c r="N563" s="752"/>
      <c r="O563" s="752"/>
      <c r="P563" s="772"/>
    </row>
    <row r="564" spans="1:16" outlineLevel="1">
      <c r="B564" s="819"/>
      <c r="C564" s="823" t="s">
        <v>206</v>
      </c>
      <c r="E564" s="828"/>
      <c r="G564" s="749"/>
      <c r="H564" s="830">
        <f>H562-((H561-1)*H563)</f>
        <v>0.8</v>
      </c>
      <c r="I564" s="608"/>
      <c r="J564" s="608"/>
      <c r="P564" s="772"/>
    </row>
    <row r="565" spans="1:16" outlineLevel="1">
      <c r="C565" s="508"/>
      <c r="E565" s="828"/>
      <c r="F565" s="843"/>
      <c r="G565" s="749"/>
      <c r="J565" s="749"/>
      <c r="K565" s="532"/>
      <c r="L565" s="532"/>
      <c r="M565" s="532"/>
      <c r="N565" s="532"/>
      <c r="O565" s="532"/>
    </row>
    <row r="566" spans="1:16" outlineLevel="1">
      <c r="B566" s="819"/>
      <c r="C566" s="624" t="s">
        <v>309</v>
      </c>
      <c r="E566" s="828"/>
      <c r="F566" s="831"/>
      <c r="G566" s="749"/>
      <c r="J566" s="749"/>
      <c r="K566" s="832">
        <v>0</v>
      </c>
      <c r="L566" s="833">
        <f>$H$563*L559</f>
        <v>0.1</v>
      </c>
      <c r="M566" s="833">
        <f>$H$563*M559</f>
        <v>0.1</v>
      </c>
      <c r="N566" s="833">
        <f>$H$563*N559</f>
        <v>0</v>
      </c>
      <c r="O566" s="833">
        <f>$H$563*O559</f>
        <v>0</v>
      </c>
    </row>
    <row r="567" spans="1:16" outlineLevel="1">
      <c r="C567" s="823" t="s">
        <v>207</v>
      </c>
      <c r="E567" s="828"/>
      <c r="F567" s="831"/>
      <c r="G567" s="749"/>
      <c r="J567" s="749"/>
      <c r="K567" s="844">
        <f>H564</f>
        <v>0.8</v>
      </c>
      <c r="L567" s="844">
        <f>K567+L566</f>
        <v>0.9</v>
      </c>
      <c r="M567" s="844">
        <f>L567+M566</f>
        <v>1</v>
      </c>
      <c r="N567" s="844">
        <f>M567+N566</f>
        <v>1</v>
      </c>
      <c r="O567" s="844">
        <f>N567+O566</f>
        <v>1</v>
      </c>
    </row>
    <row r="568" spans="1:16" ht="13.2" outlineLevel="1">
      <c r="C568" s="823" t="s">
        <v>811</v>
      </c>
      <c r="E568" s="828"/>
      <c r="F568" s="749"/>
      <c r="G568" s="749"/>
      <c r="J568" s="749"/>
      <c r="K568" s="833">
        <f>IF(K541&lt;0,(K538-K539-K540)/((-1*K541)+K542),(K538-K539-K540)/(K541+K542))</f>
        <v>677.06607727441678</v>
      </c>
      <c r="L568" s="833">
        <f>IF(L541&lt;0,(L538-L539-L540)/((-1*L541)+L542),(L538-L539-L540)/(L541+L542))</f>
        <v>21.631642748366964</v>
      </c>
      <c r="M568" s="833">
        <f>IF(M541&lt;0,(M538-M539-M540)/((-1*M541)+M542),(M538-M539-M540)/(M541+M542))</f>
        <v>11.295652294420329</v>
      </c>
      <c r="N568" s="833">
        <f>IF(N541&lt;0,(N538-N539-N540)/((-1*N541)+N542),(N538-N539-N540)/(N541+N542))</f>
        <v>7.7920773712348304</v>
      </c>
      <c r="O568" s="833">
        <f>IF(O541&lt;0,(O538-O539-O540)/((-1*O541)+O542),(O538-O539-O540)/(O541+O542))</f>
        <v>5.9935635647340639</v>
      </c>
    </row>
    <row r="569" spans="1:16" outlineLevel="1">
      <c r="C569" s="823"/>
      <c r="E569" s="828"/>
      <c r="F569" s="749"/>
      <c r="G569" s="749"/>
      <c r="J569" s="749"/>
      <c r="K569" s="838"/>
      <c r="L569" s="838"/>
      <c r="M569" s="838"/>
      <c r="N569" s="838"/>
      <c r="O569" s="838"/>
    </row>
    <row r="570" spans="1:16" outlineLevel="1">
      <c r="C570" s="624" t="s">
        <v>310</v>
      </c>
      <c r="D570" s="834"/>
      <c r="E570" s="845"/>
      <c r="F570" s="846"/>
      <c r="G570" s="836"/>
      <c r="H570" s="493" t="s">
        <v>318</v>
      </c>
      <c r="I570" s="846"/>
      <c r="J570" s="847"/>
      <c r="K570" s="798">
        <f>K538-K539-K540-(K567*((K541+K542)))</f>
        <v>50839.955795581256</v>
      </c>
      <c r="L570" s="798">
        <f>L538-L539-L540-(L567*((L541+L542)))</f>
        <v>74735.926447067061</v>
      </c>
      <c r="M570" s="798">
        <f>M538-M539-M540-(M567*((M541+M542)))</f>
        <v>90585.189081560326</v>
      </c>
      <c r="N570" s="798">
        <f>N538-N539-N540-(N567*((N541+N542)))</f>
        <v>107893.51156197079</v>
      </c>
      <c r="O570" s="798">
        <f>O538-O539-O540-(O567*((O541+O542)))</f>
        <v>126747.76058549056</v>
      </c>
    </row>
    <row r="571" spans="1:16" outlineLevel="1">
      <c r="C571" s="624" t="s">
        <v>310</v>
      </c>
      <c r="D571" s="834"/>
      <c r="E571" s="845"/>
      <c r="F571" s="846"/>
      <c r="G571" s="836"/>
      <c r="H571" s="493" t="s">
        <v>319</v>
      </c>
      <c r="I571" s="846"/>
      <c r="J571" s="847"/>
      <c r="K571" s="840">
        <f>K570/K538</f>
        <v>0.52983770203885505</v>
      </c>
      <c r="L571" s="840">
        <f>L570/L538</f>
        <v>0.65708145705472365</v>
      </c>
      <c r="M571" s="840">
        <f>M570/M538</f>
        <v>0.6889535198845762</v>
      </c>
      <c r="N571" s="840">
        <f>N570/N538</f>
        <v>0.71432853412843589</v>
      </c>
      <c r="O571" s="840">
        <f>O570/O538</f>
        <v>0.73715776229118746</v>
      </c>
    </row>
    <row r="572" spans="1:16" outlineLevel="1">
      <c r="C572" s="823"/>
      <c r="E572" s="828"/>
      <c r="F572" s="749"/>
      <c r="G572" s="749"/>
      <c r="J572" s="749"/>
      <c r="K572" s="838"/>
      <c r="L572" s="838"/>
      <c r="M572" s="838"/>
      <c r="N572" s="838"/>
      <c r="O572" s="838"/>
    </row>
    <row r="573" spans="1:16" outlineLevel="1">
      <c r="E573" s="828"/>
      <c r="F573" s="749"/>
      <c r="G573" s="749"/>
      <c r="H573" s="749"/>
      <c r="J573" s="749"/>
      <c r="K573" s="848"/>
      <c r="L573" s="848"/>
      <c r="M573" s="848"/>
      <c r="N573" s="848"/>
      <c r="O573" s="849" t="s">
        <v>267</v>
      </c>
    </row>
    <row r="574" spans="1:16" outlineLevel="1">
      <c r="B574" s="533"/>
      <c r="C574" s="622"/>
      <c r="D574" s="622"/>
      <c r="E574" s="622"/>
      <c r="F574" s="622"/>
      <c r="G574" s="622"/>
      <c r="H574" s="622"/>
      <c r="I574" s="622"/>
      <c r="J574" s="622"/>
      <c r="K574" s="622"/>
      <c r="L574" s="622"/>
      <c r="M574" s="622"/>
      <c r="N574" s="622"/>
      <c r="O574" s="622"/>
      <c r="P574" s="624"/>
    </row>
    <row r="575" spans="1:16">
      <c r="C575" s="597"/>
      <c r="D575" s="596"/>
      <c r="E575" s="596"/>
      <c r="F575" s="596"/>
      <c r="G575" s="596"/>
      <c r="H575" s="596"/>
      <c r="I575" s="596"/>
      <c r="J575" s="596"/>
      <c r="K575" s="596"/>
      <c r="L575" s="596"/>
      <c r="M575" s="596"/>
      <c r="N575" s="596"/>
      <c r="O575" s="596"/>
      <c r="P575" s="597"/>
    </row>
    <row r="576" spans="1:16">
      <c r="A576" s="467" t="s">
        <v>80</v>
      </c>
      <c r="B576" s="626" t="s">
        <v>300</v>
      </c>
      <c r="C576" s="627"/>
      <c r="D576" s="628"/>
      <c r="E576" s="628"/>
      <c r="F576" s="629"/>
      <c r="G576" s="629"/>
      <c r="H576" s="630"/>
      <c r="I576" s="630"/>
      <c r="J576" s="630"/>
      <c r="K576" s="630"/>
      <c r="L576" s="630"/>
      <c r="M576" s="630"/>
      <c r="N576" s="630"/>
      <c r="O576" s="630"/>
      <c r="P576" s="807"/>
    </row>
    <row r="577" spans="2:16" outlineLevel="1">
      <c r="C577" s="587"/>
      <c r="D577" s="588"/>
      <c r="E577" s="589"/>
      <c r="G577" s="481"/>
      <c r="H577" s="481"/>
      <c r="I577" s="481"/>
      <c r="J577" s="631"/>
      <c r="K577" s="482"/>
      <c r="L577" s="482"/>
      <c r="M577" s="482"/>
      <c r="N577" s="482"/>
      <c r="O577" s="482"/>
      <c r="P577" s="481"/>
    </row>
    <row r="578" spans="2:16" ht="12.6" outlineLevel="1" thickBot="1">
      <c r="B578" s="483" t="s">
        <v>344</v>
      </c>
      <c r="C578" s="748"/>
      <c r="D578" s="588"/>
      <c r="E578" s="590"/>
      <c r="G578" s="590"/>
      <c r="H578" s="590"/>
      <c r="I578" s="590"/>
      <c r="J578" s="485" t="s">
        <v>130</v>
      </c>
      <c r="K578" s="486">
        <f>$K$5</f>
        <v>2025</v>
      </c>
      <c r="L578" s="486">
        <f>K578+1</f>
        <v>2026</v>
      </c>
      <c r="M578" s="486">
        <f>L578+1</f>
        <v>2027</v>
      </c>
      <c r="N578" s="486">
        <f>M578+1</f>
        <v>2028</v>
      </c>
      <c r="O578" s="486">
        <f>N578+1</f>
        <v>2029</v>
      </c>
      <c r="P578" s="481"/>
    </row>
    <row r="579" spans="2:16" outlineLevel="1">
      <c r="B579" s="483" t="str">
        <f>$B$6</f>
        <v>Model Running: Base Case Drivers</v>
      </c>
      <c r="C579" s="596"/>
      <c r="D579" s="596"/>
      <c r="E579" s="805"/>
      <c r="G579" s="596"/>
      <c r="H579" s="596"/>
      <c r="I579" s="596"/>
      <c r="J579" s="850"/>
      <c r="K579" s="850"/>
      <c r="L579" s="850"/>
      <c r="M579" s="850"/>
      <c r="N579" s="850"/>
      <c r="O579" s="850"/>
      <c r="P579" s="850"/>
    </row>
    <row r="580" spans="2:16" outlineLevel="1">
      <c r="B580" s="483"/>
      <c r="C580" s="596"/>
      <c r="D580" s="596"/>
      <c r="E580" s="805"/>
      <c r="G580" s="596"/>
      <c r="H580" s="596"/>
      <c r="I580" s="596"/>
      <c r="J580" s="850"/>
      <c r="K580" s="850"/>
      <c r="L580" s="850"/>
      <c r="M580" s="850"/>
      <c r="N580" s="850"/>
      <c r="O580" s="850"/>
      <c r="P580" s="850"/>
    </row>
    <row r="581" spans="2:16" outlineLevel="1">
      <c r="C581" s="599"/>
      <c r="D581" s="754" t="s">
        <v>173</v>
      </c>
      <c r="E581" s="753"/>
      <c r="F581" s="754" t="s">
        <v>172</v>
      </c>
      <c r="G581" s="597"/>
      <c r="H581" s="597"/>
      <c r="I581" s="597"/>
      <c r="J581" s="601"/>
      <c r="K581" s="601"/>
      <c r="L581" s="601"/>
      <c r="M581" s="601"/>
      <c r="N581" s="601"/>
      <c r="O581" s="601"/>
      <c r="P581" s="601"/>
    </row>
    <row r="582" spans="2:16" outlineLevel="1">
      <c r="C582" s="599"/>
      <c r="D582" s="851" t="s">
        <v>170</v>
      </c>
      <c r="E582" s="753"/>
      <c r="F582" s="851" t="s">
        <v>170</v>
      </c>
      <c r="G582" s="597"/>
      <c r="H582" s="597"/>
      <c r="I582" s="597"/>
      <c r="J582" s="852" t="s">
        <v>170</v>
      </c>
      <c r="K582" s="852" t="s">
        <v>170</v>
      </c>
      <c r="L582" s="853" t="s">
        <v>170</v>
      </c>
      <c r="M582" s="853" t="s">
        <v>170</v>
      </c>
      <c r="N582" s="853" t="s">
        <v>170</v>
      </c>
      <c r="O582" s="854" t="s">
        <v>170</v>
      </c>
      <c r="P582" s="601"/>
    </row>
    <row r="583" spans="2:16" outlineLevel="1">
      <c r="B583" s="855"/>
      <c r="D583" s="856">
        <f>+Transaction!I24</f>
        <v>45657</v>
      </c>
      <c r="F583" s="856">
        <f>Transaction!I23</f>
        <v>46022</v>
      </c>
      <c r="H583" s="590"/>
      <c r="I583" s="590"/>
      <c r="J583" s="857">
        <f>D583</f>
        <v>45657</v>
      </c>
      <c r="K583" s="857">
        <f>F583</f>
        <v>46022</v>
      </c>
      <c r="L583" s="858">
        <f>EDATE(J583,12)</f>
        <v>46022</v>
      </c>
      <c r="M583" s="858">
        <f>EDATE(K583,12)</f>
        <v>46387</v>
      </c>
      <c r="N583" s="858">
        <f>EDATE(L583,12)</f>
        <v>46387</v>
      </c>
      <c r="O583" s="859">
        <f>EDATE(M583,12)</f>
        <v>46752</v>
      </c>
      <c r="P583" s="860"/>
    </row>
    <row r="584" spans="2:16" outlineLevel="1">
      <c r="B584" s="597"/>
      <c r="C584" s="597"/>
      <c r="D584" s="753"/>
      <c r="F584" s="597"/>
      <c r="H584" s="597"/>
      <c r="I584" s="597"/>
      <c r="J584" s="861"/>
      <c r="K584" s="862"/>
      <c r="L584" s="862"/>
      <c r="M584" s="862"/>
      <c r="N584" s="862"/>
      <c r="O584" s="862"/>
      <c r="P584" s="863"/>
    </row>
    <row r="585" spans="2:16" outlineLevel="1">
      <c r="B585" s="597"/>
      <c r="C585" s="597"/>
      <c r="D585" s="753"/>
      <c r="F585" s="597"/>
      <c r="H585" s="597"/>
      <c r="I585" s="597"/>
      <c r="J585" s="861"/>
      <c r="K585" s="862"/>
      <c r="L585" s="864"/>
      <c r="M585" s="864"/>
      <c r="N585" s="864"/>
      <c r="O585" s="864"/>
      <c r="P585" s="863"/>
    </row>
    <row r="586" spans="2:16" outlineLevel="1">
      <c r="B586" s="865" t="s">
        <v>186</v>
      </c>
      <c r="C586" s="865"/>
      <c r="D586" s="865"/>
      <c r="E586" s="865"/>
      <c r="F586" s="865"/>
      <c r="G586" s="596"/>
      <c r="H586" s="866"/>
      <c r="J586" s="865"/>
      <c r="K586" s="865"/>
      <c r="L586" s="865"/>
      <c r="M586" s="865"/>
      <c r="N586" s="772"/>
    </row>
    <row r="587" spans="2:16" outlineLevel="1">
      <c r="C587" s="599" t="s">
        <v>26</v>
      </c>
      <c r="E587" s="597"/>
      <c r="G587" s="596"/>
      <c r="H587" s="866"/>
      <c r="J587" s="597"/>
      <c r="K587" s="867">
        <f>K112</f>
        <v>95953.828125</v>
      </c>
      <c r="L587" s="867">
        <f>L112</f>
        <v>113739.2109375</v>
      </c>
      <c r="M587" s="867">
        <f>M112</f>
        <v>131482.29375000001</v>
      </c>
      <c r="N587" s="867">
        <f>N112</f>
        <v>151041.86156250004</v>
      </c>
      <c r="O587" s="867">
        <f>O112</f>
        <v>171941.15977500004</v>
      </c>
    </row>
    <row r="588" spans="2:16" outlineLevel="1">
      <c r="C588" s="599" t="s">
        <v>133</v>
      </c>
      <c r="E588" s="597"/>
      <c r="G588" s="596"/>
      <c r="H588" s="866"/>
      <c r="J588" s="599"/>
      <c r="K588" s="868">
        <f>Outputs!$W$77</f>
        <v>8</v>
      </c>
      <c r="L588" s="868">
        <f>Outputs!$W$77</f>
        <v>8</v>
      </c>
      <c r="M588" s="868">
        <f>Outputs!$W$77</f>
        <v>8</v>
      </c>
      <c r="N588" s="868">
        <f>Outputs!$W$77</f>
        <v>8</v>
      </c>
      <c r="O588" s="868">
        <f>Outputs!$W$77</f>
        <v>8</v>
      </c>
    </row>
    <row r="589" spans="2:16" outlineLevel="1">
      <c r="C589" s="599" t="s">
        <v>85</v>
      </c>
      <c r="D589" s="597"/>
      <c r="E589" s="597"/>
      <c r="G589" s="596"/>
      <c r="H589" s="866"/>
      <c r="J589" s="599"/>
      <c r="K589" s="869">
        <f>K587*K588</f>
        <v>767630.625</v>
      </c>
      <c r="L589" s="869">
        <f>L587*L588</f>
        <v>909913.6875</v>
      </c>
      <c r="M589" s="869">
        <f>M587*M588</f>
        <v>1051858.3500000001</v>
      </c>
      <c r="N589" s="869">
        <f>N587*N588</f>
        <v>1208334.8925000003</v>
      </c>
      <c r="O589" s="869">
        <f>O587*O588</f>
        <v>1375529.2782000003</v>
      </c>
    </row>
    <row r="590" spans="2:16" outlineLevel="1">
      <c r="C590" s="599"/>
      <c r="D590" s="597"/>
      <c r="E590" s="597"/>
      <c r="G590" s="596"/>
      <c r="H590" s="866"/>
      <c r="J590" s="599"/>
      <c r="K590" s="870"/>
      <c r="L590" s="870"/>
      <c r="M590" s="870"/>
      <c r="N590" s="870"/>
      <c r="O590" s="870"/>
    </row>
    <row r="591" spans="2:16" outlineLevel="1">
      <c r="B591" s="749" t="s">
        <v>181</v>
      </c>
      <c r="C591" s="508"/>
      <c r="D591" s="805"/>
      <c r="E591" s="596"/>
      <c r="F591" s="596"/>
      <c r="G591" s="596"/>
      <c r="H591" s="600"/>
      <c r="I591" s="601"/>
      <c r="J591" s="601"/>
      <c r="K591" s="601"/>
      <c r="L591" s="601"/>
      <c r="M591" s="601"/>
      <c r="N591" s="601"/>
      <c r="O591" s="601"/>
    </row>
    <row r="592" spans="2:16" outlineLevel="1">
      <c r="B592" s="749"/>
      <c r="C592" s="508" t="s">
        <v>90</v>
      </c>
      <c r="D592" s="805"/>
      <c r="E592" s="596"/>
      <c r="F592" s="596"/>
      <c r="G592" s="596"/>
      <c r="H592" s="600"/>
      <c r="I592" s="601"/>
      <c r="J592" s="601"/>
      <c r="K592" s="602">
        <f>K490</f>
        <v>0</v>
      </c>
      <c r="L592" s="602">
        <f>L490</f>
        <v>0</v>
      </c>
      <c r="M592" s="602">
        <f>M490</f>
        <v>0</v>
      </c>
      <c r="N592" s="602">
        <f>N490</f>
        <v>0</v>
      </c>
      <c r="O592" s="602">
        <f>O490</f>
        <v>0</v>
      </c>
    </row>
    <row r="593" spans="2:16" outlineLevel="1">
      <c r="B593" s="749"/>
      <c r="C593" s="508" t="s">
        <v>177</v>
      </c>
      <c r="D593" s="805"/>
      <c r="E593" s="596"/>
      <c r="F593" s="596"/>
      <c r="G593" s="596"/>
      <c r="H593" s="600"/>
      <c r="I593" s="601"/>
      <c r="J593" s="601"/>
      <c r="K593" s="602">
        <f>K159</f>
        <v>60444.217861009325</v>
      </c>
      <c r="L593" s="602">
        <f>L159</f>
        <v>134086.42975802426</v>
      </c>
      <c r="M593" s="602">
        <f>M159</f>
        <v>223257.71794061197</v>
      </c>
      <c r="N593" s="602">
        <f>N159</f>
        <v>329654.31490498001</v>
      </c>
      <c r="O593" s="602">
        <f>O159</f>
        <v>454822.14719423768</v>
      </c>
    </row>
    <row r="594" spans="2:16" outlineLevel="1">
      <c r="B594" s="749"/>
      <c r="C594" s="508" t="s">
        <v>182</v>
      </c>
      <c r="D594" s="805"/>
      <c r="E594" s="596"/>
      <c r="F594" s="596"/>
      <c r="G594" s="596"/>
      <c r="H594" s="600"/>
      <c r="I594" s="601"/>
      <c r="J594" s="601"/>
      <c r="K594" s="605">
        <f>SUM(K592:K593)</f>
        <v>60444.217861009325</v>
      </c>
      <c r="L594" s="605">
        <f>SUM(L592:L593)</f>
        <v>134086.42975802426</v>
      </c>
      <c r="M594" s="605">
        <f>SUM(M592:M593)</f>
        <v>223257.71794061197</v>
      </c>
      <c r="N594" s="605">
        <f>SUM(N592:N593)</f>
        <v>329654.31490498001</v>
      </c>
      <c r="O594" s="605">
        <f>SUM(O592:O593)</f>
        <v>454822.14719423768</v>
      </c>
    </row>
    <row r="595" spans="2:16" outlineLevel="1">
      <c r="B595" s="749"/>
      <c r="C595" s="508"/>
      <c r="D595" s="805"/>
      <c r="E595" s="596"/>
      <c r="F595" s="596"/>
      <c r="G595" s="596"/>
      <c r="H595" s="600"/>
      <c r="I595" s="601"/>
      <c r="J595" s="601"/>
      <c r="K595" s="601"/>
      <c r="L595" s="601"/>
      <c r="M595" s="601"/>
      <c r="N595" s="601"/>
      <c r="O595" s="601"/>
    </row>
    <row r="596" spans="2:16" outlineLevel="1">
      <c r="B596" s="865" t="s">
        <v>187</v>
      </c>
      <c r="C596" s="865"/>
      <c r="D596" s="865"/>
      <c r="E596" s="865"/>
      <c r="F596" s="865"/>
      <c r="G596" s="596"/>
      <c r="H596" s="866"/>
      <c r="J596" s="601"/>
      <c r="K596" s="865"/>
      <c r="L596" s="865"/>
      <c r="M596" s="865"/>
      <c r="N596" s="772"/>
    </row>
    <row r="597" spans="2:16" outlineLevel="1">
      <c r="B597" s="865"/>
      <c r="C597" s="599" t="s">
        <v>85</v>
      </c>
      <c r="D597" s="597"/>
      <c r="E597" s="597"/>
      <c r="G597" s="596"/>
      <c r="H597" s="866"/>
      <c r="J597" s="599"/>
      <c r="K597" s="867">
        <f>K589</f>
        <v>767630.625</v>
      </c>
      <c r="L597" s="867">
        <f>L589</f>
        <v>909913.6875</v>
      </c>
      <c r="M597" s="867">
        <f>M589</f>
        <v>1051858.3500000001</v>
      </c>
      <c r="N597" s="867">
        <f>N589</f>
        <v>1208334.8925000003</v>
      </c>
      <c r="O597" s="867">
        <f>O589</f>
        <v>1375529.2782000003</v>
      </c>
    </row>
    <row r="598" spans="2:16" outlineLevel="1">
      <c r="C598" s="599" t="s">
        <v>176</v>
      </c>
      <c r="E598" s="597"/>
      <c r="G598" s="597"/>
      <c r="H598" s="597"/>
      <c r="J598" s="865"/>
      <c r="K598" s="867">
        <f>-K594</f>
        <v>-60444.217861009325</v>
      </c>
      <c r="L598" s="867">
        <f>-L594</f>
        <v>-134086.42975802426</v>
      </c>
      <c r="M598" s="867">
        <f>-M594</f>
        <v>-223257.71794061197</v>
      </c>
      <c r="N598" s="867">
        <f>-N594</f>
        <v>-329654.31490498001</v>
      </c>
      <c r="O598" s="867">
        <f>-O594</f>
        <v>-454822.14719423768</v>
      </c>
      <c r="P598" s="597"/>
    </row>
    <row r="599" spans="2:16" outlineLevel="1">
      <c r="C599" s="599" t="s">
        <v>132</v>
      </c>
      <c r="D599" s="597"/>
      <c r="E599" s="597"/>
      <c r="G599" s="596"/>
      <c r="H599" s="596"/>
      <c r="J599" s="599"/>
      <c r="K599" s="869">
        <f>SUM(K597:K598)</f>
        <v>707186.4071389907</v>
      </c>
      <c r="L599" s="869">
        <f>SUM(L597:L598)</f>
        <v>775827.25774197571</v>
      </c>
      <c r="M599" s="869">
        <f>SUM(M597:M598)</f>
        <v>828600.6320593881</v>
      </c>
      <c r="N599" s="869">
        <f>SUM(N597:N598)</f>
        <v>878680.5775950203</v>
      </c>
      <c r="O599" s="869">
        <f>SUM(O597:O598)</f>
        <v>920707.13100576261</v>
      </c>
      <c r="P599" s="596"/>
    </row>
    <row r="600" spans="2:16" outlineLevel="1">
      <c r="C600" s="599"/>
      <c r="D600" s="597"/>
      <c r="E600" s="597"/>
      <c r="F600" s="796"/>
      <c r="G600" s="596"/>
      <c r="H600" s="596"/>
      <c r="J600" s="599"/>
      <c r="K600" s="597"/>
      <c r="L600" s="871"/>
      <c r="M600" s="597"/>
      <c r="N600" s="597"/>
      <c r="O600" s="597"/>
      <c r="P600" s="596"/>
    </row>
    <row r="601" spans="2:16" outlineLevel="1">
      <c r="C601" s="599" t="s">
        <v>179</v>
      </c>
      <c r="D601" s="597"/>
      <c r="E601" s="597"/>
      <c r="F601" s="796"/>
      <c r="G601" s="596"/>
      <c r="H601" s="596"/>
      <c r="J601" s="613"/>
      <c r="K601" s="798">
        <f>-K527</f>
        <v>0</v>
      </c>
      <c r="L601" s="798">
        <f>-L527</f>
        <v>0</v>
      </c>
      <c r="M601" s="798">
        <f>-M527</f>
        <v>0</v>
      </c>
      <c r="N601" s="798">
        <f>-N527</f>
        <v>0</v>
      </c>
      <c r="O601" s="798">
        <f>-O527</f>
        <v>0</v>
      </c>
      <c r="P601" s="596"/>
    </row>
    <row r="602" spans="2:16" outlineLevel="1">
      <c r="C602" s="599"/>
      <c r="D602" s="596"/>
      <c r="E602" s="805"/>
      <c r="G602" s="596"/>
      <c r="H602" s="596"/>
      <c r="I602" s="596"/>
      <c r="J602" s="601"/>
      <c r="K602" s="601"/>
      <c r="L602" s="601"/>
      <c r="M602" s="601"/>
      <c r="N602" s="601"/>
      <c r="O602" s="601"/>
      <c r="P602" s="601"/>
    </row>
    <row r="603" spans="2:16" outlineLevel="1">
      <c r="C603" s="599"/>
      <c r="D603" s="596"/>
      <c r="E603" s="805"/>
      <c r="G603" s="596"/>
      <c r="H603" s="596"/>
      <c r="I603" s="596"/>
      <c r="J603" s="601"/>
      <c r="K603" s="601"/>
      <c r="L603" s="601"/>
      <c r="M603" s="601"/>
      <c r="N603" s="601"/>
      <c r="O603" s="601"/>
      <c r="P603" s="601"/>
    </row>
    <row r="604" spans="2:16" outlineLevel="1">
      <c r="C604" s="599"/>
      <c r="D604" s="597"/>
      <c r="E604" s="753"/>
      <c r="G604" s="597"/>
      <c r="H604" s="597"/>
      <c r="I604" s="597"/>
      <c r="J604" s="872"/>
      <c r="K604" s="873" t="s">
        <v>150</v>
      </c>
      <c r="L604" s="873"/>
      <c r="M604" s="873"/>
      <c r="N604" s="873"/>
      <c r="O604" s="873"/>
      <c r="P604" s="874"/>
    </row>
    <row r="605" spans="2:16" ht="12.6" outlineLevel="1" thickBot="1">
      <c r="C605" s="875" t="s">
        <v>174</v>
      </c>
      <c r="D605" s="875"/>
      <c r="E605" s="876" t="s">
        <v>99</v>
      </c>
      <c r="F605" s="876" t="s">
        <v>175</v>
      </c>
      <c r="G605" s="877"/>
      <c r="H605" s="878"/>
      <c r="I605" s="878"/>
      <c r="J605" s="879" t="s">
        <v>130</v>
      </c>
      <c r="K605" s="879">
        <v>1</v>
      </c>
      <c r="L605" s="879">
        <v>2</v>
      </c>
      <c r="M605" s="879">
        <v>3</v>
      </c>
      <c r="N605" s="879">
        <v>4</v>
      </c>
      <c r="O605" s="879">
        <v>5</v>
      </c>
      <c r="P605" s="865"/>
    </row>
    <row r="606" spans="2:16" outlineLevel="1">
      <c r="D606" s="880">
        <v>5</v>
      </c>
      <c r="E606" s="881">
        <f>IFERROR(XIRR(J606:O606,J$583:O$583),"NA")</f>
        <v>2.7734127283096317</v>
      </c>
      <c r="F606" s="882">
        <f>-SUM(K606:O606)/J606</f>
        <v>53.728278691298257</v>
      </c>
      <c r="H606" s="883"/>
      <c r="J606" s="619">
        <f>-Transaction!$C$60</f>
        <v>-17136.360096249999</v>
      </c>
      <c r="K606" s="619">
        <f>IF($D606=K$605,K$599+K$601,0)</f>
        <v>0</v>
      </c>
      <c r="L606" s="619">
        <f>IF($D606=L$605,L$599+L$601,0)</f>
        <v>0</v>
      </c>
      <c r="M606" s="619">
        <f>IF($D606=M$605,M$599+M$601,0)</f>
        <v>0</v>
      </c>
      <c r="N606" s="619">
        <f>IF($D606=N$605,N$599+N$601,0)</f>
        <v>0</v>
      </c>
      <c r="O606" s="619">
        <f>IF($D606=O$605,O$599+O$601,0)</f>
        <v>920707.13100576261</v>
      </c>
    </row>
    <row r="607" spans="2:16" outlineLevel="1">
      <c r="C607" s="599"/>
      <c r="D607" s="880">
        <f>D606-1</f>
        <v>4</v>
      </c>
      <c r="E607" s="881">
        <f>IFERROR(XIRR(J607:O607,J$583:O$583),"NA")</f>
        <v>6.1607122898101805</v>
      </c>
      <c r="F607" s="882">
        <f>-SUM(K607:O607)/J607</f>
        <v>51.275800266785048</v>
      </c>
      <c r="H607" s="883"/>
      <c r="J607" s="619">
        <f>-Transaction!$C$60</f>
        <v>-17136.360096249999</v>
      </c>
      <c r="K607" s="619">
        <f>IF($D607=K$605,K$599+K$601,0)</f>
        <v>0</v>
      </c>
      <c r="L607" s="619">
        <f>IF($D607=L$605,L$599+L$601,0)</f>
        <v>0</v>
      </c>
      <c r="M607" s="619">
        <f>IF($D607=M$605,M$599+M$601,0)</f>
        <v>0</v>
      </c>
      <c r="N607" s="619">
        <f>IF($D607=N$605,N$599+N$601,0)</f>
        <v>878680.5775950203</v>
      </c>
      <c r="O607" s="613"/>
    </row>
    <row r="608" spans="2:16" outlineLevel="1">
      <c r="C608" s="599"/>
      <c r="D608" s="880">
        <f>D607-1</f>
        <v>3</v>
      </c>
      <c r="E608" s="881">
        <f>IFERROR(XIRR(J608:O608,J$583:O$583),"NA")</f>
        <v>5.9536582469940189</v>
      </c>
      <c r="F608" s="882">
        <f>-SUM(K608:O608)/J608</f>
        <v>48.353362523043224</v>
      </c>
      <c r="H608" s="883"/>
      <c r="J608" s="619">
        <f>-Transaction!$C$60</f>
        <v>-17136.360096249999</v>
      </c>
      <c r="K608" s="619">
        <f>IF($D608=K$605,K$599+K$601,0)</f>
        <v>0</v>
      </c>
      <c r="L608" s="619">
        <f>IF($D608=L$605,L$599+L$601,0)</f>
        <v>0</v>
      </c>
      <c r="M608" s="619">
        <f>IF($D608=M$605,M$599+M$601,0)</f>
        <v>828600.6320593881</v>
      </c>
      <c r="N608" s="499"/>
      <c r="O608" s="499"/>
    </row>
    <row r="609" spans="1:18" outlineLevel="1">
      <c r="C609" s="599"/>
      <c r="D609" s="880">
        <f>D608-1</f>
        <v>2</v>
      </c>
      <c r="E609" s="881">
        <f>IFERROR(XIRR(J609:O609,J$583:O$583),"NA")</f>
        <v>44.273748397827163</v>
      </c>
      <c r="F609" s="882">
        <f>-SUM(K609:O609)/J609</f>
        <v>45.273748531448774</v>
      </c>
      <c r="H609" s="883"/>
      <c r="J609" s="619">
        <f>-Transaction!$C$60</f>
        <v>-17136.360096249999</v>
      </c>
      <c r="K609" s="619">
        <f>IF($D609=K$605,K$599+K$601,0)</f>
        <v>0</v>
      </c>
      <c r="L609" s="619">
        <f>IF($D609=L$605,L$599+L$601,0)</f>
        <v>775827.25774197571</v>
      </c>
      <c r="M609" s="613"/>
      <c r="N609" s="499"/>
      <c r="O609" s="499"/>
    </row>
    <row r="610" spans="1:18" outlineLevel="1">
      <c r="C610" s="599"/>
      <c r="D610" s="880">
        <f>D609-1</f>
        <v>1</v>
      </c>
      <c r="E610" s="881">
        <f>IFERROR(XIRR(J610:O610,J$583:O$583),"NA")</f>
        <v>40.268180465698251</v>
      </c>
      <c r="F610" s="882">
        <f>-SUM(K610:O610)/J610</f>
        <v>41.268180825270264</v>
      </c>
      <c r="H610" s="883"/>
      <c r="J610" s="619">
        <f>-Transaction!$C$60</f>
        <v>-17136.360096249999</v>
      </c>
      <c r="K610" s="619">
        <f>IF($D610=K$605,K$599+K$601,0)</f>
        <v>707186.4071389907</v>
      </c>
      <c r="L610" s="613"/>
      <c r="M610" s="613"/>
      <c r="N610" s="499"/>
      <c r="O610" s="499"/>
    </row>
    <row r="611" spans="1:18" outlineLevel="1"/>
    <row r="612" spans="1:18" outlineLevel="1">
      <c r="B612" s="533"/>
      <c r="C612" s="533"/>
      <c r="D612" s="533"/>
      <c r="E612" s="533"/>
      <c r="F612" s="533"/>
      <c r="G612" s="533"/>
      <c r="H612" s="533"/>
      <c r="I612" s="533"/>
      <c r="J612" s="533"/>
      <c r="K612" s="533"/>
      <c r="L612" s="533"/>
      <c r="M612" s="533"/>
      <c r="N612" s="533"/>
      <c r="O612" s="533" t="s">
        <v>80</v>
      </c>
    </row>
    <row r="614" spans="1:18">
      <c r="A614" s="467" t="s">
        <v>80</v>
      </c>
      <c r="B614" s="626" t="s">
        <v>399</v>
      </c>
      <c r="C614" s="627"/>
      <c r="D614" s="628"/>
      <c r="E614" s="628"/>
      <c r="F614" s="629"/>
      <c r="G614" s="629"/>
      <c r="H614" s="630"/>
      <c r="I614" s="630"/>
      <c r="J614" s="630"/>
      <c r="K614" s="630"/>
      <c r="L614" s="630"/>
      <c r="M614" s="630"/>
      <c r="N614" s="630"/>
      <c r="O614" s="630"/>
      <c r="P614" s="807"/>
    </row>
    <row r="615" spans="1:18" ht="12.6" outlineLevel="1" thickBot="1">
      <c r="B615" s="483" t="s">
        <v>344</v>
      </c>
      <c r="C615" s="748"/>
      <c r="D615" s="588"/>
      <c r="E615" s="590"/>
      <c r="G615" s="590"/>
      <c r="H615" s="590"/>
      <c r="I615" s="590"/>
      <c r="J615" s="485" t="s">
        <v>130</v>
      </c>
      <c r="K615" s="486">
        <f>$K$5</f>
        <v>2025</v>
      </c>
      <c r="L615" s="486">
        <f>K615+1</f>
        <v>2026</v>
      </c>
      <c r="M615" s="486">
        <f>L615+1</f>
        <v>2027</v>
      </c>
      <c r="N615" s="486">
        <f>M615+1</f>
        <v>2028</v>
      </c>
      <c r="O615" s="486">
        <f>N615+1</f>
        <v>2029</v>
      </c>
    </row>
    <row r="616" spans="1:18" outlineLevel="1">
      <c r="B616" s="483" t="str">
        <f>$B$6</f>
        <v>Model Running: Base Case Drivers</v>
      </c>
      <c r="C616" s="596"/>
      <c r="D616" s="596"/>
      <c r="E616" s="805"/>
      <c r="G616" s="596"/>
      <c r="H616" s="596"/>
      <c r="I616" s="596"/>
      <c r="J616" s="850"/>
      <c r="K616" s="850"/>
      <c r="L616" s="850"/>
      <c r="M616" s="850"/>
      <c r="N616" s="850"/>
      <c r="O616" s="850"/>
    </row>
    <row r="617" spans="1:18" outlineLevel="1">
      <c r="C617" s="599"/>
      <c r="D617" s="754" t="s">
        <v>173</v>
      </c>
      <c r="E617" s="753"/>
      <c r="F617" s="754" t="s">
        <v>172</v>
      </c>
      <c r="G617" s="597"/>
      <c r="H617" s="597"/>
      <c r="I617" s="597"/>
      <c r="J617" s="601"/>
      <c r="K617" s="601"/>
      <c r="L617" s="601"/>
      <c r="M617" s="601"/>
      <c r="N617" s="601"/>
      <c r="O617" s="601"/>
      <c r="P617" s="601"/>
    </row>
    <row r="618" spans="1:18" outlineLevel="1">
      <c r="C618" s="599"/>
      <c r="D618" s="851" t="s">
        <v>170</v>
      </c>
      <c r="E618" s="753"/>
      <c r="F618" s="851" t="s">
        <v>170</v>
      </c>
      <c r="G618" s="597"/>
      <c r="H618" s="597"/>
      <c r="I618" s="597"/>
      <c r="J618" s="852" t="s">
        <v>170</v>
      </c>
      <c r="K618" s="852" t="s">
        <v>170</v>
      </c>
      <c r="L618" s="853" t="s">
        <v>170</v>
      </c>
      <c r="M618" s="853" t="s">
        <v>170</v>
      </c>
      <c r="N618" s="853" t="s">
        <v>170</v>
      </c>
      <c r="O618" s="854" t="s">
        <v>170</v>
      </c>
      <c r="P618" s="601"/>
    </row>
    <row r="619" spans="1:18" outlineLevel="1">
      <c r="B619" s="855"/>
      <c r="D619" s="856" t="str">
        <f>+Transaction!I60</f>
        <v>N/A</v>
      </c>
      <c r="F619" s="856" t="str">
        <f>Transaction!I59</f>
        <v>N/A</v>
      </c>
      <c r="H619" s="590"/>
      <c r="I619" s="590"/>
      <c r="J619" s="857">
        <f t="shared" ref="J619:O619" si="39">J583</f>
        <v>45657</v>
      </c>
      <c r="K619" s="857">
        <f t="shared" si="39"/>
        <v>46022</v>
      </c>
      <c r="L619" s="858">
        <f t="shared" si="39"/>
        <v>46022</v>
      </c>
      <c r="M619" s="858">
        <f t="shared" si="39"/>
        <v>46387</v>
      </c>
      <c r="N619" s="858">
        <f t="shared" si="39"/>
        <v>46387</v>
      </c>
      <c r="O619" s="859">
        <f t="shared" si="39"/>
        <v>46752</v>
      </c>
      <c r="P619" s="860"/>
    </row>
    <row r="620" spans="1:18" outlineLevel="1">
      <c r="B620" s="855"/>
      <c r="D620" s="884"/>
      <c r="F620" s="884"/>
      <c r="H620" s="590"/>
      <c r="I620" s="590"/>
      <c r="J620" s="590"/>
      <c r="K620" s="590"/>
      <c r="L620" s="590"/>
      <c r="M620" s="590"/>
      <c r="N620" s="590"/>
      <c r="O620" s="590"/>
      <c r="P620" s="860"/>
    </row>
    <row r="621" spans="1:18" outlineLevel="1">
      <c r="B621" s="597"/>
      <c r="D621" s="885" t="s">
        <v>397</v>
      </c>
      <c r="F621" s="886">
        <v>0.30026276000000002</v>
      </c>
      <c r="H621" s="597"/>
      <c r="I621" s="597"/>
      <c r="J621" s="861"/>
      <c r="K621" s="862"/>
      <c r="L621" s="862"/>
      <c r="M621" s="862"/>
      <c r="N621" s="862"/>
      <c r="O621" s="862"/>
      <c r="P621" s="863"/>
      <c r="R621" s="1415"/>
    </row>
    <row r="622" spans="1:18" outlineLevel="1">
      <c r="C622" s="834" t="s">
        <v>28</v>
      </c>
      <c r="K622" s="887">
        <f>K115</f>
        <v>92526.556105750002</v>
      </c>
      <c r="L622" s="888">
        <f>L115</f>
        <v>108598.302908625</v>
      </c>
      <c r="M622" s="888">
        <f>M115</f>
        <v>124627.74971150002</v>
      </c>
      <c r="N622" s="888">
        <f>N115</f>
        <v>142473.68151437503</v>
      </c>
      <c r="O622" s="889">
        <f>O115</f>
        <v>161659.34371725004</v>
      </c>
    </row>
    <row r="623" spans="1:18" outlineLevel="1"/>
    <row r="624" spans="1:18" outlineLevel="1">
      <c r="C624" s="834" t="s">
        <v>377</v>
      </c>
    </row>
    <row r="625" spans="3:15" outlineLevel="1">
      <c r="C625" s="467" t="s">
        <v>378</v>
      </c>
      <c r="K625" s="467">
        <f>J629</f>
        <v>0</v>
      </c>
      <c r="L625" s="467">
        <f>K629</f>
        <v>0</v>
      </c>
      <c r="M625" s="467">
        <f>L629</f>
        <v>0</v>
      </c>
      <c r="N625" s="467">
        <f>M629</f>
        <v>0</v>
      </c>
      <c r="O625" s="467">
        <f>N629</f>
        <v>0</v>
      </c>
    </row>
    <row r="626" spans="3:15" outlineLevel="1">
      <c r="C626" s="467" t="s">
        <v>379</v>
      </c>
      <c r="H626" s="890"/>
      <c r="I626" s="890"/>
      <c r="J626" s="890"/>
      <c r="K626" s="891">
        <f>IF(K622&lt;0,ABS(K622),0)</f>
        <v>0</v>
      </c>
      <c r="L626" s="891">
        <f>IF(L622&lt;0,ABS(L622),0)</f>
        <v>0</v>
      </c>
      <c r="M626" s="891">
        <f>IF(M622&lt;0,ABS(M622),0)</f>
        <v>0</v>
      </c>
      <c r="N626" s="891">
        <f>IF(N622&lt;0,ABS(N622),0)</f>
        <v>0</v>
      </c>
      <c r="O626" s="891">
        <f>IF(O622&lt;0,ABS(O622),0)</f>
        <v>0</v>
      </c>
    </row>
    <row r="627" spans="3:15" outlineLevel="1">
      <c r="C627" s="467" t="s">
        <v>380</v>
      </c>
      <c r="K627" s="892">
        <f>SUM(K625:K626)</f>
        <v>0</v>
      </c>
      <c r="L627" s="892">
        <f>SUM(L625:L626)</f>
        <v>0</v>
      </c>
      <c r="M627" s="892">
        <f>SUM(M625:M626)</f>
        <v>0</v>
      </c>
      <c r="N627" s="892">
        <f>SUM(N625:N626)</f>
        <v>0</v>
      </c>
      <c r="O627" s="892">
        <f>SUM(O625:O626)</f>
        <v>0</v>
      </c>
    </row>
    <row r="628" spans="3:15" outlineLevel="1">
      <c r="C628" s="467" t="s">
        <v>381</v>
      </c>
      <c r="H628" s="890"/>
      <c r="I628" s="890"/>
      <c r="J628" s="890"/>
      <c r="K628" s="891">
        <f>IF(K622&gt;0,MIN(K627,K622),0)</f>
        <v>0</v>
      </c>
      <c r="L628" s="891">
        <f>IF(L622&gt;0,MIN(L627,L622),0)</f>
        <v>0</v>
      </c>
      <c r="M628" s="891">
        <f>IF(M622&gt;0,MIN(M627,M622),0)</f>
        <v>0</v>
      </c>
      <c r="N628" s="891">
        <f>IF(N622&gt;0,MIN(N627,N622),0)</f>
        <v>0</v>
      </c>
      <c r="O628" s="891">
        <f>IF(O622&gt;0,MIN(O627,O622),0)</f>
        <v>0</v>
      </c>
    </row>
    <row r="629" spans="3:15" outlineLevel="1">
      <c r="C629" s="467" t="s">
        <v>382</v>
      </c>
      <c r="K629" s="892">
        <f>K627-K628</f>
        <v>0</v>
      </c>
      <c r="L629" s="892">
        <f>L627-L628</f>
        <v>0</v>
      </c>
      <c r="M629" s="892">
        <f>M627-M628</f>
        <v>0</v>
      </c>
      <c r="N629" s="892">
        <f>N627-N628</f>
        <v>0</v>
      </c>
      <c r="O629" s="892">
        <f>O627-O628</f>
        <v>0</v>
      </c>
    </row>
    <row r="630" spans="3:15" outlineLevel="1"/>
    <row r="631" spans="3:15" outlineLevel="1">
      <c r="C631" s="834" t="s">
        <v>383</v>
      </c>
    </row>
    <row r="632" spans="3:15" outlineLevel="1">
      <c r="C632" s="467" t="s">
        <v>384</v>
      </c>
      <c r="K632" s="806">
        <f>K121</f>
        <v>92601.556105750002</v>
      </c>
      <c r="L632" s="806">
        <f>L121</f>
        <v>111915.23489098052</v>
      </c>
      <c r="M632" s="806">
        <f>M121</f>
        <v>131995.00334819136</v>
      </c>
      <c r="N632" s="806">
        <f>N121</f>
        <v>154745.35600110868</v>
      </c>
      <c r="O632" s="806">
        <f>O121</f>
        <v>179782.83103702395</v>
      </c>
    </row>
    <row r="633" spans="3:15" outlineLevel="1">
      <c r="C633" s="467" t="s">
        <v>385</v>
      </c>
      <c r="H633" s="890"/>
      <c r="I633" s="890"/>
      <c r="J633" s="890"/>
      <c r="K633" s="891">
        <f>-K119</f>
        <v>75</v>
      </c>
      <c r="L633" s="891">
        <f>-L119</f>
        <v>3316.9319823555129</v>
      </c>
      <c r="M633" s="891">
        <f>-M119</f>
        <v>7367.2536366913346</v>
      </c>
      <c r="N633" s="891">
        <f>-N119</f>
        <v>12271.674486733658</v>
      </c>
      <c r="O633" s="891">
        <f>-O119</f>
        <v>18123.4873197739</v>
      </c>
    </row>
    <row r="634" spans="3:15" outlineLevel="1">
      <c r="C634" s="467" t="s">
        <v>28</v>
      </c>
      <c r="K634" s="892">
        <f>SUM(K632:K633)</f>
        <v>92676.556105750002</v>
      </c>
      <c r="L634" s="892">
        <f>SUM(L632:L633)</f>
        <v>115232.16687333603</v>
      </c>
      <c r="M634" s="892">
        <f>SUM(M632:M633)</f>
        <v>139362.2569848827</v>
      </c>
      <c r="N634" s="892">
        <f>SUM(N632:N633)</f>
        <v>167017.03048784233</v>
      </c>
      <c r="O634" s="892">
        <f>SUM(O632:O633)</f>
        <v>197906.31835679786</v>
      </c>
    </row>
    <row r="635" spans="3:15" outlineLevel="1">
      <c r="C635" s="467" t="s">
        <v>386</v>
      </c>
      <c r="K635" s="806">
        <f>-K343</f>
        <v>-27780.466831725</v>
      </c>
      <c r="L635" s="806">
        <f>-L343</f>
        <v>-33574.57046729415</v>
      </c>
      <c r="M635" s="806">
        <f>-M343</f>
        <v>-39598.501004457408</v>
      </c>
      <c r="N635" s="806">
        <f>-N343</f>
        <v>-46423.6068003326</v>
      </c>
      <c r="O635" s="806">
        <f>-O343</f>
        <v>-53934.84931110718</v>
      </c>
    </row>
    <row r="636" spans="3:15" outlineLevel="1">
      <c r="C636" s="467" t="s">
        <v>387</v>
      </c>
      <c r="K636" s="806">
        <f>-K299</f>
        <v>-17136.360096249999</v>
      </c>
      <c r="L636" s="806">
        <f>-L299</f>
        <v>-8568.1800481249993</v>
      </c>
      <c r="M636" s="806">
        <f>-M299</f>
        <v>-8568.1800481249993</v>
      </c>
      <c r="N636" s="806">
        <f>-N299</f>
        <v>-8568.1800481249993</v>
      </c>
      <c r="O636" s="806">
        <f>-O299</f>
        <v>-8568.1800481249993</v>
      </c>
    </row>
    <row r="637" spans="3:15" outlineLevel="1">
      <c r="C637" s="467" t="s">
        <v>388</v>
      </c>
      <c r="K637" s="806">
        <f>+K271</f>
        <v>3427.2720192499996</v>
      </c>
      <c r="L637" s="806">
        <f>+L271</f>
        <v>5140.9080288749992</v>
      </c>
      <c r="M637" s="806">
        <f>+M271</f>
        <v>6854.5440384999993</v>
      </c>
      <c r="N637" s="806">
        <f>+N271</f>
        <v>8568.1800481249993</v>
      </c>
      <c r="O637" s="806">
        <f>+O271</f>
        <v>10281.816057749998</v>
      </c>
    </row>
    <row r="638" spans="3:15" outlineLevel="1">
      <c r="C638" s="467" t="s">
        <v>389</v>
      </c>
      <c r="H638" s="890"/>
      <c r="I638" s="890"/>
      <c r="J638" s="890"/>
      <c r="K638" s="891">
        <f>K229</f>
        <v>-8648.5980308219168</v>
      </c>
      <c r="L638" s="891">
        <f>L229</f>
        <v>-1425.407748287671</v>
      </c>
      <c r="M638" s="891">
        <f>M229</f>
        <v>-1413.9008989726044</v>
      </c>
      <c r="N638" s="891">
        <f>N229</f>
        <v>-1496.9145976027412</v>
      </c>
      <c r="O638" s="891">
        <f>O229</f>
        <v>-1579.9282962328743</v>
      </c>
    </row>
    <row r="639" spans="3:15" outlineLevel="1">
      <c r="C639" s="834" t="s">
        <v>390</v>
      </c>
      <c r="K639" s="892">
        <f>SUM(K634:K638)</f>
        <v>42538.403166203083</v>
      </c>
      <c r="L639" s="892">
        <f>SUM(L634:L638)</f>
        <v>76804.916638504204</v>
      </c>
      <c r="M639" s="892">
        <f>SUM(M634:M638)</f>
        <v>96636.219071827683</v>
      </c>
      <c r="N639" s="892">
        <f>SUM(N634:N638)</f>
        <v>119096.50908990699</v>
      </c>
      <c r="O639" s="892">
        <f>SUM(O634:O638)</f>
        <v>144105.17675908277</v>
      </c>
    </row>
    <row r="640" spans="3:15" outlineLevel="1">
      <c r="K640" s="883"/>
    </row>
    <row r="641" spans="3:11" outlineLevel="1">
      <c r="C641" s="834" t="s">
        <v>391</v>
      </c>
      <c r="K641" s="893"/>
    </row>
    <row r="642" spans="3:11" outlineLevel="1">
      <c r="C642" s="467" t="s">
        <v>392</v>
      </c>
      <c r="F642" s="806">
        <f>NPV(F621,K639:O639)</f>
        <v>202540.25588608318</v>
      </c>
    </row>
    <row r="643" spans="3:11" outlineLevel="1">
      <c r="C643" s="467" t="s">
        <v>393</v>
      </c>
      <c r="F643" s="806">
        <f>O112</f>
        <v>171941.15977500004</v>
      </c>
    </row>
    <row r="644" spans="3:11" outlineLevel="1">
      <c r="C644" s="467" t="s">
        <v>394</v>
      </c>
      <c r="F644" s="806">
        <f>F643/(1+F621)^(COUNTA(J619:O619))</f>
        <v>35578.94823498679</v>
      </c>
    </row>
    <row r="645" spans="3:11" outlineLevel="1">
      <c r="C645" s="834" t="s">
        <v>395</v>
      </c>
      <c r="F645" s="806">
        <f>F642+F644</f>
        <v>238119.20412106998</v>
      </c>
    </row>
    <row r="646" spans="3:11" outlineLevel="1"/>
    <row r="647" spans="3:11" outlineLevel="1">
      <c r="C647" s="467" t="s">
        <v>398</v>
      </c>
      <c r="F647" s="894">
        <f>F645/K31</f>
        <v>1.7255014791381882</v>
      </c>
    </row>
    <row r="648" spans="3:11" outlineLevel="1"/>
    <row r="649" spans="3:11" outlineLevel="1">
      <c r="C649" s="467" t="s">
        <v>396</v>
      </c>
      <c r="F649" s="895">
        <f>1-(-J606/(F645+(-J606)))</f>
        <v>0.93286587052942593</v>
      </c>
    </row>
    <row r="650" spans="3:11" outlineLevel="1"/>
  </sheetData>
  <conditionalFormatting sqref="F318">
    <cfRule type="expression" dxfId="17" priority="24">
      <formula>$F$318=1</formula>
    </cfRule>
  </conditionalFormatting>
  <conditionalFormatting sqref="F538:H543 G554 P584:P585 F591:H595">
    <cfRule type="containsText" dxfId="16" priority="71" operator="containsText" text="OK">
      <formula>NOT(ISERROR(SEARCH("OK",F538)))</formula>
    </cfRule>
    <cfRule type="containsText" dxfId="15" priority="72" operator="containsText" text="ERROR">
      <formula>NOT(ISERROR(SEARCH("ERROR",F538)))</formula>
    </cfRule>
  </conditionalFormatting>
  <conditionalFormatting sqref="J33:O33 J34:L34">
    <cfRule type="expression" dxfId="14" priority="28">
      <formula>J$33=1</formula>
    </cfRule>
  </conditionalFormatting>
  <conditionalFormatting sqref="K199:O199">
    <cfRule type="expression" dxfId="13" priority="8">
      <formula>K199&lt;&gt;0</formula>
    </cfRule>
  </conditionalFormatting>
  <conditionalFormatting sqref="K390:O390">
    <cfRule type="expression" dxfId="12" priority="15">
      <formula>K$390=1</formula>
    </cfRule>
  </conditionalFormatting>
  <conditionalFormatting sqref="K554:O554">
    <cfRule type="expression" dxfId="11" priority="13">
      <formula>K$556&lt;0</formula>
    </cfRule>
  </conditionalFormatting>
  <conditionalFormatting sqref="K568:O568">
    <cfRule type="expression" dxfId="10" priority="11">
      <formula>K$570&lt;0</formula>
    </cfRule>
  </conditionalFormatting>
  <conditionalFormatting sqref="P621">
    <cfRule type="containsText" dxfId="9" priority="9" operator="containsText" text="OK">
      <formula>NOT(ISERROR(SEARCH("OK",P621)))</formula>
    </cfRule>
    <cfRule type="containsText" dxfId="8" priority="10" operator="containsText" text="ERROR">
      <formula>NOT(ISERROR(SEARCH("ERROR",P621)))</formula>
    </cfRule>
  </conditionalFormatting>
  <printOptions horizontalCentered="1"/>
  <pageMargins left="0.118110236220472" right="0.118110236220472" top="0.118110236220472" bottom="0.118110236220472" header="0.118110236220472" footer="0.118110236220472"/>
  <pageSetup scale="73" fitToWidth="0" fitToHeight="0" orientation="landscape" r:id="rId1"/>
  <headerFooter>
    <oddFooter>&amp;L&amp;"Open Sans,Bold"&amp;KC00000Flexxo Labels Financial  Model&amp;C&amp;"Open Sans,Bold"&amp;KC00000Page &amp;P of &amp;N</oddFooter>
  </headerFooter>
  <rowBreaks count="13" manualBreakCount="13">
    <brk id="37" max="15" man="1"/>
    <brk id="98" max="15" man="1"/>
    <brk id="129" max="15" man="1"/>
    <brk id="200" max="15" man="1"/>
    <brk id="232" max="15" man="1"/>
    <brk id="278" max="15" man="1"/>
    <brk id="308" max="15" man="1"/>
    <brk id="350" max="15" man="1"/>
    <brk id="395" max="15" man="1"/>
    <brk id="471" max="15" man="1"/>
    <brk id="510" max="15" man="1"/>
    <brk id="531" max="15" man="1"/>
    <brk id="575" max="15" man="1"/>
  </rowBreaks>
  <legacyDrawingHF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C4BB5-2884-4738-9A57-3338073EE576}">
  <sheetPr>
    <pageSetUpPr fitToPage="1"/>
  </sheetPr>
  <dimension ref="A1:Q46"/>
  <sheetViews>
    <sheetView showGridLines="0" showRowColHeaders="0" tabSelected="1" zoomScale="85" zoomScaleNormal="85" workbookViewId="0">
      <selection activeCell="C12" sqref="C12"/>
    </sheetView>
  </sheetViews>
  <sheetFormatPr defaultRowHeight="13.8" outlineLevelRow="1"/>
  <cols>
    <col min="1" max="2" width="3.6640625" style="407" customWidth="1"/>
    <col min="3" max="3" width="23.21875" style="407" bestFit="1" customWidth="1"/>
    <col min="4" max="4" width="68.109375" style="407" bestFit="1" customWidth="1"/>
    <col min="5" max="5" width="14.5546875" style="407" customWidth="1"/>
    <col min="6" max="6" width="17" style="407" customWidth="1"/>
    <col min="7" max="7" width="6.109375" style="407" customWidth="1"/>
    <col min="8" max="8" width="27.44140625" style="407" customWidth="1"/>
    <col min="9" max="9" width="105.109375" style="407" customWidth="1"/>
    <col min="10" max="10" width="16.33203125" style="407" customWidth="1"/>
    <col min="11" max="11" width="17.109375" style="407" customWidth="1"/>
    <col min="12" max="12" width="14.33203125" style="407" bestFit="1" customWidth="1"/>
    <col min="13" max="14" width="8.88671875" style="407"/>
    <col min="15" max="15" width="17.44140625" style="407" customWidth="1"/>
    <col min="16" max="16" width="17.33203125" style="407" customWidth="1"/>
    <col min="17" max="17" width="12.6640625" style="407" customWidth="1"/>
    <col min="18" max="16384" width="8.88671875" style="407"/>
  </cols>
  <sheetData>
    <row r="1" spans="1:17">
      <c r="B1" s="406" t="s">
        <v>735</v>
      </c>
    </row>
    <row r="2" spans="1:17">
      <c r="B2" s="445" t="s">
        <v>737</v>
      </c>
      <c r="C2" s="445"/>
      <c r="D2" s="445"/>
      <c r="E2" s="445"/>
      <c r="F2" s="445"/>
      <c r="G2" s="445"/>
      <c r="H2" s="445"/>
      <c r="I2" s="445"/>
      <c r="J2" s="445"/>
      <c r="K2" s="445"/>
    </row>
    <row r="3" spans="1:17" ht="25.5" customHeight="1">
      <c r="A3" s="407" t="s">
        <v>80</v>
      </c>
      <c r="B3" s="408" t="s">
        <v>668</v>
      </c>
      <c r="C3" s="408"/>
      <c r="D3" s="408"/>
      <c r="E3" s="409" t="s">
        <v>670</v>
      </c>
      <c r="F3" s="409" t="s">
        <v>580</v>
      </c>
      <c r="P3" s="410"/>
    </row>
    <row r="4" spans="1:17" outlineLevel="1">
      <c r="C4" s="411"/>
      <c r="D4" s="411" t="s">
        <v>683</v>
      </c>
      <c r="E4" s="411"/>
      <c r="F4" s="411"/>
      <c r="P4" s="410"/>
    </row>
    <row r="5" spans="1:17" outlineLevel="1">
      <c r="D5" s="407" t="s">
        <v>731</v>
      </c>
      <c r="E5" s="448">
        <v>61000</v>
      </c>
      <c r="F5" s="430">
        <f>E5*135</f>
        <v>8235000</v>
      </c>
      <c r="P5" s="410"/>
      <c r="Q5" s="410"/>
    </row>
    <row r="6" spans="1:17" outlineLevel="1">
      <c r="D6" s="407" t="s">
        <v>684</v>
      </c>
      <c r="E6" s="448">
        <v>600</v>
      </c>
      <c r="F6" s="430">
        <f t="shared" ref="F6:F8" si="0">E6*135</f>
        <v>81000</v>
      </c>
      <c r="P6" s="410"/>
    </row>
    <row r="7" spans="1:17" outlineLevel="1">
      <c r="D7" s="407" t="s">
        <v>685</v>
      </c>
      <c r="E7" s="448">
        <v>1900</v>
      </c>
      <c r="F7" s="430">
        <f t="shared" si="0"/>
        <v>256500</v>
      </c>
      <c r="P7" s="410"/>
    </row>
    <row r="8" spans="1:17" outlineLevel="1">
      <c r="D8" s="407" t="s">
        <v>687</v>
      </c>
      <c r="E8" s="448">
        <v>3500</v>
      </c>
      <c r="F8" s="430">
        <f t="shared" si="0"/>
        <v>472500</v>
      </c>
    </row>
    <row r="9" spans="1:17" outlineLevel="1">
      <c r="D9" s="419" t="s">
        <v>673</v>
      </c>
      <c r="E9" s="434">
        <f>SUM(E5:E8)</f>
        <v>67000</v>
      </c>
      <c r="F9" s="434">
        <f>SUM(F5:F8)</f>
        <v>9045000</v>
      </c>
      <c r="P9" s="410"/>
    </row>
    <row r="10" spans="1:17" outlineLevel="1">
      <c r="E10" s="415"/>
      <c r="F10" s="416"/>
    </row>
    <row r="11" spans="1:17" outlineLevel="1">
      <c r="C11" s="449">
        <v>0.16</v>
      </c>
      <c r="D11" s="407" t="s">
        <v>732</v>
      </c>
      <c r="E11" s="430">
        <f>$C11*E$9</f>
        <v>10720</v>
      </c>
      <c r="F11" s="430">
        <f>$C11*F$9</f>
        <v>1447200</v>
      </c>
    </row>
    <row r="12" spans="1:17" ht="15" customHeight="1" outlineLevel="1">
      <c r="C12" s="449">
        <v>3.5000000000000003E-2</v>
      </c>
      <c r="D12" s="407" t="s">
        <v>733</v>
      </c>
      <c r="E12" s="430">
        <f t="shared" ref="E12:E13" si="1">$C12*E$9</f>
        <v>2345</v>
      </c>
      <c r="F12" s="430">
        <f>$C12*F$9</f>
        <v>316575.00000000006</v>
      </c>
      <c r="N12" s="422"/>
      <c r="O12" s="422"/>
    </row>
    <row r="13" spans="1:17" outlineLevel="1">
      <c r="C13" s="449">
        <v>0.02</v>
      </c>
      <c r="D13" s="407" t="s">
        <v>734</v>
      </c>
      <c r="E13" s="430">
        <f t="shared" si="1"/>
        <v>1340</v>
      </c>
      <c r="F13" s="430">
        <f>$C13*F$9</f>
        <v>180900</v>
      </c>
      <c r="N13" s="422"/>
      <c r="O13" s="422"/>
      <c r="P13" s="410"/>
    </row>
    <row r="14" spans="1:17" outlineLevel="1">
      <c r="D14" s="420" t="s">
        <v>682</v>
      </c>
      <c r="E14" s="447">
        <f>Detail!D25</f>
        <v>1479.2592592592594</v>
      </c>
      <c r="F14" s="430">
        <f>E14*135</f>
        <v>199700</v>
      </c>
      <c r="N14" s="422"/>
      <c r="O14" s="422"/>
      <c r="P14" s="410"/>
    </row>
    <row r="15" spans="1:17" outlineLevel="1">
      <c r="D15" s="411" t="s">
        <v>697</v>
      </c>
      <c r="E15" s="435">
        <f>SUM(E11:E14)</f>
        <v>15884.259259259259</v>
      </c>
      <c r="F15" s="435">
        <f>SUM(F11:F14)</f>
        <v>2144375</v>
      </c>
      <c r="P15" s="410"/>
    </row>
    <row r="16" spans="1:17" outlineLevel="1">
      <c r="E16" s="417"/>
      <c r="F16" s="423"/>
      <c r="N16" s="422"/>
      <c r="O16" s="422"/>
      <c r="P16" s="410"/>
    </row>
    <row r="17" spans="1:16" outlineLevel="1">
      <c r="D17" s="419" t="s">
        <v>699</v>
      </c>
      <c r="E17" s="434">
        <f>SUM(E9,E15)</f>
        <v>82884.259259259255</v>
      </c>
      <c r="F17" s="434">
        <f>SUM(F9,F15)</f>
        <v>11189375</v>
      </c>
      <c r="G17" s="411" t="s">
        <v>801</v>
      </c>
      <c r="N17" s="422"/>
      <c r="O17" s="422"/>
      <c r="P17" s="410"/>
    </row>
    <row r="18" spans="1:16">
      <c r="D18" s="411"/>
      <c r="E18" s="446"/>
      <c r="F18" s="446"/>
      <c r="N18" s="422"/>
      <c r="O18" s="422"/>
      <c r="P18" s="410"/>
    </row>
    <row r="19" spans="1:16">
      <c r="A19" s="407" t="s">
        <v>80</v>
      </c>
      <c r="B19" s="408" t="s">
        <v>669</v>
      </c>
      <c r="C19" s="408"/>
      <c r="D19" s="408"/>
      <c r="E19" s="408"/>
      <c r="F19" s="408"/>
      <c r="P19" s="410"/>
    </row>
    <row r="20" spans="1:16" ht="19.5" customHeight="1" outlineLevel="1">
      <c r="D20" s="412"/>
      <c r="E20" s="413" t="s">
        <v>670</v>
      </c>
      <c r="F20" s="414" t="s">
        <v>580</v>
      </c>
      <c r="P20" s="410"/>
    </row>
    <row r="21" spans="1:16" outlineLevel="1">
      <c r="C21" s="407" t="s">
        <v>671</v>
      </c>
      <c r="D21" s="407" t="s">
        <v>672</v>
      </c>
      <c r="E21" s="450">
        <v>1500</v>
      </c>
      <c r="F21" s="447">
        <f>E21*135</f>
        <v>202500</v>
      </c>
      <c r="G21" s="418"/>
      <c r="P21" s="410"/>
    </row>
    <row r="22" spans="1:16" outlineLevel="1">
      <c r="C22" s="407" t="s">
        <v>739</v>
      </c>
      <c r="D22" s="407" t="s">
        <v>738</v>
      </c>
      <c r="E22" s="450">
        <v>2300</v>
      </c>
      <c r="F22" s="447">
        <f>E22*135</f>
        <v>310500</v>
      </c>
      <c r="P22" s="410"/>
    </row>
    <row r="23" spans="1:16" outlineLevel="1">
      <c r="C23" s="419" t="s">
        <v>673</v>
      </c>
      <c r="D23" s="419"/>
      <c r="E23" s="432">
        <f>F23/155</f>
        <v>3309.6774193548385</v>
      </c>
      <c r="F23" s="434">
        <f>SUM(F21:F22)</f>
        <v>513000</v>
      </c>
      <c r="G23" s="411" t="s">
        <v>674</v>
      </c>
    </row>
    <row r="24" spans="1:16" outlineLevel="1">
      <c r="C24" s="411"/>
      <c r="D24" s="411"/>
      <c r="E24" s="436"/>
      <c r="F24" s="446"/>
      <c r="G24" s="411"/>
    </row>
    <row r="25" spans="1:16" outlineLevel="1">
      <c r="A25" s="407" t="s">
        <v>80</v>
      </c>
      <c r="B25" s="454" t="s">
        <v>675</v>
      </c>
      <c r="C25" s="454"/>
      <c r="D25" s="454"/>
      <c r="E25" s="454"/>
      <c r="F25" s="455"/>
      <c r="G25" s="411"/>
      <c r="P25" s="410"/>
    </row>
    <row r="26" spans="1:16" outlineLevel="1">
      <c r="C26" s="420" t="s">
        <v>676</v>
      </c>
      <c r="D26" s="407" t="s">
        <v>677</v>
      </c>
      <c r="E26" s="438">
        <f>Detail!D13</f>
        <v>2785.1851851851852</v>
      </c>
      <c r="F26" s="447">
        <f>Detail!E13</f>
        <v>376000</v>
      </c>
      <c r="G26" s="411"/>
      <c r="P26" s="410"/>
    </row>
    <row r="27" spans="1:16" outlineLevel="1">
      <c r="C27" s="420" t="s">
        <v>678</v>
      </c>
      <c r="D27" s="407" t="s">
        <v>756</v>
      </c>
      <c r="E27" s="438">
        <f>F27/135</f>
        <v>1629.6296296296296</v>
      </c>
      <c r="F27" s="448">
        <v>220000</v>
      </c>
      <c r="G27" s="411"/>
    </row>
    <row r="28" spans="1:16" outlineLevel="1">
      <c r="C28" s="420" t="s">
        <v>679</v>
      </c>
      <c r="D28" s="407" t="s">
        <v>757</v>
      </c>
      <c r="E28" s="438">
        <f>130*12</f>
        <v>1560</v>
      </c>
      <c r="F28" s="447">
        <f>E28*135</f>
        <v>210600</v>
      </c>
      <c r="G28" s="411"/>
    </row>
    <row r="29" spans="1:16" outlineLevel="1">
      <c r="C29" s="407" t="s">
        <v>680</v>
      </c>
      <c r="D29" s="407" t="s">
        <v>772</v>
      </c>
      <c r="E29" s="438">
        <f>F29/135</f>
        <v>1481.4814814814815</v>
      </c>
      <c r="F29" s="448">
        <v>200000</v>
      </c>
      <c r="G29" s="411"/>
      <c r="H29" s="422"/>
    </row>
    <row r="30" spans="1:16" outlineLevel="1">
      <c r="C30" s="420" t="s">
        <v>758</v>
      </c>
      <c r="D30" s="407" t="s">
        <v>681</v>
      </c>
      <c r="E30" s="438">
        <f>F30/155</f>
        <v>806.45161290322585</v>
      </c>
      <c r="F30" s="448">
        <v>125000</v>
      </c>
      <c r="G30" s="411"/>
      <c r="H30" s="422"/>
    </row>
    <row r="31" spans="1:16" outlineLevel="1">
      <c r="C31" s="420" t="s">
        <v>770</v>
      </c>
      <c r="D31" s="424" t="s">
        <v>771</v>
      </c>
      <c r="E31" s="438">
        <f>Detail!D45</f>
        <v>1111.3884444444443</v>
      </c>
      <c r="F31" s="431">
        <f>Detail!E45</f>
        <v>150037.44</v>
      </c>
      <c r="G31" s="411"/>
      <c r="H31" s="422"/>
    </row>
    <row r="32" spans="1:16" outlineLevel="1">
      <c r="E32" s="421"/>
      <c r="F32" s="418"/>
      <c r="G32" s="411"/>
      <c r="J32" s="418"/>
    </row>
    <row r="33" spans="1:10" outlineLevel="1">
      <c r="C33" s="419" t="s">
        <v>673</v>
      </c>
      <c r="D33" s="425"/>
      <c r="E33" s="433">
        <f>SUM(E26:E32)</f>
        <v>9374.1363536439676</v>
      </c>
      <c r="F33" s="433">
        <f>SUM(F26:F32)</f>
        <v>1281637.44</v>
      </c>
      <c r="G33" s="411" t="s">
        <v>686</v>
      </c>
      <c r="J33" s="418"/>
    </row>
    <row r="34" spans="1:10">
      <c r="C34" s="411"/>
      <c r="E34" s="451"/>
      <c r="F34" s="451"/>
      <c r="G34" s="411"/>
      <c r="J34" s="418"/>
    </row>
    <row r="35" spans="1:10">
      <c r="A35" s="407" t="s">
        <v>778</v>
      </c>
      <c r="B35" s="408" t="s">
        <v>688</v>
      </c>
      <c r="C35" s="408"/>
      <c r="D35" s="408"/>
      <c r="E35" s="408"/>
      <c r="F35" s="408"/>
      <c r="G35" s="411"/>
      <c r="J35" s="418"/>
    </row>
    <row r="36" spans="1:10" outlineLevel="1">
      <c r="C36" s="420" t="s">
        <v>791</v>
      </c>
      <c r="D36" s="407" t="s">
        <v>800</v>
      </c>
      <c r="E36" s="438">
        <f>SUM(Detail!D49,Detail!D56,Detail!D57)</f>
        <v>13925.05787037037</v>
      </c>
      <c r="F36" s="460">
        <f>SUM(Detail!E49,Detail!E56,Detail!E57)</f>
        <v>1879882.8125</v>
      </c>
    </row>
    <row r="37" spans="1:10" outlineLevel="1">
      <c r="C37" s="407" t="s">
        <v>347</v>
      </c>
      <c r="D37" s="407" t="s">
        <v>694</v>
      </c>
      <c r="E37" s="438">
        <f>Detail!D58</f>
        <v>3978.587962962963</v>
      </c>
      <c r="F37" s="460">
        <f>Detail!E58</f>
        <v>537109.375</v>
      </c>
    </row>
    <row r="38" spans="1:10" outlineLevel="1">
      <c r="C38" s="407" t="s">
        <v>695</v>
      </c>
      <c r="D38" s="407" t="s">
        <v>696</v>
      </c>
      <c r="E38" s="438">
        <f>Detail!D59</f>
        <v>198.92939814814815</v>
      </c>
      <c r="F38" s="460">
        <f>Detail!E59</f>
        <v>26855.46875</v>
      </c>
    </row>
    <row r="39" spans="1:10" outlineLevel="1">
      <c r="C39" s="420" t="s">
        <v>689</v>
      </c>
      <c r="D39" s="407" t="s">
        <v>690</v>
      </c>
      <c r="E39" s="1405">
        <f>Detail!D76</f>
        <v>6000.0000000000009</v>
      </c>
      <c r="F39" s="461">
        <f>Detail!E76</f>
        <v>810000</v>
      </c>
    </row>
    <row r="40" spans="1:10" outlineLevel="1">
      <c r="C40" s="407" t="s">
        <v>691</v>
      </c>
      <c r="D40" s="407" t="s">
        <v>692</v>
      </c>
      <c r="E40" s="438">
        <f>F40/155</f>
        <v>3225.8064516129034</v>
      </c>
      <c r="F40" s="460">
        <f>Detail!E78</f>
        <v>500000</v>
      </c>
    </row>
    <row r="41" spans="1:10" outlineLevel="1">
      <c r="F41" s="439"/>
    </row>
    <row r="42" spans="1:10" outlineLevel="1">
      <c r="C42" s="419" t="s">
        <v>673</v>
      </c>
      <c r="D42" s="419"/>
      <c r="E42" s="433">
        <f>SUM(E36:E41)</f>
        <v>27328.381683094383</v>
      </c>
      <c r="F42" s="444">
        <f>SUM(F36:F41)</f>
        <v>3753847.65625</v>
      </c>
      <c r="G42" s="411" t="s">
        <v>698</v>
      </c>
    </row>
    <row r="43" spans="1:10" ht="14.4" outlineLevel="1" thickBot="1">
      <c r="C43" s="426" t="s">
        <v>700</v>
      </c>
      <c r="D43" s="427"/>
      <c r="E43" s="437">
        <f>F43/155</f>
        <v>107986.19416935483</v>
      </c>
      <c r="F43" s="462">
        <f>F17+F23+F33+F42</f>
        <v>16737860.096249999</v>
      </c>
      <c r="G43" s="411" t="s">
        <v>701</v>
      </c>
    </row>
    <row r="44" spans="1:10" ht="14.4" outlineLevel="1" thickTop="1">
      <c r="F44" s="428"/>
    </row>
    <row r="46" spans="1:10">
      <c r="A46" s="407" t="s">
        <v>80</v>
      </c>
    </row>
  </sheetData>
  <hyperlinks>
    <hyperlink ref="C26" location="Detail!A2" tooltip="Statutory Compliances " display="Statutory Compliances " xr:uid="{A5D3C5EA-C376-4C27-8937-81E4FEED7DF2}"/>
    <hyperlink ref="D14" location="Detail!A16" tooltip="Freight Transit &amp; Clearing " display="Freight Transit &amp; Clearing " xr:uid="{4A2874A5-DEA6-472C-88B9-F063247AB3C3}"/>
    <hyperlink ref="C27" r:id="rId1" tooltip="Brand Designing Set Up" xr:uid="{FC44D354-FA63-4DBD-85AE-8F37F087D2B9}"/>
    <hyperlink ref="C30" r:id="rId2" tooltip="Pallet trolley" xr:uid="{5E3B9638-19BD-4E61-B5C2-250A43534D3F}"/>
    <hyperlink ref="C31" location="Detail!A27" tooltip="Quality Testing Equipment" display="Quality Testing Equipment" xr:uid="{9669F2CE-16CD-4188-8142-5C8839622A26}"/>
    <hyperlink ref="C28" r:id="rId3" tooltip="System Set Up " xr:uid="{B06F75ED-D5D6-4D59-9503-561032B11572}"/>
    <hyperlink ref="C39" location="Detail!A70" tooltip="Salaries" display="Salaries" xr:uid="{C703134A-18CD-488D-ACB9-453637636D14}"/>
    <hyperlink ref="C36" location="Detail!A47" tooltip="Raw Materials" display="Raw Materials" xr:uid="{09498865-A362-49A7-91DF-EB38E622389D}"/>
  </hyperlinks>
  <printOptions horizontalCentered="1" verticalCentered="1"/>
  <pageMargins left="0.25" right="0.25" top="0.75" bottom="0.75" header="0.3" footer="0.3"/>
  <pageSetup scale="44" fitToHeight="0" orientation="landscape" r:id="rId4"/>
  <legacy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D8FCD-6AFA-42D5-8CF2-7CFED5CB0236}">
  <sheetPr>
    <pageSetUpPr fitToPage="1"/>
  </sheetPr>
  <dimension ref="A1:J80"/>
  <sheetViews>
    <sheetView showGridLines="0" showRowColHeaders="0" tabSelected="1" zoomScale="85" zoomScaleNormal="90" workbookViewId="0">
      <selection activeCell="C12" sqref="C12"/>
    </sheetView>
  </sheetViews>
  <sheetFormatPr defaultRowHeight="13.8" outlineLevelRow="1"/>
  <cols>
    <col min="1" max="1" width="3.6640625" style="407" customWidth="1"/>
    <col min="2" max="2" width="11.6640625" style="407" customWidth="1"/>
    <col min="3" max="3" width="38.6640625" style="407" customWidth="1"/>
    <col min="4" max="4" width="7.6640625" style="407" bestFit="1" customWidth="1"/>
    <col min="5" max="5" width="10.21875" style="407" bestFit="1" customWidth="1"/>
    <col min="6" max="6" width="11" style="407" bestFit="1" customWidth="1"/>
    <col min="7" max="7" width="17.44140625" style="407" customWidth="1"/>
    <col min="8" max="8" width="17.33203125" style="407" customWidth="1"/>
    <col min="9" max="9" width="12.6640625" style="407" customWidth="1"/>
    <col min="10" max="16384" width="8.88671875" style="407"/>
  </cols>
  <sheetData>
    <row r="1" spans="1:9">
      <c r="B1" s="406" t="s">
        <v>735</v>
      </c>
      <c r="D1" s="409" t="s">
        <v>670</v>
      </c>
      <c r="E1" s="409" t="s">
        <v>580</v>
      </c>
    </row>
    <row r="2" spans="1:9" ht="25.5" customHeight="1">
      <c r="A2" s="407" t="s">
        <v>80</v>
      </c>
      <c r="B2" s="408" t="str">
        <f>'Machines Set Up Costs'!C26</f>
        <v xml:space="preserve">Statutory Compliances </v>
      </c>
      <c r="C2" s="408"/>
      <c r="D2" s="409"/>
      <c r="E2" s="409"/>
      <c r="H2" s="410"/>
    </row>
    <row r="3" spans="1:9" outlineLevel="1">
      <c r="B3" s="411"/>
      <c r="C3" s="407" t="s">
        <v>747</v>
      </c>
      <c r="D3" s="442">
        <f>E3/135</f>
        <v>222.22222222222223</v>
      </c>
      <c r="E3" s="443">
        <v>30000</v>
      </c>
      <c r="H3" s="410"/>
    </row>
    <row r="4" spans="1:9" outlineLevel="1">
      <c r="C4" s="1404" t="s">
        <v>741</v>
      </c>
      <c r="D4" s="1402">
        <f>E4/135</f>
        <v>444.44444444444446</v>
      </c>
      <c r="E4" s="1403">
        <v>60000</v>
      </c>
      <c r="H4" s="410"/>
      <c r="I4" s="410"/>
    </row>
    <row r="5" spans="1:9" outlineLevel="1">
      <c r="C5" s="440" t="s">
        <v>748</v>
      </c>
      <c r="D5" s="442">
        <f t="shared" ref="D5:D12" si="0">E5/135</f>
        <v>155.55555555555554</v>
      </c>
      <c r="E5" s="430">
        <f>3500*6</f>
        <v>21000</v>
      </c>
      <c r="H5" s="410"/>
    </row>
    <row r="6" spans="1:9" outlineLevel="1">
      <c r="C6" s="407" t="s">
        <v>743</v>
      </c>
      <c r="D6" s="442">
        <f t="shared" si="0"/>
        <v>185.18518518518519</v>
      </c>
      <c r="E6" s="443">
        <v>25000</v>
      </c>
      <c r="H6" s="410"/>
    </row>
    <row r="7" spans="1:9" outlineLevel="1">
      <c r="C7" s="407" t="s">
        <v>745</v>
      </c>
      <c r="D7" s="442">
        <f>E7/135</f>
        <v>370.37037037037038</v>
      </c>
      <c r="E7" s="443">
        <v>50000</v>
      </c>
    </row>
    <row r="8" spans="1:9" outlineLevel="1">
      <c r="C8" s="407" t="s">
        <v>742</v>
      </c>
      <c r="D8" s="442">
        <f t="shared" si="0"/>
        <v>74.074074074074076</v>
      </c>
      <c r="E8" s="443">
        <v>10000</v>
      </c>
      <c r="H8" s="410"/>
    </row>
    <row r="9" spans="1:9" outlineLevel="1">
      <c r="C9" s="440" t="s">
        <v>749</v>
      </c>
      <c r="D9" s="442">
        <f t="shared" si="0"/>
        <v>74.074074074074076</v>
      </c>
      <c r="E9" s="443">
        <v>10000</v>
      </c>
      <c r="H9" s="410"/>
    </row>
    <row r="10" spans="1:9" outlineLevel="1">
      <c r="C10" s="407" t="s">
        <v>744</v>
      </c>
      <c r="D10" s="442">
        <f t="shared" si="0"/>
        <v>518.51851851851848</v>
      </c>
      <c r="E10" s="430">
        <f>50000+20000</f>
        <v>70000</v>
      </c>
    </row>
    <row r="11" spans="1:9" outlineLevel="1">
      <c r="C11" s="407" t="s">
        <v>746</v>
      </c>
      <c r="D11" s="442">
        <f t="shared" si="0"/>
        <v>370.37037037037038</v>
      </c>
      <c r="E11" s="443">
        <v>50000</v>
      </c>
    </row>
    <row r="12" spans="1:9" outlineLevel="1">
      <c r="C12" s="407" t="s">
        <v>740</v>
      </c>
      <c r="D12" s="442">
        <f t="shared" si="0"/>
        <v>370.37037037037038</v>
      </c>
      <c r="E12" s="443">
        <v>50000</v>
      </c>
      <c r="G12" s="422"/>
      <c r="H12" s="410"/>
    </row>
    <row r="13" spans="1:9" outlineLevel="1">
      <c r="C13" s="419" t="s">
        <v>108</v>
      </c>
      <c r="D13" s="444">
        <f>SUM(D3:D12)</f>
        <v>2785.1851851851852</v>
      </c>
      <c r="E13" s="434">
        <f>SUM(E3:E12)</f>
        <v>376000</v>
      </c>
      <c r="H13" s="410"/>
    </row>
    <row r="14" spans="1:9" ht="19.5" customHeight="1" outlineLevel="1">
      <c r="H14" s="410"/>
    </row>
    <row r="15" spans="1:9">
      <c r="H15" s="410"/>
    </row>
    <row r="16" spans="1:9" ht="25.5" customHeight="1">
      <c r="A16" s="407" t="s">
        <v>80</v>
      </c>
      <c r="B16" s="408" t="str">
        <f>'Machines Set Up Costs'!D14</f>
        <v xml:space="preserve">Freight Transit &amp; Clearing </v>
      </c>
      <c r="C16" s="408"/>
      <c r="D16" s="409"/>
      <c r="E16" s="409"/>
      <c r="H16" s="410"/>
    </row>
    <row r="17" spans="1:9" outlineLevel="1">
      <c r="B17" s="411"/>
      <c r="C17" s="411"/>
      <c r="D17" s="411"/>
      <c r="E17" s="411"/>
      <c r="H17" s="410"/>
    </row>
    <row r="18" spans="1:9" outlineLevel="1">
      <c r="C18" s="407" t="s">
        <v>750</v>
      </c>
      <c r="D18" s="429">
        <v>1020</v>
      </c>
      <c r="E18" s="430">
        <f>D18*135</f>
        <v>137700</v>
      </c>
      <c r="H18" s="410"/>
      <c r="I18" s="410"/>
    </row>
    <row r="19" spans="1:9" outlineLevel="1">
      <c r="C19" s="407" t="s">
        <v>751</v>
      </c>
      <c r="D19" s="429"/>
      <c r="E19" s="416"/>
      <c r="H19" s="410"/>
    </row>
    <row r="20" spans="1:9" outlineLevel="1">
      <c r="C20" s="441" t="s">
        <v>752</v>
      </c>
      <c r="D20" s="442">
        <f>E20/135</f>
        <v>74.074074074074076</v>
      </c>
      <c r="E20" s="443">
        <v>10000</v>
      </c>
    </row>
    <row r="21" spans="1:9" outlineLevel="1">
      <c r="C21" s="441" t="s">
        <v>753</v>
      </c>
      <c r="D21" s="442">
        <f t="shared" ref="D21:D23" si="1">E21/135</f>
        <v>14.814814814814815</v>
      </c>
      <c r="E21" s="443">
        <v>2000</v>
      </c>
      <c r="H21" s="410"/>
    </row>
    <row r="22" spans="1:9" outlineLevel="1">
      <c r="C22" s="441" t="s">
        <v>754</v>
      </c>
      <c r="D22" s="442">
        <f t="shared" si="1"/>
        <v>296.2962962962963</v>
      </c>
      <c r="E22" s="443">
        <v>40000</v>
      </c>
    </row>
    <row r="23" spans="1:9" outlineLevel="1">
      <c r="C23" s="441" t="s">
        <v>755</v>
      </c>
      <c r="D23" s="442">
        <f t="shared" si="1"/>
        <v>74.074074074074076</v>
      </c>
      <c r="E23" s="443">
        <v>10000</v>
      </c>
    </row>
    <row r="24" spans="1:9" outlineLevel="1">
      <c r="D24" s="429"/>
      <c r="E24" s="416"/>
      <c r="G24" s="422"/>
      <c r="H24" s="410"/>
    </row>
    <row r="25" spans="1:9" outlineLevel="1">
      <c r="C25" s="419" t="s">
        <v>673</v>
      </c>
      <c r="D25" s="444">
        <f>SUM(D18:D24)</f>
        <v>1479.2592592592594</v>
      </c>
      <c r="E25" s="434">
        <f>SUM(E18:E24)</f>
        <v>199700</v>
      </c>
      <c r="H25" s="410"/>
    </row>
    <row r="26" spans="1:9">
      <c r="F26" s="411"/>
    </row>
    <row r="27" spans="1:9" ht="25.5" customHeight="1">
      <c r="A27" s="407" t="s">
        <v>80</v>
      </c>
      <c r="B27" s="408" t="str">
        <f>'Machines Set Up Costs'!C31</f>
        <v>Quality Testing Equipment</v>
      </c>
      <c r="C27" s="408"/>
      <c r="D27" s="409"/>
      <c r="E27" s="409"/>
      <c r="H27" s="410"/>
    </row>
    <row r="28" spans="1:9" outlineLevel="1">
      <c r="B28" s="411"/>
      <c r="C28" s="411"/>
      <c r="D28" s="411"/>
      <c r="E28" s="411"/>
      <c r="H28" s="410"/>
    </row>
    <row r="29" spans="1:9" outlineLevel="1">
      <c r="C29" s="420" t="s">
        <v>759</v>
      </c>
      <c r="D29" s="429">
        <f>E29/135</f>
        <v>55.555555555555557</v>
      </c>
      <c r="E29" s="438">
        <v>7500</v>
      </c>
      <c r="H29" s="410"/>
      <c r="I29" s="410"/>
    </row>
    <row r="30" spans="1:9" outlineLevel="1">
      <c r="C30" s="420" t="s">
        <v>760</v>
      </c>
      <c r="D30" s="429">
        <f t="shared" ref="D30:D42" si="2">E30/135</f>
        <v>222.22222222222223</v>
      </c>
      <c r="E30" s="438">
        <v>30000</v>
      </c>
      <c r="H30" s="410"/>
      <c r="I30" s="410"/>
    </row>
    <row r="31" spans="1:9" outlineLevel="1">
      <c r="C31" s="420" t="s">
        <v>761</v>
      </c>
      <c r="D31" s="429">
        <f t="shared" si="2"/>
        <v>10.37037037037037</v>
      </c>
      <c r="E31" s="438">
        <v>1400</v>
      </c>
      <c r="H31" s="410"/>
      <c r="I31" s="410"/>
    </row>
    <row r="32" spans="1:9" outlineLevel="1">
      <c r="C32" s="420" t="s">
        <v>762</v>
      </c>
      <c r="D32" s="429">
        <f t="shared" si="2"/>
        <v>62.962962962962962</v>
      </c>
      <c r="E32" s="438">
        <v>8500</v>
      </c>
      <c r="H32" s="410"/>
      <c r="I32" s="410"/>
    </row>
    <row r="33" spans="1:9" outlineLevel="1">
      <c r="C33" s="420" t="s">
        <v>763</v>
      </c>
      <c r="D33" s="429">
        <v>150</v>
      </c>
      <c r="E33" s="438">
        <f t="shared" ref="E33" si="3">D33*135</f>
        <v>20250</v>
      </c>
      <c r="H33" s="410"/>
      <c r="I33" s="410"/>
    </row>
    <row r="34" spans="1:9" outlineLevel="1">
      <c r="C34" s="420" t="s">
        <v>764</v>
      </c>
      <c r="D34" s="429">
        <f t="shared" si="2"/>
        <v>20.277333333333335</v>
      </c>
      <c r="E34" s="438">
        <v>2737.44</v>
      </c>
      <c r="H34" s="410"/>
      <c r="I34" s="410"/>
    </row>
    <row r="35" spans="1:9" outlineLevel="1">
      <c r="C35" s="420" t="s">
        <v>765</v>
      </c>
      <c r="D35" s="429">
        <f t="shared" si="2"/>
        <v>7.4074074074074074</v>
      </c>
      <c r="E35" s="438">
        <v>1000</v>
      </c>
      <c r="H35" s="410"/>
      <c r="I35" s="410"/>
    </row>
    <row r="36" spans="1:9" outlineLevel="1">
      <c r="C36" s="420" t="s">
        <v>766</v>
      </c>
      <c r="D36" s="429">
        <f t="shared" si="2"/>
        <v>259.25925925925924</v>
      </c>
      <c r="E36" s="438">
        <v>35000</v>
      </c>
      <c r="H36" s="410"/>
      <c r="I36" s="410"/>
    </row>
    <row r="37" spans="1:9" outlineLevel="1">
      <c r="C37" s="420" t="s">
        <v>767</v>
      </c>
      <c r="D37" s="429">
        <f t="shared" si="2"/>
        <v>21.481481481481481</v>
      </c>
      <c r="E37" s="438">
        <v>2900</v>
      </c>
      <c r="H37" s="410"/>
      <c r="I37" s="410"/>
    </row>
    <row r="38" spans="1:9" outlineLevel="1">
      <c r="C38" s="420" t="s">
        <v>773</v>
      </c>
      <c r="D38" s="429">
        <f t="shared" si="2"/>
        <v>25.925925925925927</v>
      </c>
      <c r="E38" s="438">
        <v>3500</v>
      </c>
      <c r="H38" s="410"/>
      <c r="I38" s="410"/>
    </row>
    <row r="39" spans="1:9" outlineLevel="1">
      <c r="C39" s="420" t="s">
        <v>769</v>
      </c>
      <c r="D39" s="429">
        <f t="shared" si="2"/>
        <v>10.37037037037037</v>
      </c>
      <c r="E39" s="438">
        <v>1400</v>
      </c>
      <c r="H39" s="410"/>
      <c r="I39" s="410"/>
    </row>
    <row r="40" spans="1:9" outlineLevel="1">
      <c r="C40" s="420" t="s">
        <v>774</v>
      </c>
      <c r="D40" s="429">
        <f t="shared" si="2"/>
        <v>3.7037037037037037</v>
      </c>
      <c r="E40" s="438">
        <v>500</v>
      </c>
      <c r="H40" s="410"/>
      <c r="I40" s="410"/>
    </row>
    <row r="41" spans="1:9" outlineLevel="1">
      <c r="C41" s="420" t="s">
        <v>775</v>
      </c>
      <c r="D41" s="429">
        <f t="shared" si="2"/>
        <v>2.5925925925925926</v>
      </c>
      <c r="E41" s="438">
        <v>350</v>
      </c>
      <c r="H41" s="410"/>
    </row>
    <row r="42" spans="1:9" outlineLevel="1">
      <c r="C42" s="420" t="s">
        <v>776</v>
      </c>
      <c r="D42" s="429">
        <f t="shared" si="2"/>
        <v>14.814814814814815</v>
      </c>
      <c r="E42" s="438">
        <v>2000</v>
      </c>
    </row>
    <row r="43" spans="1:9" outlineLevel="1">
      <c r="C43" s="407" t="s">
        <v>768</v>
      </c>
      <c r="D43" s="429">
        <f>E43/135</f>
        <v>222.22222222222223</v>
      </c>
      <c r="E43" s="438">
        <v>30000</v>
      </c>
      <c r="H43" s="410"/>
      <c r="I43" s="410"/>
    </row>
    <row r="44" spans="1:9" outlineLevel="1">
      <c r="C44" s="407" t="s">
        <v>777</v>
      </c>
      <c r="D44" s="429">
        <f>E44/135</f>
        <v>22.222222222222221</v>
      </c>
      <c r="E44" s="439">
        <v>3000</v>
      </c>
      <c r="G44" s="422"/>
      <c r="H44" s="410"/>
    </row>
    <row r="45" spans="1:9" outlineLevel="1">
      <c r="C45" s="419" t="s">
        <v>673</v>
      </c>
      <c r="D45" s="444">
        <f>SUM(D29:D44)</f>
        <v>1111.3884444444443</v>
      </c>
      <c r="E45" s="444">
        <f>SUM(E29:E44)</f>
        <v>150037.44</v>
      </c>
      <c r="H45" s="410"/>
    </row>
    <row r="46" spans="1:9">
      <c r="F46" s="411"/>
    </row>
    <row r="47" spans="1:9" ht="25.5" customHeight="1">
      <c r="A47" s="407" t="s">
        <v>80</v>
      </c>
      <c r="B47" s="408" t="str">
        <f>'Machines Set Up Costs'!C36</f>
        <v>Raw Materials</v>
      </c>
      <c r="C47" s="408"/>
      <c r="D47" s="409"/>
      <c r="E47" s="409"/>
      <c r="H47" s="410"/>
    </row>
    <row r="48" spans="1:9" outlineLevel="1">
      <c r="B48" s="411"/>
      <c r="C48" s="411"/>
      <c r="D48" s="411"/>
      <c r="E48" s="411"/>
      <c r="H48" s="410"/>
    </row>
    <row r="49" spans="1:10" outlineLevel="1">
      <c r="B49" s="407">
        <v>0.4</v>
      </c>
      <c r="C49" s="452" t="s">
        <v>779</v>
      </c>
      <c r="D49" s="429">
        <f>E49/135</f>
        <v>7957.1759259259261</v>
      </c>
      <c r="E49" s="438">
        <f>(5000000*$E$50)/256</f>
        <v>1074218.75</v>
      </c>
      <c r="F49" s="439"/>
      <c r="H49" s="410"/>
      <c r="I49" s="410"/>
    </row>
    <row r="50" spans="1:10" outlineLevel="1">
      <c r="C50" s="456" t="s">
        <v>798</v>
      </c>
      <c r="D50" s="457">
        <f>E50/135</f>
        <v>0.40740740740740738</v>
      </c>
      <c r="E50" s="458">
        <v>55</v>
      </c>
      <c r="H50" s="410"/>
      <c r="I50" s="410"/>
    </row>
    <row r="51" spans="1:10" outlineLevel="1">
      <c r="C51" s="456" t="s">
        <v>794</v>
      </c>
      <c r="D51" s="457">
        <f t="shared" ref="D51:D54" si="4">E51/135</f>
        <v>0.6518518518518519</v>
      </c>
      <c r="E51" s="458">
        <v>88</v>
      </c>
      <c r="H51" s="410"/>
      <c r="I51" s="410"/>
    </row>
    <row r="52" spans="1:10" outlineLevel="1">
      <c r="C52" s="456" t="s">
        <v>795</v>
      </c>
      <c r="D52" s="457">
        <f t="shared" si="4"/>
        <v>0.57777777777777772</v>
      </c>
      <c r="E52" s="458">
        <v>78</v>
      </c>
      <c r="H52" s="410"/>
      <c r="I52" s="410"/>
    </row>
    <row r="53" spans="1:10" outlineLevel="1">
      <c r="C53" s="456" t="s">
        <v>796</v>
      </c>
      <c r="D53" s="457">
        <f t="shared" si="4"/>
        <v>0.6518518518518519</v>
      </c>
      <c r="E53" s="458">
        <v>88</v>
      </c>
      <c r="H53" s="410"/>
      <c r="I53" s="410"/>
    </row>
    <row r="54" spans="1:10" outlineLevel="1">
      <c r="C54" s="456" t="s">
        <v>797</v>
      </c>
      <c r="D54" s="457">
        <f t="shared" si="4"/>
        <v>0.63703703703703707</v>
      </c>
      <c r="E54" s="458">
        <v>86</v>
      </c>
      <c r="H54" s="410"/>
      <c r="I54" s="429"/>
      <c r="J54" s="438"/>
    </row>
    <row r="55" spans="1:10" outlineLevel="1">
      <c r="C55" s="452"/>
      <c r="D55" s="429"/>
      <c r="E55" s="438"/>
      <c r="H55" s="410"/>
      <c r="I55" s="410"/>
    </row>
    <row r="56" spans="1:10" outlineLevel="1">
      <c r="B56" s="407">
        <v>0.2</v>
      </c>
      <c r="C56" s="452" t="s">
        <v>780</v>
      </c>
      <c r="D56" s="429">
        <f t="shared" ref="D56:D59" si="5">E56/135</f>
        <v>3978.587962962963</v>
      </c>
      <c r="E56" s="438">
        <f>B56*$E$49/$B$49</f>
        <v>537109.375</v>
      </c>
      <c r="F56" s="439"/>
      <c r="H56" s="410"/>
      <c r="I56" s="410"/>
    </row>
    <row r="57" spans="1:10" outlineLevel="1">
      <c r="B57" s="407">
        <v>0.1</v>
      </c>
      <c r="C57" s="452" t="s">
        <v>693</v>
      </c>
      <c r="D57" s="429">
        <f t="shared" si="5"/>
        <v>1989.2939814814815</v>
      </c>
      <c r="E57" s="438">
        <f t="shared" ref="E57:E59" si="6">B57*$E$49/$B$49</f>
        <v>268554.6875</v>
      </c>
      <c r="F57" s="439"/>
      <c r="H57" s="410"/>
      <c r="I57" s="410"/>
    </row>
    <row r="58" spans="1:10" outlineLevel="1">
      <c r="B58" s="407">
        <v>0.2</v>
      </c>
      <c r="C58" s="452" t="s">
        <v>781</v>
      </c>
      <c r="D58" s="429">
        <f t="shared" si="5"/>
        <v>3978.587962962963</v>
      </c>
      <c r="E58" s="438">
        <f t="shared" si="6"/>
        <v>537109.375</v>
      </c>
      <c r="F58" s="439"/>
      <c r="H58" s="410"/>
      <c r="I58" s="410"/>
    </row>
    <row r="59" spans="1:10" outlineLevel="1">
      <c r="B59" s="407">
        <v>0.01</v>
      </c>
      <c r="C59" s="452" t="s">
        <v>348</v>
      </c>
      <c r="D59" s="429">
        <f t="shared" si="5"/>
        <v>198.92939814814815</v>
      </c>
      <c r="E59" s="438">
        <f t="shared" si="6"/>
        <v>26855.46875</v>
      </c>
      <c r="F59" s="439"/>
      <c r="H59" s="410"/>
      <c r="I59" s="410"/>
    </row>
    <row r="60" spans="1:10" outlineLevel="1">
      <c r="C60" s="452"/>
      <c r="D60" s="429"/>
      <c r="E60" s="438"/>
      <c r="H60" s="410"/>
      <c r="I60" s="410"/>
    </row>
    <row r="61" spans="1:10" outlineLevel="1">
      <c r="D61" s="429">
        <f>E61/135</f>
        <v>0</v>
      </c>
      <c r="E61" s="439"/>
      <c r="G61" s="422"/>
      <c r="H61" s="410"/>
    </row>
    <row r="62" spans="1:10" outlineLevel="1">
      <c r="C62" s="419" t="s">
        <v>673</v>
      </c>
      <c r="D62" s="444">
        <f>SUM(D56:D61)+D49</f>
        <v>18102.575231481482</v>
      </c>
      <c r="E62" s="444">
        <f>SUM(E56:E61)+E49</f>
        <v>2443847.65625</v>
      </c>
      <c r="H62" s="410"/>
    </row>
    <row r="63" spans="1:10">
      <c r="F63" s="411"/>
    </row>
    <row r="64" spans="1:10" ht="25.5" customHeight="1">
      <c r="A64" s="407" t="s">
        <v>80</v>
      </c>
      <c r="B64" s="408" t="s">
        <v>799</v>
      </c>
      <c r="C64" s="408"/>
      <c r="D64" s="409"/>
      <c r="E64" s="409"/>
      <c r="H64" s="410"/>
    </row>
    <row r="65" spans="2:9" outlineLevel="1">
      <c r="B65" s="453" t="s">
        <v>792</v>
      </c>
      <c r="C65" s="411" t="s">
        <v>793</v>
      </c>
      <c r="D65" s="411"/>
      <c r="E65" s="411"/>
      <c r="H65" s="410"/>
    </row>
    <row r="66" spans="2:9" outlineLevel="1">
      <c r="B66" s="407">
        <v>1</v>
      </c>
      <c r="C66" s="452" t="s">
        <v>782</v>
      </c>
      <c r="D66" s="429">
        <f t="shared" ref="D66:D74" si="7">E66/135</f>
        <v>1111.1111111111111</v>
      </c>
      <c r="E66" s="438">
        <f>150000*B66</f>
        <v>150000</v>
      </c>
      <c r="H66" s="410"/>
      <c r="I66" s="410"/>
    </row>
    <row r="67" spans="2:9" outlineLevel="1">
      <c r="B67" s="407">
        <v>1</v>
      </c>
      <c r="C67" s="452" t="s">
        <v>783</v>
      </c>
      <c r="D67" s="429">
        <f t="shared" si="7"/>
        <v>740.74074074074076</v>
      </c>
      <c r="E67" s="438">
        <f>100000*B67</f>
        <v>100000</v>
      </c>
      <c r="H67" s="410"/>
      <c r="I67" s="410"/>
    </row>
    <row r="68" spans="2:9" outlineLevel="1">
      <c r="B68" s="407">
        <v>1</v>
      </c>
      <c r="C68" s="452" t="s">
        <v>788</v>
      </c>
      <c r="D68" s="429">
        <f t="shared" si="7"/>
        <v>222.22222222222223</v>
      </c>
      <c r="E68" s="438">
        <f>30000*B68</f>
        <v>30000</v>
      </c>
      <c r="H68" s="410"/>
      <c r="I68" s="410"/>
    </row>
    <row r="69" spans="2:9" outlineLevel="1">
      <c r="B69" s="407">
        <v>2</v>
      </c>
      <c r="C69" s="452" t="s">
        <v>784</v>
      </c>
      <c r="D69" s="429">
        <f t="shared" si="7"/>
        <v>1481.4814814814815</v>
      </c>
      <c r="E69" s="438">
        <f>100000*B69</f>
        <v>200000</v>
      </c>
      <c r="H69" s="410"/>
      <c r="I69" s="410"/>
    </row>
    <row r="70" spans="2:9" outlineLevel="1">
      <c r="B70" s="407">
        <v>2</v>
      </c>
      <c r="C70" s="452" t="s">
        <v>785</v>
      </c>
      <c r="D70" s="429">
        <f t="shared" si="7"/>
        <v>444.44444444444446</v>
      </c>
      <c r="E70" s="438">
        <f>30000*B70</f>
        <v>60000</v>
      </c>
      <c r="H70" s="410"/>
      <c r="I70" s="410"/>
    </row>
    <row r="71" spans="2:9" outlineLevel="1">
      <c r="B71" s="407">
        <v>2</v>
      </c>
      <c r="C71" s="452" t="s">
        <v>790</v>
      </c>
      <c r="D71" s="429">
        <f t="shared" si="7"/>
        <v>592.59259259259261</v>
      </c>
      <c r="E71" s="438">
        <f>40000*B71</f>
        <v>80000</v>
      </c>
      <c r="H71" s="410"/>
      <c r="I71" s="410"/>
    </row>
    <row r="72" spans="2:9" outlineLevel="1">
      <c r="B72" s="407">
        <v>1</v>
      </c>
      <c r="C72" s="452" t="s">
        <v>786</v>
      </c>
      <c r="D72" s="429">
        <f t="shared" si="7"/>
        <v>740.74074074074076</v>
      </c>
      <c r="E72" s="438">
        <f>100000*B72</f>
        <v>100000</v>
      </c>
      <c r="H72" s="410"/>
      <c r="I72" s="410"/>
    </row>
    <row r="73" spans="2:9" outlineLevel="1">
      <c r="B73" s="407">
        <v>2</v>
      </c>
      <c r="C73" s="452" t="s">
        <v>787</v>
      </c>
      <c r="D73" s="429">
        <f t="shared" si="7"/>
        <v>296.2962962962963</v>
      </c>
      <c r="E73" s="438">
        <f>20000*$B73</f>
        <v>40000</v>
      </c>
      <c r="H73" s="410"/>
    </row>
    <row r="74" spans="2:9" outlineLevel="1">
      <c r="B74" s="407">
        <v>1</v>
      </c>
      <c r="C74" s="452" t="s">
        <v>789</v>
      </c>
      <c r="D74" s="429">
        <f t="shared" si="7"/>
        <v>370.37037037037038</v>
      </c>
      <c r="E74" s="438">
        <v>50000</v>
      </c>
    </row>
    <row r="75" spans="2:9" outlineLevel="1">
      <c r="D75" s="429">
        <f>E75/135</f>
        <v>0</v>
      </c>
      <c r="E75" s="439"/>
      <c r="G75" s="422"/>
      <c r="H75" s="410"/>
    </row>
    <row r="76" spans="2:9" outlineLevel="1">
      <c r="C76" s="419" t="s">
        <v>673</v>
      </c>
      <c r="D76" s="444">
        <f>SUM(D66:D75)</f>
        <v>6000.0000000000009</v>
      </c>
      <c r="E76" s="444">
        <f>SUM(E66:E75)</f>
        <v>810000</v>
      </c>
      <c r="F76" s="439"/>
      <c r="H76" s="410"/>
    </row>
    <row r="77" spans="2:9" outlineLevel="1">
      <c r="C77" s="411"/>
      <c r="D77" s="459"/>
      <c r="E77" s="459"/>
      <c r="H77" s="410"/>
    </row>
    <row r="78" spans="2:9" outlineLevel="1">
      <c r="C78" s="407" t="s">
        <v>401</v>
      </c>
      <c r="D78" s="429">
        <f t="shared" ref="D78" si="8">E78/135</f>
        <v>3703.7037037037039</v>
      </c>
      <c r="E78" s="438">
        <f>250000*2</f>
        <v>500000</v>
      </c>
      <c r="F78" s="439"/>
      <c r="H78" s="410"/>
    </row>
    <row r="79" spans="2:9">
      <c r="F79" s="411"/>
    </row>
    <row r="80" spans="2:9">
      <c r="F80" s="410"/>
    </row>
  </sheetData>
  <hyperlinks>
    <hyperlink ref="C9" r:id="rId1" tooltip="Health &amp; Safety Equipment (Occupational First Aid Kit)" xr:uid="{FDB277D5-44D3-484F-ADE1-6CF2E00E8071}"/>
    <hyperlink ref="C4" r:id="rId2" tooltip="Manufacturing Business Permit" xr:uid="{97184048-C446-493B-AFCC-D852DF713253}"/>
    <hyperlink ref="C5" r:id="rId3" tooltip="Fire Safety Equipment" xr:uid="{177B2F93-623F-4A60-BEBB-C4C564F2DBC7}"/>
    <hyperlink ref="C29" r:id="rId4" tooltip="Weighing Scales" xr:uid="{07C28ACF-5B9C-4BF9-9901-C426E9F267D9}"/>
    <hyperlink ref="C30" r:id="rId5" tooltip=" Color Matching Cabinets" xr:uid="{16C0AA8F-1C06-4A41-A4BF-9046ED59AE88}"/>
    <hyperlink ref="C31" r:id="rId6" tooltip=" Vernier Callipers" xr:uid="{B1FEA1CA-655E-4FB9-910D-ED8EF776C930}"/>
    <hyperlink ref="C32" r:id="rId7" tooltip=" Micrometer Screw Gauges" xr:uid="{A089FA35-7EF2-4E53-89F4-4B60BC02CC8F}"/>
    <hyperlink ref="C33" r:id="rId8" tooltip=" Ink Draw down Rods Kit" xr:uid="{F9D1F002-7F6D-4BC4-B696-BADF96FD0D2D}"/>
    <hyperlink ref="C34" r:id="rId9" tooltip=" GSM Tester Plates" xr:uid="{7903CEC5-2767-4506-86B4-25A97CB9DA92}"/>
    <hyperlink ref="C35" r:id="rId10" tooltip=" Tape Test Blades &amp; Tapes" xr:uid="{18DDDBCD-3B92-4FEF-84FF-8E0CFFA2E4D7}"/>
    <hyperlink ref="C36" r:id="rId11" tooltip=" Heating Laboratory Oven" xr:uid="{EF200197-7ED3-4936-A41F-40A5B6092403}"/>
    <hyperlink ref="C37" r:id="rId12" tooltip=" Magnifying Lense with Stand" xr:uid="{57DD0402-180D-4C01-956D-F091C44D5AFA}"/>
    <hyperlink ref="C38" r:id="rId13" tooltip=" Zahn Cup viscocity Tester" xr:uid="{C2CB37E4-07C2-413D-9AFF-680CF4B47A36}"/>
    <hyperlink ref="C39" r:id="rId14" tooltip=" Ambient Temp Gauge" xr:uid="{77B3F413-39A3-4D7E-B8CB-3BEDBBFF9642}"/>
    <hyperlink ref="C40" r:id="rId15" tooltip=" Steel Ruler" xr:uid="{0BBA209B-7E2C-42F5-88A6-510A41F5FC8A}"/>
    <hyperlink ref="C41" r:id="rId16" tooltip=" Flexible rulers" xr:uid="{0AFBFE1B-B4BB-4242-B0D6-2DC2ADA49DBA}"/>
    <hyperlink ref="C42" r:id="rId17" tooltip=" Oven Probe Thermomenter Metrology" xr:uid="{B00C6B55-47FD-4195-B94F-395E678DE82D}"/>
  </hyperlinks>
  <printOptions horizontalCentered="1" verticalCentered="1"/>
  <pageMargins left="0.25" right="0.25" top="0.75" bottom="0.75" header="0.3" footer="0.3"/>
  <pageSetup fitToHeight="0" orientation="landscape" r:id="rId18"/>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608C3-C8F2-4675-8C45-C215BFA2CD10}">
  <sheetPr>
    <pageSetUpPr fitToPage="1"/>
  </sheetPr>
  <dimension ref="A1:BO41"/>
  <sheetViews>
    <sheetView showGridLines="0" zoomScale="112" zoomScaleNormal="112" workbookViewId="0">
      <pane ySplit="7" topLeftCell="A8" activePane="bottomLeft" state="frozen"/>
      <selection activeCell="J25" sqref="J25"/>
      <selection pane="bottomLeft" activeCell="B2" sqref="B2"/>
    </sheetView>
  </sheetViews>
  <sheetFormatPr defaultColWidth="9.109375" defaultRowHeight="10.8"/>
  <cols>
    <col min="1" max="2" width="4.88671875" style="281" customWidth="1"/>
    <col min="3" max="3" width="40.44140625" style="281" customWidth="1"/>
    <col min="4" max="4" width="7" style="281" customWidth="1"/>
    <col min="5" max="5" width="6.88671875" style="281" hidden="1" customWidth="1"/>
    <col min="6" max="7" width="12" style="281" customWidth="1"/>
    <col min="8" max="8" width="6" style="281" customWidth="1"/>
    <col min="9" max="9" width="6.6640625" style="281" customWidth="1"/>
    <col min="10" max="10" width="6.44140625" style="281" customWidth="1"/>
    <col min="11" max="11" width="1.88671875" style="281" customWidth="1"/>
    <col min="12" max="67" width="2.44140625" style="281" customWidth="1"/>
    <col min="68" max="16384" width="9.109375" style="281"/>
  </cols>
  <sheetData>
    <row r="1" spans="1:67" ht="30" customHeight="1" thickBot="1">
      <c r="B1" s="1431" t="s">
        <v>736</v>
      </c>
      <c r="C1" s="1431"/>
      <c r="D1" s="1431"/>
      <c r="E1" s="1431"/>
      <c r="F1" s="1431"/>
      <c r="G1" s="1431"/>
      <c r="H1" s="1431"/>
      <c r="I1" s="1431"/>
      <c r="J1" s="1431"/>
      <c r="K1" s="1431"/>
      <c r="L1" s="1431"/>
      <c r="M1" s="1431"/>
      <c r="N1" s="1431"/>
      <c r="O1" s="1431"/>
      <c r="P1" s="1431"/>
      <c r="Q1" s="1431"/>
      <c r="R1" s="1431"/>
      <c r="S1" s="1431"/>
      <c r="T1" s="1431"/>
      <c r="U1" s="1431"/>
      <c r="V1" s="1431"/>
      <c r="W1" s="1431"/>
      <c r="X1" s="1431"/>
      <c r="Y1" s="1431"/>
      <c r="Z1" s="1431"/>
      <c r="AA1" s="1431"/>
      <c r="AB1" s="1431"/>
      <c r="AC1" s="1431"/>
      <c r="AD1" s="1431"/>
      <c r="AE1" s="1431"/>
      <c r="AF1" s="1431"/>
    </row>
    <row r="2" spans="1:67" ht="18" customHeight="1" thickTop="1">
      <c r="B2" s="282"/>
      <c r="C2" s="283"/>
      <c r="D2" s="283">
        <f>WEEKDAY(L6,1)</f>
        <v>2</v>
      </c>
      <c r="E2" s="284"/>
      <c r="F2" s="285"/>
      <c r="G2" s="285"/>
      <c r="H2" s="286"/>
      <c r="I2" s="287"/>
      <c r="J2" s="286"/>
      <c r="K2" s="286"/>
      <c r="L2" s="286"/>
      <c r="M2" s="286"/>
      <c r="N2" s="286"/>
      <c r="O2" s="286"/>
      <c r="P2" s="286"/>
      <c r="Q2" s="286"/>
      <c r="R2" s="286"/>
      <c r="S2" s="286"/>
      <c r="T2" s="286"/>
      <c r="U2" s="286"/>
      <c r="V2" s="286"/>
      <c r="W2" s="286"/>
      <c r="X2" s="286"/>
      <c r="Y2" s="286"/>
      <c r="Z2" s="286"/>
      <c r="AA2" s="286"/>
      <c r="AB2" s="286"/>
      <c r="AC2" s="286"/>
      <c r="AD2" s="286"/>
      <c r="AE2" s="286"/>
      <c r="AF2" s="286"/>
      <c r="AG2" s="286"/>
      <c r="AH2" s="286"/>
      <c r="AI2" s="286"/>
      <c r="AJ2" s="286"/>
      <c r="AK2" s="286"/>
      <c r="AL2" s="286"/>
      <c r="AM2" s="286"/>
      <c r="AN2" s="286"/>
      <c r="AO2" s="286"/>
      <c r="AP2" s="286"/>
      <c r="AQ2" s="286"/>
      <c r="AR2" s="286"/>
      <c r="AS2" s="286"/>
      <c r="AT2" s="286"/>
      <c r="AU2" s="286"/>
      <c r="AV2" s="286"/>
      <c r="AW2" s="286"/>
      <c r="AX2" s="286"/>
      <c r="AY2" s="286"/>
      <c r="AZ2" s="286"/>
      <c r="BA2" s="286"/>
      <c r="BB2" s="286"/>
      <c r="BC2" s="286"/>
      <c r="BD2" s="286"/>
      <c r="BE2" s="286"/>
      <c r="BF2" s="286"/>
      <c r="BG2" s="286"/>
      <c r="BH2" s="286"/>
      <c r="BI2" s="286"/>
      <c r="BJ2" s="286"/>
      <c r="BK2" s="286"/>
      <c r="BL2" s="286"/>
      <c r="BM2" s="286"/>
      <c r="BN2" s="286"/>
      <c r="BO2" s="288"/>
    </row>
    <row r="3" spans="1:67">
      <c r="B3" s="289"/>
      <c r="C3" s="290"/>
      <c r="I3" s="291"/>
      <c r="L3" s="292"/>
      <c r="M3" s="292"/>
      <c r="N3" s="292"/>
      <c r="O3" s="292"/>
      <c r="P3" s="292"/>
      <c r="Q3" s="292"/>
      <c r="R3" s="292"/>
      <c r="S3" s="292"/>
      <c r="T3" s="292"/>
      <c r="U3" s="292"/>
      <c r="V3" s="292"/>
      <c r="W3" s="292"/>
      <c r="X3" s="292"/>
      <c r="Y3" s="292"/>
      <c r="Z3" s="292"/>
      <c r="AA3" s="292"/>
      <c r="AB3" s="292"/>
      <c r="BO3" s="293"/>
    </row>
    <row r="4" spans="1:67" ht="17.25" customHeight="1">
      <c r="B4" s="294"/>
      <c r="C4" s="295" t="s">
        <v>621</v>
      </c>
      <c r="D4" s="1432">
        <v>45323</v>
      </c>
      <c r="E4" s="1432"/>
      <c r="F4" s="1432"/>
      <c r="G4" s="290"/>
      <c r="H4" s="295" t="s">
        <v>622</v>
      </c>
      <c r="I4" s="375">
        <v>52</v>
      </c>
      <c r="J4" s="290"/>
      <c r="K4" s="290"/>
      <c r="L4" s="1426" t="str">
        <f>"Week "&amp;(L6-($D$4-WEEKDAY($D$4,1)+2))/7+1</f>
        <v>Week 52</v>
      </c>
      <c r="M4" s="1427"/>
      <c r="N4" s="1427"/>
      <c r="O4" s="1427"/>
      <c r="P4" s="1427"/>
      <c r="Q4" s="1427"/>
      <c r="R4" s="1428"/>
      <c r="S4" s="1426" t="str">
        <f>"Week "&amp;(S6-($D$4-WEEKDAY($D$4,1)+2))/7+1</f>
        <v>Week 53</v>
      </c>
      <c r="T4" s="1427"/>
      <c r="U4" s="1427"/>
      <c r="V4" s="1427"/>
      <c r="W4" s="1427"/>
      <c r="X4" s="1427"/>
      <c r="Y4" s="1428"/>
      <c r="Z4" s="1426" t="str">
        <f>"Week "&amp;(Z6-($D$4-WEEKDAY($D$4,1)+2))/7+1</f>
        <v>Week 54</v>
      </c>
      <c r="AA4" s="1427"/>
      <c r="AB4" s="1427"/>
      <c r="AC4" s="1427"/>
      <c r="AD4" s="1427"/>
      <c r="AE4" s="1427"/>
      <c r="AF4" s="1428"/>
      <c r="AG4" s="1426" t="str">
        <f>"Week "&amp;(AG6-($D$4-WEEKDAY($D$4,1)+2))/7+1</f>
        <v>Week 55</v>
      </c>
      <c r="AH4" s="1427"/>
      <c r="AI4" s="1427"/>
      <c r="AJ4" s="1427"/>
      <c r="AK4" s="1427"/>
      <c r="AL4" s="1427"/>
      <c r="AM4" s="1428"/>
      <c r="AN4" s="1426" t="str">
        <f>"Week "&amp;(AN6-($D$4-WEEKDAY($D$4,1)+2))/7+1</f>
        <v>Week 56</v>
      </c>
      <c r="AO4" s="1427"/>
      <c r="AP4" s="1427"/>
      <c r="AQ4" s="1427"/>
      <c r="AR4" s="1427"/>
      <c r="AS4" s="1427"/>
      <c r="AT4" s="1428"/>
      <c r="AU4" s="1426" t="str">
        <f>"Week "&amp;(AU6-($D$4-WEEKDAY($D$4,1)+2))/7+1</f>
        <v>Week 57</v>
      </c>
      <c r="AV4" s="1427"/>
      <c r="AW4" s="1427"/>
      <c r="AX4" s="1427"/>
      <c r="AY4" s="1427"/>
      <c r="AZ4" s="1427"/>
      <c r="BA4" s="1428"/>
      <c r="BB4" s="1426" t="str">
        <f>"Week "&amp;(BB6-($D$4-WEEKDAY($D$4,1)+2))/7+1</f>
        <v>Week 58</v>
      </c>
      <c r="BC4" s="1427"/>
      <c r="BD4" s="1427"/>
      <c r="BE4" s="1427"/>
      <c r="BF4" s="1427"/>
      <c r="BG4" s="1427"/>
      <c r="BH4" s="1428"/>
      <c r="BI4" s="1426" t="str">
        <f>"Week "&amp;(BI6-($D$4-WEEKDAY($D$4,1)+2))/7+1</f>
        <v>Week 59</v>
      </c>
      <c r="BJ4" s="1427"/>
      <c r="BK4" s="1427"/>
      <c r="BL4" s="1427"/>
      <c r="BM4" s="1427"/>
      <c r="BN4" s="1427"/>
      <c r="BO4" s="1429"/>
    </row>
    <row r="5" spans="1:67" ht="17.25" customHeight="1">
      <c r="B5" s="294"/>
      <c r="C5" s="295" t="s">
        <v>623</v>
      </c>
      <c r="D5" s="1430" t="s">
        <v>624</v>
      </c>
      <c r="E5" s="1430"/>
      <c r="F5" s="1430"/>
      <c r="G5" s="290"/>
      <c r="H5" s="290"/>
      <c r="I5" s="290"/>
      <c r="J5" s="290"/>
      <c r="K5" s="290"/>
      <c r="L5" s="1420">
        <f>L6</f>
        <v>45677</v>
      </c>
      <c r="M5" s="1421"/>
      <c r="N5" s="1421"/>
      <c r="O5" s="1421"/>
      <c r="P5" s="1421"/>
      <c r="Q5" s="1421"/>
      <c r="R5" s="1422"/>
      <c r="S5" s="1420">
        <f>S6</f>
        <v>45684</v>
      </c>
      <c r="T5" s="1421"/>
      <c r="U5" s="1421"/>
      <c r="V5" s="1421"/>
      <c r="W5" s="1421"/>
      <c r="X5" s="1421"/>
      <c r="Y5" s="1422"/>
      <c r="Z5" s="1420">
        <f>Z6</f>
        <v>45691</v>
      </c>
      <c r="AA5" s="1421"/>
      <c r="AB5" s="1421"/>
      <c r="AC5" s="1421"/>
      <c r="AD5" s="1421"/>
      <c r="AE5" s="1421"/>
      <c r="AF5" s="1422"/>
      <c r="AG5" s="1420">
        <f>AG6</f>
        <v>45698</v>
      </c>
      <c r="AH5" s="1421"/>
      <c r="AI5" s="1421"/>
      <c r="AJ5" s="1421"/>
      <c r="AK5" s="1421"/>
      <c r="AL5" s="1421"/>
      <c r="AM5" s="1422"/>
      <c r="AN5" s="1420">
        <f>AN6</f>
        <v>45705</v>
      </c>
      <c r="AO5" s="1421"/>
      <c r="AP5" s="1421"/>
      <c r="AQ5" s="1421"/>
      <c r="AR5" s="1421"/>
      <c r="AS5" s="1421"/>
      <c r="AT5" s="1422"/>
      <c r="AU5" s="1420">
        <f>AU6</f>
        <v>45712</v>
      </c>
      <c r="AV5" s="1421"/>
      <c r="AW5" s="1421"/>
      <c r="AX5" s="1421"/>
      <c r="AY5" s="1421"/>
      <c r="AZ5" s="1421"/>
      <c r="BA5" s="1422"/>
      <c r="BB5" s="1420">
        <f>BB6</f>
        <v>45719</v>
      </c>
      <c r="BC5" s="1421"/>
      <c r="BD5" s="1421"/>
      <c r="BE5" s="1421"/>
      <c r="BF5" s="1421"/>
      <c r="BG5" s="1421"/>
      <c r="BH5" s="1422"/>
      <c r="BI5" s="1420">
        <f>BI6</f>
        <v>45726</v>
      </c>
      <c r="BJ5" s="1421"/>
      <c r="BK5" s="1421"/>
      <c r="BL5" s="1421"/>
      <c r="BM5" s="1421"/>
      <c r="BN5" s="1421"/>
      <c r="BO5" s="1423"/>
    </row>
    <row r="6" spans="1:67">
      <c r="B6" s="294"/>
      <c r="C6" s="290"/>
      <c r="D6" s="290"/>
      <c r="E6" s="290"/>
      <c r="F6" s="290"/>
      <c r="G6" s="290"/>
      <c r="H6" s="290"/>
      <c r="I6" s="290"/>
      <c r="J6" s="290"/>
      <c r="K6" s="290"/>
      <c r="L6" s="296">
        <f>D4-WEEKDAY(D4,1)+2+7*(I4-1)</f>
        <v>45677</v>
      </c>
      <c r="M6" s="297">
        <f t="shared" ref="M6:BO6" si="0">L6+1</f>
        <v>45678</v>
      </c>
      <c r="N6" s="297">
        <f t="shared" si="0"/>
        <v>45679</v>
      </c>
      <c r="O6" s="297">
        <f t="shared" si="0"/>
        <v>45680</v>
      </c>
      <c r="P6" s="297">
        <f t="shared" si="0"/>
        <v>45681</v>
      </c>
      <c r="Q6" s="297">
        <f t="shared" si="0"/>
        <v>45682</v>
      </c>
      <c r="R6" s="298">
        <f t="shared" si="0"/>
        <v>45683</v>
      </c>
      <c r="S6" s="296">
        <f t="shared" si="0"/>
        <v>45684</v>
      </c>
      <c r="T6" s="297">
        <f t="shared" si="0"/>
        <v>45685</v>
      </c>
      <c r="U6" s="297">
        <f t="shared" si="0"/>
        <v>45686</v>
      </c>
      <c r="V6" s="297">
        <f t="shared" si="0"/>
        <v>45687</v>
      </c>
      <c r="W6" s="297">
        <f t="shared" si="0"/>
        <v>45688</v>
      </c>
      <c r="X6" s="297">
        <f t="shared" si="0"/>
        <v>45689</v>
      </c>
      <c r="Y6" s="298">
        <f t="shared" si="0"/>
        <v>45690</v>
      </c>
      <c r="Z6" s="296">
        <f t="shared" si="0"/>
        <v>45691</v>
      </c>
      <c r="AA6" s="297">
        <f t="shared" si="0"/>
        <v>45692</v>
      </c>
      <c r="AB6" s="297">
        <f t="shared" si="0"/>
        <v>45693</v>
      </c>
      <c r="AC6" s="297">
        <f t="shared" si="0"/>
        <v>45694</v>
      </c>
      <c r="AD6" s="297">
        <f t="shared" si="0"/>
        <v>45695</v>
      </c>
      <c r="AE6" s="297">
        <f t="shared" si="0"/>
        <v>45696</v>
      </c>
      <c r="AF6" s="298">
        <f t="shared" si="0"/>
        <v>45697</v>
      </c>
      <c r="AG6" s="296">
        <f t="shared" si="0"/>
        <v>45698</v>
      </c>
      <c r="AH6" s="297">
        <f t="shared" si="0"/>
        <v>45699</v>
      </c>
      <c r="AI6" s="297">
        <f t="shared" si="0"/>
        <v>45700</v>
      </c>
      <c r="AJ6" s="297">
        <f t="shared" si="0"/>
        <v>45701</v>
      </c>
      <c r="AK6" s="297">
        <f t="shared" si="0"/>
        <v>45702</v>
      </c>
      <c r="AL6" s="297">
        <f t="shared" si="0"/>
        <v>45703</v>
      </c>
      <c r="AM6" s="298">
        <f t="shared" si="0"/>
        <v>45704</v>
      </c>
      <c r="AN6" s="296">
        <f t="shared" si="0"/>
        <v>45705</v>
      </c>
      <c r="AO6" s="297">
        <f t="shared" si="0"/>
        <v>45706</v>
      </c>
      <c r="AP6" s="297">
        <f t="shared" si="0"/>
        <v>45707</v>
      </c>
      <c r="AQ6" s="297">
        <f t="shared" si="0"/>
        <v>45708</v>
      </c>
      <c r="AR6" s="297">
        <f t="shared" si="0"/>
        <v>45709</v>
      </c>
      <c r="AS6" s="297">
        <f t="shared" si="0"/>
        <v>45710</v>
      </c>
      <c r="AT6" s="298">
        <f t="shared" si="0"/>
        <v>45711</v>
      </c>
      <c r="AU6" s="296">
        <f t="shared" si="0"/>
        <v>45712</v>
      </c>
      <c r="AV6" s="297">
        <f t="shared" si="0"/>
        <v>45713</v>
      </c>
      <c r="AW6" s="297">
        <f t="shared" si="0"/>
        <v>45714</v>
      </c>
      <c r="AX6" s="297">
        <f t="shared" si="0"/>
        <v>45715</v>
      </c>
      <c r="AY6" s="297">
        <f t="shared" si="0"/>
        <v>45716</v>
      </c>
      <c r="AZ6" s="297">
        <f t="shared" si="0"/>
        <v>45717</v>
      </c>
      <c r="BA6" s="298">
        <f t="shared" si="0"/>
        <v>45718</v>
      </c>
      <c r="BB6" s="296">
        <f t="shared" si="0"/>
        <v>45719</v>
      </c>
      <c r="BC6" s="297">
        <f t="shared" si="0"/>
        <v>45720</v>
      </c>
      <c r="BD6" s="297">
        <f t="shared" si="0"/>
        <v>45721</v>
      </c>
      <c r="BE6" s="297">
        <f t="shared" si="0"/>
        <v>45722</v>
      </c>
      <c r="BF6" s="297">
        <f t="shared" si="0"/>
        <v>45723</v>
      </c>
      <c r="BG6" s="297">
        <f t="shared" si="0"/>
        <v>45724</v>
      </c>
      <c r="BH6" s="298">
        <f t="shared" si="0"/>
        <v>45725</v>
      </c>
      <c r="BI6" s="296">
        <f t="shared" si="0"/>
        <v>45726</v>
      </c>
      <c r="BJ6" s="297">
        <f t="shared" si="0"/>
        <v>45727</v>
      </c>
      <c r="BK6" s="297">
        <f t="shared" si="0"/>
        <v>45728</v>
      </c>
      <c r="BL6" s="297">
        <f t="shared" si="0"/>
        <v>45729</v>
      </c>
      <c r="BM6" s="297">
        <f t="shared" si="0"/>
        <v>45730</v>
      </c>
      <c r="BN6" s="297">
        <f t="shared" si="0"/>
        <v>45731</v>
      </c>
      <c r="BO6" s="299">
        <f t="shared" si="0"/>
        <v>45732</v>
      </c>
    </row>
    <row r="7" spans="1:67" s="290" customFormat="1" ht="22.2" thickBot="1">
      <c r="A7" s="281"/>
      <c r="B7" s="300" t="s">
        <v>625</v>
      </c>
      <c r="C7" s="301" t="s">
        <v>626</v>
      </c>
      <c r="D7" s="302" t="s">
        <v>627</v>
      </c>
      <c r="E7" s="302" t="s">
        <v>628</v>
      </c>
      <c r="F7" s="303" t="s">
        <v>629</v>
      </c>
      <c r="G7" s="303" t="s">
        <v>630</v>
      </c>
      <c r="H7" s="302" t="s">
        <v>631</v>
      </c>
      <c r="I7" s="302" t="s">
        <v>632</v>
      </c>
      <c r="J7" s="302" t="s">
        <v>633</v>
      </c>
      <c r="K7" s="302"/>
      <c r="L7" s="304" t="str">
        <f>CHOOSE(WEEKDAY(L6,1),"S","M","T","W","T","F","S")</f>
        <v>M</v>
      </c>
      <c r="M7" s="305" t="str">
        <f t="shared" ref="M7:BO7" si="1">CHOOSE(WEEKDAY(M6,1),"S","M","T","W","T","F","S")</f>
        <v>T</v>
      </c>
      <c r="N7" s="305" t="str">
        <f t="shared" si="1"/>
        <v>W</v>
      </c>
      <c r="O7" s="305" t="str">
        <f t="shared" si="1"/>
        <v>T</v>
      </c>
      <c r="P7" s="305" t="str">
        <f t="shared" si="1"/>
        <v>F</v>
      </c>
      <c r="Q7" s="305" t="str">
        <f t="shared" si="1"/>
        <v>S</v>
      </c>
      <c r="R7" s="306" t="str">
        <f t="shared" si="1"/>
        <v>S</v>
      </c>
      <c r="S7" s="304" t="str">
        <f t="shared" si="1"/>
        <v>M</v>
      </c>
      <c r="T7" s="305" t="str">
        <f t="shared" si="1"/>
        <v>T</v>
      </c>
      <c r="U7" s="305" t="str">
        <f t="shared" si="1"/>
        <v>W</v>
      </c>
      <c r="V7" s="305" t="str">
        <f t="shared" si="1"/>
        <v>T</v>
      </c>
      <c r="W7" s="305" t="str">
        <f t="shared" si="1"/>
        <v>F</v>
      </c>
      <c r="X7" s="305" t="str">
        <f t="shared" si="1"/>
        <v>S</v>
      </c>
      <c r="Y7" s="306" t="str">
        <f t="shared" si="1"/>
        <v>S</v>
      </c>
      <c r="Z7" s="304" t="str">
        <f t="shared" si="1"/>
        <v>M</v>
      </c>
      <c r="AA7" s="305" t="str">
        <f t="shared" si="1"/>
        <v>T</v>
      </c>
      <c r="AB7" s="305" t="str">
        <f t="shared" si="1"/>
        <v>W</v>
      </c>
      <c r="AC7" s="305" t="str">
        <f t="shared" si="1"/>
        <v>T</v>
      </c>
      <c r="AD7" s="305" t="str">
        <f t="shared" si="1"/>
        <v>F</v>
      </c>
      <c r="AE7" s="305" t="str">
        <f t="shared" si="1"/>
        <v>S</v>
      </c>
      <c r="AF7" s="306" t="str">
        <f t="shared" si="1"/>
        <v>S</v>
      </c>
      <c r="AG7" s="304" t="str">
        <f t="shared" si="1"/>
        <v>M</v>
      </c>
      <c r="AH7" s="305" t="str">
        <f t="shared" si="1"/>
        <v>T</v>
      </c>
      <c r="AI7" s="305" t="str">
        <f t="shared" si="1"/>
        <v>W</v>
      </c>
      <c r="AJ7" s="305" t="str">
        <f t="shared" si="1"/>
        <v>T</v>
      </c>
      <c r="AK7" s="305" t="str">
        <f t="shared" si="1"/>
        <v>F</v>
      </c>
      <c r="AL7" s="305" t="str">
        <f t="shared" si="1"/>
        <v>S</v>
      </c>
      <c r="AM7" s="306" t="str">
        <f t="shared" si="1"/>
        <v>S</v>
      </c>
      <c r="AN7" s="304" t="str">
        <f t="shared" si="1"/>
        <v>M</v>
      </c>
      <c r="AO7" s="305" t="str">
        <f t="shared" si="1"/>
        <v>T</v>
      </c>
      <c r="AP7" s="305" t="str">
        <f t="shared" si="1"/>
        <v>W</v>
      </c>
      <c r="AQ7" s="305" t="str">
        <f t="shared" si="1"/>
        <v>T</v>
      </c>
      <c r="AR7" s="305" t="str">
        <f t="shared" si="1"/>
        <v>F</v>
      </c>
      <c r="AS7" s="305" t="str">
        <f t="shared" si="1"/>
        <v>S</v>
      </c>
      <c r="AT7" s="306" t="str">
        <f t="shared" si="1"/>
        <v>S</v>
      </c>
      <c r="AU7" s="304" t="str">
        <f t="shared" si="1"/>
        <v>M</v>
      </c>
      <c r="AV7" s="305" t="str">
        <f t="shared" si="1"/>
        <v>T</v>
      </c>
      <c r="AW7" s="305" t="str">
        <f t="shared" si="1"/>
        <v>W</v>
      </c>
      <c r="AX7" s="305" t="str">
        <f t="shared" si="1"/>
        <v>T</v>
      </c>
      <c r="AY7" s="305" t="str">
        <f t="shared" si="1"/>
        <v>F</v>
      </c>
      <c r="AZ7" s="305" t="str">
        <f t="shared" si="1"/>
        <v>S</v>
      </c>
      <c r="BA7" s="306" t="str">
        <f t="shared" si="1"/>
        <v>S</v>
      </c>
      <c r="BB7" s="304" t="str">
        <f t="shared" si="1"/>
        <v>M</v>
      </c>
      <c r="BC7" s="305" t="str">
        <f t="shared" si="1"/>
        <v>T</v>
      </c>
      <c r="BD7" s="305" t="str">
        <f t="shared" si="1"/>
        <v>W</v>
      </c>
      <c r="BE7" s="305" t="str">
        <f t="shared" si="1"/>
        <v>T</v>
      </c>
      <c r="BF7" s="305" t="str">
        <f t="shared" si="1"/>
        <v>F</v>
      </c>
      <c r="BG7" s="305" t="str">
        <f t="shared" si="1"/>
        <v>S</v>
      </c>
      <c r="BH7" s="306" t="str">
        <f t="shared" si="1"/>
        <v>S</v>
      </c>
      <c r="BI7" s="304" t="str">
        <f t="shared" si="1"/>
        <v>M</v>
      </c>
      <c r="BJ7" s="305" t="str">
        <f t="shared" si="1"/>
        <v>T</v>
      </c>
      <c r="BK7" s="305" t="str">
        <f t="shared" si="1"/>
        <v>W</v>
      </c>
      <c r="BL7" s="305" t="str">
        <f t="shared" si="1"/>
        <v>T</v>
      </c>
      <c r="BM7" s="305" t="str">
        <f t="shared" si="1"/>
        <v>F</v>
      </c>
      <c r="BN7" s="305" t="str">
        <f t="shared" si="1"/>
        <v>S</v>
      </c>
      <c r="BO7" s="307" t="str">
        <f t="shared" si="1"/>
        <v>S</v>
      </c>
    </row>
    <row r="8" spans="1:67" s="312" customFormat="1">
      <c r="A8" s="281"/>
      <c r="B8" s="308" t="str">
        <f>IF(ISERROR(VALUE(SUBSTITUTE(prevWBS,".",""))),"1",IF(ISERROR(FIND("`",SUBSTITUTE(prevWBS,".","`",1))),TEXT(VALUE(prevWBS)+1,"#"),TEXT(VALUE(LEFT(prevWBS,FIND("`",SUBSTITUTE(prevWBS,".","`",1))-1))+1,"#")))</f>
        <v>1</v>
      </c>
      <c r="C8" s="1424" t="s">
        <v>634</v>
      </c>
      <c r="D8" s="1424"/>
      <c r="E8" s="1424"/>
      <c r="F8" s="1424"/>
      <c r="G8" s="1424"/>
      <c r="H8" s="1424"/>
      <c r="I8" s="1424"/>
      <c r="J8" s="1425"/>
      <c r="K8" s="309"/>
      <c r="L8" s="310"/>
      <c r="M8" s="310"/>
      <c r="N8" s="310"/>
      <c r="O8" s="310"/>
      <c r="P8" s="310"/>
      <c r="Q8" s="310"/>
      <c r="R8" s="310"/>
      <c r="S8" s="310"/>
      <c r="T8" s="310"/>
      <c r="U8" s="310"/>
      <c r="V8" s="310"/>
      <c r="W8" s="310"/>
      <c r="X8" s="310"/>
      <c r="Y8" s="310"/>
      <c r="Z8" s="310"/>
      <c r="AA8" s="310"/>
      <c r="AB8" s="310"/>
      <c r="AC8" s="310"/>
      <c r="AD8" s="310"/>
      <c r="AE8" s="310"/>
      <c r="AF8" s="310"/>
      <c r="AG8" s="310"/>
      <c r="AH8" s="310"/>
      <c r="AI8" s="310"/>
      <c r="AJ8" s="310"/>
      <c r="AK8" s="310"/>
      <c r="AL8" s="310"/>
      <c r="AM8" s="310"/>
      <c r="AN8" s="310"/>
      <c r="AO8" s="310"/>
      <c r="AP8" s="310"/>
      <c r="AQ8" s="310"/>
      <c r="AR8" s="310"/>
      <c r="AS8" s="310"/>
      <c r="AT8" s="310"/>
      <c r="AU8" s="310"/>
      <c r="AV8" s="310"/>
      <c r="AW8" s="310"/>
      <c r="AX8" s="310"/>
      <c r="AY8" s="310"/>
      <c r="AZ8" s="310"/>
      <c r="BA8" s="310"/>
      <c r="BB8" s="310"/>
      <c r="BC8" s="310"/>
      <c r="BD8" s="310"/>
      <c r="BE8" s="310"/>
      <c r="BF8" s="310"/>
      <c r="BG8" s="310"/>
      <c r="BH8" s="310"/>
      <c r="BI8" s="310"/>
      <c r="BJ8" s="310"/>
      <c r="BK8" s="310"/>
      <c r="BL8" s="310"/>
      <c r="BM8" s="310"/>
      <c r="BN8" s="310"/>
      <c r="BO8" s="311"/>
    </row>
    <row r="9" spans="1:67" s="320" customFormat="1" ht="36" customHeight="1">
      <c r="A9" s="281"/>
      <c r="B9" s="313" t="str">
        <f t="shared" ref="B9:B13" si="2">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C9" s="314" t="s">
        <v>635</v>
      </c>
      <c r="D9" s="315" t="s">
        <v>636</v>
      </c>
      <c r="E9" s="316"/>
      <c r="F9" s="376">
        <v>45323</v>
      </c>
      <c r="G9" s="377">
        <v>45412</v>
      </c>
      <c r="H9" s="378">
        <v>90</v>
      </c>
      <c r="I9" s="379">
        <v>0</v>
      </c>
      <c r="J9" s="396">
        <f t="shared" ref="J9:J40" si="3">IF(OR(G9=0,F9=0)," - ",NETWORKDAYS(F9,G9))</f>
        <v>64</v>
      </c>
      <c r="K9" s="317"/>
      <c r="L9" s="318"/>
      <c r="M9" s="318"/>
      <c r="N9" s="318"/>
      <c r="O9" s="318"/>
      <c r="P9" s="318"/>
      <c r="Q9" s="318"/>
      <c r="R9" s="318"/>
      <c r="S9" s="318"/>
      <c r="T9" s="318"/>
      <c r="U9" s="318"/>
      <c r="V9" s="318"/>
      <c r="W9" s="318"/>
      <c r="X9" s="318"/>
      <c r="Y9" s="318"/>
      <c r="Z9" s="318"/>
      <c r="AA9" s="318"/>
      <c r="AB9" s="318"/>
      <c r="AC9" s="318"/>
      <c r="AD9" s="318"/>
      <c r="AE9" s="318"/>
      <c r="AF9" s="318"/>
      <c r="AG9" s="318"/>
      <c r="AH9" s="318"/>
      <c r="AI9" s="318"/>
      <c r="AJ9" s="318"/>
      <c r="AK9" s="318"/>
      <c r="AL9" s="318"/>
      <c r="AM9" s="318"/>
      <c r="AN9" s="318"/>
      <c r="AO9" s="318"/>
      <c r="AP9" s="318"/>
      <c r="AQ9" s="318"/>
      <c r="AR9" s="318"/>
      <c r="AS9" s="318"/>
      <c r="AT9" s="318"/>
      <c r="AU9" s="318"/>
      <c r="AV9" s="318"/>
      <c r="AW9" s="318"/>
      <c r="AX9" s="318"/>
      <c r="AY9" s="318"/>
      <c r="AZ9" s="318"/>
      <c r="BA9" s="318"/>
      <c r="BB9" s="318"/>
      <c r="BC9" s="318"/>
      <c r="BD9" s="318"/>
      <c r="BE9" s="318"/>
      <c r="BF9" s="318"/>
      <c r="BG9" s="318"/>
      <c r="BH9" s="318"/>
      <c r="BI9" s="318"/>
      <c r="BJ9" s="318"/>
      <c r="BK9" s="318"/>
      <c r="BL9" s="318"/>
      <c r="BM9" s="318"/>
      <c r="BN9" s="318"/>
      <c r="BO9" s="319"/>
    </row>
    <row r="10" spans="1:67" s="320" customFormat="1" ht="57" customHeight="1">
      <c r="A10" s="281"/>
      <c r="B10" s="321" t="str">
        <f t="shared" si="2"/>
        <v>1.2</v>
      </c>
      <c r="C10" s="322" t="s">
        <v>637</v>
      </c>
      <c r="D10" s="323" t="s">
        <v>636</v>
      </c>
      <c r="E10" s="324"/>
      <c r="F10" s="380">
        <v>45323</v>
      </c>
      <c r="G10" s="381">
        <v>45382</v>
      </c>
      <c r="H10" s="382">
        <v>60</v>
      </c>
      <c r="I10" s="383">
        <v>0</v>
      </c>
      <c r="J10" s="397">
        <f t="shared" si="3"/>
        <v>42</v>
      </c>
      <c r="K10" s="317"/>
      <c r="L10" s="318"/>
      <c r="M10" s="318"/>
      <c r="N10" s="318"/>
      <c r="O10" s="318"/>
      <c r="P10" s="318"/>
      <c r="Q10" s="318"/>
      <c r="R10" s="318"/>
      <c r="S10" s="318"/>
      <c r="T10" s="318"/>
      <c r="U10" s="318"/>
      <c r="V10" s="318"/>
      <c r="W10" s="318"/>
      <c r="X10" s="318"/>
      <c r="Y10" s="318"/>
      <c r="Z10" s="318"/>
      <c r="AA10" s="318"/>
      <c r="AB10" s="318"/>
      <c r="AC10" s="318"/>
      <c r="AD10" s="318"/>
      <c r="AE10" s="318"/>
      <c r="AF10" s="318"/>
      <c r="AG10" s="318"/>
      <c r="AH10" s="318"/>
      <c r="AI10" s="318"/>
      <c r="AJ10" s="318"/>
      <c r="AK10" s="318"/>
      <c r="AL10" s="318"/>
      <c r="AM10" s="318"/>
      <c r="AN10" s="318"/>
      <c r="AO10" s="318"/>
      <c r="AP10" s="318"/>
      <c r="AQ10" s="318"/>
      <c r="AR10" s="318"/>
      <c r="AS10" s="318"/>
      <c r="AT10" s="318"/>
      <c r="AU10" s="318"/>
      <c r="AV10" s="318"/>
      <c r="AW10" s="318"/>
      <c r="AX10" s="318"/>
      <c r="AY10" s="318"/>
      <c r="AZ10" s="318"/>
      <c r="BA10" s="318"/>
      <c r="BB10" s="318"/>
      <c r="BC10" s="318"/>
      <c r="BD10" s="318"/>
      <c r="BE10" s="318"/>
      <c r="BF10" s="318"/>
      <c r="BG10" s="318"/>
      <c r="BH10" s="318"/>
      <c r="BI10" s="318"/>
      <c r="BJ10" s="318"/>
      <c r="BK10" s="318"/>
      <c r="BL10" s="318"/>
      <c r="BM10" s="318"/>
      <c r="BN10" s="318"/>
      <c r="BO10" s="319"/>
    </row>
    <row r="11" spans="1:67" s="320" customFormat="1" ht="36.75" customHeight="1">
      <c r="A11" s="281"/>
      <c r="B11" s="325" t="str">
        <f t="shared" si="2"/>
        <v>1.3</v>
      </c>
      <c r="C11" s="326" t="s">
        <v>638</v>
      </c>
      <c r="D11" s="327" t="s">
        <v>636</v>
      </c>
      <c r="E11" s="328"/>
      <c r="F11" s="384">
        <v>45383</v>
      </c>
      <c r="G11" s="385">
        <v>45443</v>
      </c>
      <c r="H11" s="386">
        <v>60</v>
      </c>
      <c r="I11" s="387">
        <v>0</v>
      </c>
      <c r="J11" s="398">
        <f t="shared" si="3"/>
        <v>45</v>
      </c>
      <c r="K11" s="317"/>
      <c r="L11" s="318"/>
      <c r="M11" s="318"/>
      <c r="N11" s="318"/>
      <c r="O11" s="318"/>
      <c r="P11" s="318"/>
      <c r="Q11" s="318"/>
      <c r="R11" s="318"/>
      <c r="S11" s="318"/>
      <c r="T11" s="318"/>
      <c r="U11" s="318"/>
      <c r="V11" s="318"/>
      <c r="W11" s="318"/>
      <c r="X11" s="318"/>
      <c r="Y11" s="318"/>
      <c r="Z11" s="318"/>
      <c r="AA11" s="318"/>
      <c r="AB11" s="318"/>
      <c r="AC11" s="318"/>
      <c r="AD11" s="318"/>
      <c r="AE11" s="318"/>
      <c r="AF11" s="318"/>
      <c r="AG11" s="318"/>
      <c r="AH11" s="318"/>
      <c r="AI11" s="318"/>
      <c r="AJ11" s="318"/>
      <c r="AK11" s="318"/>
      <c r="AL11" s="318"/>
      <c r="AM11" s="318"/>
      <c r="AN11" s="318"/>
      <c r="AO11" s="318"/>
      <c r="AP11" s="318"/>
      <c r="AQ11" s="318"/>
      <c r="AR11" s="318"/>
      <c r="AS11" s="318"/>
      <c r="AT11" s="318"/>
      <c r="AU11" s="318"/>
      <c r="AV11" s="318"/>
      <c r="AW11" s="318"/>
      <c r="AX11" s="318"/>
      <c r="AY11" s="318"/>
      <c r="AZ11" s="318"/>
      <c r="BA11" s="318"/>
      <c r="BB11" s="318"/>
      <c r="BC11" s="318"/>
      <c r="BD11" s="318"/>
      <c r="BE11" s="318"/>
      <c r="BF11" s="318"/>
      <c r="BG11" s="318"/>
      <c r="BH11" s="318"/>
      <c r="BI11" s="318"/>
      <c r="BJ11" s="318"/>
      <c r="BK11" s="318"/>
      <c r="BL11" s="318"/>
      <c r="BM11" s="318"/>
      <c r="BN11" s="318"/>
      <c r="BO11" s="319"/>
    </row>
    <row r="12" spans="1:67" s="320" customFormat="1" ht="38.25" customHeight="1">
      <c r="A12" s="281"/>
      <c r="B12" s="325" t="str">
        <f t="shared" si="2"/>
        <v>1.4</v>
      </c>
      <c r="C12" s="326" t="s">
        <v>639</v>
      </c>
      <c r="D12" s="327" t="s">
        <v>636</v>
      </c>
      <c r="E12" s="328"/>
      <c r="F12" s="384">
        <v>45352</v>
      </c>
      <c r="G12" s="385">
        <v>45412</v>
      </c>
      <c r="H12" s="386">
        <v>60</v>
      </c>
      <c r="I12" s="387">
        <v>0</v>
      </c>
      <c r="J12" s="398">
        <f t="shared" si="3"/>
        <v>43</v>
      </c>
      <c r="K12" s="317"/>
      <c r="L12" s="318"/>
      <c r="M12" s="318"/>
      <c r="N12" s="318"/>
      <c r="O12" s="318"/>
      <c r="P12" s="318"/>
      <c r="Q12" s="318"/>
      <c r="R12" s="318"/>
      <c r="S12" s="318"/>
      <c r="T12" s="318"/>
      <c r="U12" s="318"/>
      <c r="V12" s="318"/>
      <c r="W12" s="318"/>
      <c r="X12" s="318"/>
      <c r="Y12" s="318"/>
      <c r="Z12" s="318"/>
      <c r="AA12" s="318"/>
      <c r="AB12" s="318"/>
      <c r="AC12" s="318"/>
      <c r="AD12" s="318"/>
      <c r="AE12" s="318"/>
      <c r="AF12" s="318"/>
      <c r="AG12" s="318"/>
      <c r="AH12" s="318"/>
      <c r="AI12" s="318"/>
      <c r="AJ12" s="318"/>
      <c r="AK12" s="318"/>
      <c r="AL12" s="318"/>
      <c r="AM12" s="318"/>
      <c r="AN12" s="318"/>
      <c r="AO12" s="318"/>
      <c r="AP12" s="318"/>
      <c r="AQ12" s="318"/>
      <c r="AR12" s="318"/>
      <c r="AS12" s="318"/>
      <c r="AT12" s="318"/>
      <c r="AU12" s="318"/>
      <c r="AV12" s="318"/>
      <c r="AW12" s="318"/>
      <c r="AX12" s="318"/>
      <c r="AY12" s="318"/>
      <c r="AZ12" s="318"/>
      <c r="BA12" s="318"/>
      <c r="BB12" s="318"/>
      <c r="BC12" s="318"/>
      <c r="BD12" s="318"/>
      <c r="BE12" s="318"/>
      <c r="BF12" s="318"/>
      <c r="BG12" s="318"/>
      <c r="BH12" s="318"/>
      <c r="BI12" s="318"/>
      <c r="BJ12" s="318"/>
      <c r="BK12" s="318"/>
      <c r="BL12" s="318"/>
      <c r="BM12" s="318"/>
      <c r="BN12" s="318"/>
      <c r="BO12" s="319"/>
    </row>
    <row r="13" spans="1:67" s="320" customFormat="1" ht="38.25" customHeight="1">
      <c r="A13" s="281"/>
      <c r="B13" s="325" t="str">
        <f t="shared" si="2"/>
        <v>1.5</v>
      </c>
      <c r="C13" s="326" t="s">
        <v>640</v>
      </c>
      <c r="D13" s="327" t="s">
        <v>636</v>
      </c>
      <c r="E13" s="328"/>
      <c r="F13" s="384">
        <v>45413</v>
      </c>
      <c r="G13" s="385">
        <v>45473</v>
      </c>
      <c r="H13" s="386">
        <v>60</v>
      </c>
      <c r="I13" s="387">
        <v>0</v>
      </c>
      <c r="J13" s="398">
        <f t="shared" si="3"/>
        <v>43</v>
      </c>
      <c r="K13" s="317"/>
      <c r="L13" s="318"/>
      <c r="M13" s="318"/>
      <c r="N13" s="318"/>
      <c r="O13" s="318"/>
      <c r="P13" s="318"/>
      <c r="Q13" s="318"/>
      <c r="R13" s="318"/>
      <c r="S13" s="318"/>
      <c r="T13" s="318"/>
      <c r="U13" s="318"/>
      <c r="V13" s="318"/>
      <c r="W13" s="318"/>
      <c r="X13" s="318"/>
      <c r="Y13" s="318"/>
      <c r="Z13" s="318"/>
      <c r="AA13" s="318"/>
      <c r="AB13" s="318"/>
      <c r="AC13" s="318"/>
      <c r="AD13" s="318"/>
      <c r="AE13" s="318"/>
      <c r="AF13" s="318"/>
      <c r="AG13" s="318"/>
      <c r="AH13" s="318"/>
      <c r="AI13" s="318"/>
      <c r="AJ13" s="318"/>
      <c r="AK13" s="318"/>
      <c r="AL13" s="318"/>
      <c r="AM13" s="318"/>
      <c r="AN13" s="318"/>
      <c r="AO13" s="318"/>
      <c r="AP13" s="318"/>
      <c r="AQ13" s="318"/>
      <c r="AR13" s="318"/>
      <c r="AS13" s="318"/>
      <c r="AT13" s="318"/>
      <c r="AU13" s="318"/>
      <c r="AV13" s="318"/>
      <c r="AW13" s="318"/>
      <c r="AX13" s="318"/>
      <c r="AY13" s="318"/>
      <c r="AZ13" s="318"/>
      <c r="BA13" s="318"/>
      <c r="BB13" s="318"/>
      <c r="BC13" s="318"/>
      <c r="BD13" s="318"/>
      <c r="BE13" s="318"/>
      <c r="BF13" s="318"/>
      <c r="BG13" s="318"/>
      <c r="BH13" s="318"/>
      <c r="BI13" s="318"/>
      <c r="BJ13" s="318"/>
      <c r="BK13" s="318"/>
      <c r="BL13" s="318"/>
      <c r="BM13" s="318"/>
      <c r="BN13" s="318"/>
      <c r="BO13" s="319"/>
    </row>
    <row r="14" spans="1:67" s="312" customFormat="1">
      <c r="A14" s="281"/>
      <c r="B14" s="329" t="str">
        <f>IF(ISERROR(VALUE(SUBSTITUTE(prevWBS,".",""))),"1",IF(ISERROR(FIND("`",SUBSTITUTE(prevWBS,".","`",1))),TEXT(VALUE(prevWBS)+1,"#"),TEXT(VALUE(LEFT(prevWBS,FIND("`",SUBSTITUTE(prevWBS,".","`",1))-1))+1,"#")))</f>
        <v>2</v>
      </c>
      <c r="C14" s="330" t="s">
        <v>641</v>
      </c>
      <c r="E14" s="331"/>
      <c r="F14" s="332"/>
      <c r="G14" s="332" t="str">
        <f t="shared" ref="G14:G23" si="4">IF(ISBLANK(F14)," - ",IF(H14=0,F14,F14+H14-1))</f>
        <v xml:space="preserve"> - </v>
      </c>
      <c r="H14" s="333"/>
      <c r="I14" s="334"/>
      <c r="J14" s="335" t="str">
        <f t="shared" si="3"/>
        <v xml:space="preserve"> - </v>
      </c>
      <c r="K14" s="335"/>
      <c r="L14" s="336"/>
      <c r="M14" s="336"/>
      <c r="N14" s="336"/>
      <c r="O14" s="336"/>
      <c r="P14" s="336"/>
      <c r="Q14" s="336"/>
      <c r="R14" s="336"/>
      <c r="S14" s="336"/>
      <c r="T14" s="336"/>
      <c r="U14" s="336"/>
      <c r="V14" s="336"/>
      <c r="W14" s="336"/>
      <c r="X14" s="336"/>
      <c r="Y14" s="336"/>
      <c r="Z14" s="336"/>
      <c r="AA14" s="336"/>
      <c r="AB14" s="336"/>
      <c r="AC14" s="336"/>
      <c r="AD14" s="336"/>
      <c r="AE14" s="336"/>
      <c r="AF14" s="336"/>
      <c r="AG14" s="336"/>
      <c r="AH14" s="336"/>
      <c r="AI14" s="336"/>
      <c r="AJ14" s="336"/>
      <c r="AK14" s="336"/>
      <c r="AL14" s="336"/>
      <c r="AM14" s="336"/>
      <c r="AN14" s="336"/>
      <c r="AO14" s="336"/>
      <c r="AP14" s="336"/>
      <c r="AQ14" s="336"/>
      <c r="AR14" s="336"/>
      <c r="AS14" s="336"/>
      <c r="AT14" s="336"/>
      <c r="AU14" s="336"/>
      <c r="AV14" s="336"/>
      <c r="AW14" s="336"/>
      <c r="AX14" s="336"/>
      <c r="AY14" s="336"/>
      <c r="AZ14" s="336"/>
      <c r="BA14" s="336"/>
      <c r="BB14" s="336"/>
      <c r="BC14" s="336"/>
      <c r="BD14" s="336"/>
      <c r="BE14" s="336"/>
      <c r="BF14" s="336"/>
      <c r="BG14" s="336"/>
      <c r="BH14" s="336"/>
      <c r="BI14" s="336"/>
      <c r="BJ14" s="336"/>
      <c r="BK14" s="336"/>
      <c r="BL14" s="336"/>
      <c r="BM14" s="336"/>
      <c r="BN14" s="336"/>
      <c r="BO14" s="337"/>
    </row>
    <row r="15" spans="1:67" s="320" customFormat="1">
      <c r="A15" s="281"/>
      <c r="B15" s="33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C15" s="339" t="s">
        <v>642</v>
      </c>
      <c r="D15" s="340" t="s">
        <v>636</v>
      </c>
      <c r="E15" s="341"/>
      <c r="F15" s="388">
        <v>45323</v>
      </c>
      <c r="G15" s="389">
        <v>45350</v>
      </c>
      <c r="H15" s="390">
        <v>28</v>
      </c>
      <c r="I15" s="391">
        <v>0</v>
      </c>
      <c r="J15" s="399">
        <f t="shared" si="3"/>
        <v>20</v>
      </c>
      <c r="K15" s="317"/>
      <c r="L15" s="318"/>
      <c r="M15" s="318"/>
      <c r="N15" s="318"/>
      <c r="O15" s="318"/>
      <c r="P15" s="318"/>
      <c r="Q15" s="318"/>
      <c r="R15" s="318"/>
      <c r="S15" s="318"/>
      <c r="T15" s="318"/>
      <c r="U15" s="318"/>
      <c r="V15" s="318"/>
      <c r="W15" s="318"/>
      <c r="X15" s="318"/>
      <c r="Y15" s="318"/>
      <c r="Z15" s="318"/>
      <c r="AA15" s="318"/>
      <c r="AB15" s="318"/>
      <c r="AC15" s="318"/>
      <c r="AD15" s="318"/>
      <c r="AE15" s="318"/>
      <c r="AF15" s="318"/>
      <c r="AG15" s="318"/>
      <c r="AH15" s="318"/>
      <c r="AI15" s="318"/>
      <c r="AJ15" s="318"/>
      <c r="AK15" s="318"/>
      <c r="AL15" s="318"/>
      <c r="AM15" s="318"/>
      <c r="AN15" s="318"/>
      <c r="AO15" s="318"/>
      <c r="AP15" s="318"/>
      <c r="AQ15" s="318"/>
      <c r="AR15" s="318"/>
      <c r="AS15" s="318"/>
      <c r="AT15" s="318"/>
      <c r="AU15" s="318"/>
      <c r="AV15" s="318"/>
      <c r="AW15" s="318"/>
      <c r="AX15" s="318"/>
      <c r="AY15" s="318"/>
      <c r="AZ15" s="318"/>
      <c r="BA15" s="318"/>
      <c r="BB15" s="318"/>
      <c r="BC15" s="318"/>
      <c r="BD15" s="318"/>
      <c r="BE15" s="318"/>
      <c r="BF15" s="318"/>
      <c r="BG15" s="318"/>
      <c r="BH15" s="318"/>
      <c r="BI15" s="318"/>
      <c r="BJ15" s="318"/>
      <c r="BK15" s="318"/>
      <c r="BL15" s="318"/>
      <c r="BM15" s="318"/>
      <c r="BN15" s="318"/>
      <c r="BO15" s="319"/>
    </row>
    <row r="16" spans="1:67" s="320" customFormat="1" ht="35.25" customHeight="1">
      <c r="A16" s="281"/>
      <c r="B16" s="34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C16" s="343" t="s">
        <v>643</v>
      </c>
      <c r="D16" s="344" t="s">
        <v>636</v>
      </c>
      <c r="E16" s="341"/>
      <c r="F16" s="388">
        <v>45352</v>
      </c>
      <c r="G16" s="389">
        <v>45382</v>
      </c>
      <c r="H16" s="390">
        <v>30</v>
      </c>
      <c r="I16" s="391">
        <v>0</v>
      </c>
      <c r="J16" s="399">
        <f t="shared" si="3"/>
        <v>21</v>
      </c>
      <c r="K16" s="317"/>
      <c r="L16" s="318"/>
      <c r="M16" s="318"/>
      <c r="N16" s="318"/>
      <c r="O16" s="318"/>
      <c r="P16" s="318"/>
      <c r="Q16" s="318"/>
      <c r="R16" s="318"/>
      <c r="S16" s="318"/>
      <c r="T16" s="318"/>
      <c r="U16" s="318"/>
      <c r="V16" s="318"/>
      <c r="W16" s="318"/>
      <c r="X16" s="318"/>
      <c r="Y16" s="318"/>
      <c r="Z16" s="318"/>
      <c r="AA16" s="318"/>
      <c r="AB16" s="318"/>
      <c r="AC16" s="318"/>
      <c r="AD16" s="318"/>
      <c r="AE16" s="318"/>
      <c r="AF16" s="318"/>
      <c r="AG16" s="318"/>
      <c r="AH16" s="318"/>
      <c r="AI16" s="318"/>
      <c r="AJ16" s="318"/>
      <c r="AK16" s="318"/>
      <c r="AL16" s="318"/>
      <c r="AM16" s="318"/>
      <c r="AN16" s="318"/>
      <c r="AO16" s="318"/>
      <c r="AP16" s="318"/>
      <c r="AQ16" s="318"/>
      <c r="AR16" s="318"/>
      <c r="AS16" s="318"/>
      <c r="AT16" s="318"/>
      <c r="AU16" s="318"/>
      <c r="AV16" s="318"/>
      <c r="AW16" s="318"/>
      <c r="AX16" s="318"/>
      <c r="AY16" s="318"/>
      <c r="AZ16" s="318"/>
      <c r="BA16" s="318"/>
      <c r="BB16" s="318"/>
      <c r="BC16" s="318"/>
      <c r="BD16" s="318"/>
      <c r="BE16" s="318"/>
      <c r="BF16" s="318"/>
      <c r="BG16" s="318"/>
      <c r="BH16" s="318"/>
      <c r="BI16" s="318"/>
      <c r="BJ16" s="318"/>
      <c r="BK16" s="318"/>
      <c r="BL16" s="318"/>
      <c r="BM16" s="318"/>
      <c r="BN16" s="318"/>
      <c r="BO16" s="319"/>
    </row>
    <row r="17" spans="1:67" s="320" customFormat="1" ht="21.6">
      <c r="A17" s="281"/>
      <c r="B17" s="34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C17" s="343" t="s">
        <v>644</v>
      </c>
      <c r="D17" s="344" t="s">
        <v>636</v>
      </c>
      <c r="E17" s="341"/>
      <c r="F17" s="388">
        <v>45352</v>
      </c>
      <c r="G17" s="389">
        <v>45412</v>
      </c>
      <c r="H17" s="390">
        <v>60</v>
      </c>
      <c r="I17" s="391">
        <v>0</v>
      </c>
      <c r="J17" s="399">
        <f t="shared" si="3"/>
        <v>43</v>
      </c>
      <c r="K17" s="317"/>
      <c r="L17" s="318"/>
      <c r="M17" s="318"/>
      <c r="N17" s="318"/>
      <c r="O17" s="318"/>
      <c r="P17" s="318"/>
      <c r="Q17" s="318"/>
      <c r="R17" s="318"/>
      <c r="S17" s="318"/>
      <c r="T17" s="318"/>
      <c r="U17" s="318"/>
      <c r="V17" s="318"/>
      <c r="W17" s="318"/>
      <c r="X17" s="318"/>
      <c r="Y17" s="318"/>
      <c r="Z17" s="318"/>
      <c r="AA17" s="318"/>
      <c r="AB17" s="318"/>
      <c r="AC17" s="318"/>
      <c r="AD17" s="318"/>
      <c r="AE17" s="318"/>
      <c r="AF17" s="318"/>
      <c r="AG17" s="318"/>
      <c r="AH17" s="318"/>
      <c r="AI17" s="318"/>
      <c r="AJ17" s="318"/>
      <c r="AK17" s="318"/>
      <c r="AL17" s="318"/>
      <c r="AM17" s="318"/>
      <c r="AN17" s="318"/>
      <c r="AO17" s="318"/>
      <c r="AP17" s="318"/>
      <c r="AQ17" s="318"/>
      <c r="AR17" s="318"/>
      <c r="AS17" s="318"/>
      <c r="AT17" s="318"/>
      <c r="AU17" s="318"/>
      <c r="AV17" s="318"/>
      <c r="AW17" s="318"/>
      <c r="AX17" s="318"/>
      <c r="AY17" s="318"/>
      <c r="AZ17" s="318"/>
      <c r="BA17" s="318"/>
      <c r="BB17" s="318"/>
      <c r="BC17" s="318"/>
      <c r="BD17" s="318"/>
      <c r="BE17" s="318"/>
      <c r="BF17" s="318"/>
      <c r="BG17" s="318"/>
      <c r="BH17" s="318"/>
      <c r="BI17" s="318"/>
      <c r="BJ17" s="318"/>
      <c r="BK17" s="318"/>
      <c r="BL17" s="318"/>
      <c r="BM17" s="318"/>
      <c r="BN17" s="318"/>
      <c r="BO17" s="319"/>
    </row>
    <row r="18" spans="1:67" s="320" customFormat="1" ht="21.6">
      <c r="A18" s="281"/>
      <c r="B18" s="34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C18" s="346" t="s">
        <v>645</v>
      </c>
      <c r="D18" s="347" t="s">
        <v>636</v>
      </c>
      <c r="E18" s="341"/>
      <c r="F18" s="388">
        <v>45352</v>
      </c>
      <c r="G18" s="389">
        <v>45443</v>
      </c>
      <c r="H18" s="390">
        <v>90</v>
      </c>
      <c r="I18" s="391">
        <v>0</v>
      </c>
      <c r="J18" s="399">
        <f t="shared" si="3"/>
        <v>66</v>
      </c>
      <c r="K18" s="317"/>
      <c r="L18" s="318"/>
      <c r="M18" s="318"/>
      <c r="N18" s="318"/>
      <c r="O18" s="318"/>
      <c r="P18" s="318"/>
      <c r="Q18" s="318"/>
      <c r="R18" s="318"/>
      <c r="S18" s="318"/>
      <c r="T18" s="318"/>
      <c r="U18" s="318"/>
      <c r="V18" s="318"/>
      <c r="W18" s="318"/>
      <c r="X18" s="318"/>
      <c r="Y18" s="318"/>
      <c r="Z18" s="318"/>
      <c r="AA18" s="318"/>
      <c r="AB18" s="318"/>
      <c r="AC18" s="318"/>
      <c r="AD18" s="318"/>
      <c r="AE18" s="318"/>
      <c r="AF18" s="318"/>
      <c r="AG18" s="318"/>
      <c r="AH18" s="318"/>
      <c r="AI18" s="318"/>
      <c r="AJ18" s="318"/>
      <c r="AK18" s="318"/>
      <c r="AL18" s="318"/>
      <c r="AM18" s="318"/>
      <c r="AN18" s="318"/>
      <c r="AO18" s="318"/>
      <c r="AP18" s="318"/>
      <c r="AQ18" s="318"/>
      <c r="AR18" s="318"/>
      <c r="AS18" s="318"/>
      <c r="AT18" s="318"/>
      <c r="AU18" s="318"/>
      <c r="AV18" s="318"/>
      <c r="AW18" s="318"/>
      <c r="AX18" s="318"/>
      <c r="AY18" s="318"/>
      <c r="AZ18" s="318"/>
      <c r="BA18" s="318"/>
      <c r="BB18" s="318"/>
      <c r="BC18" s="318"/>
      <c r="BD18" s="318"/>
      <c r="BE18" s="318"/>
      <c r="BF18" s="318"/>
      <c r="BG18" s="318"/>
      <c r="BH18" s="318"/>
      <c r="BI18" s="318"/>
      <c r="BJ18" s="318"/>
      <c r="BK18" s="318"/>
      <c r="BL18" s="318"/>
      <c r="BM18" s="318"/>
      <c r="BN18" s="318"/>
      <c r="BO18" s="319"/>
    </row>
    <row r="19" spans="1:67" s="312" customFormat="1">
      <c r="A19" s="281"/>
      <c r="B19" s="329" t="str">
        <f>IF(ISERROR(VALUE(SUBSTITUTE(prevWBS,".",""))),"1",IF(ISERROR(FIND("`",SUBSTITUTE(prevWBS,".","`",1))),TEXT(VALUE(prevWBS)+1,"#"),TEXT(VALUE(LEFT(prevWBS,FIND("`",SUBSTITUTE(prevWBS,".","`",1))-1))+1,"#")))</f>
        <v>3</v>
      </c>
      <c r="C19" s="330" t="s">
        <v>646</v>
      </c>
      <c r="E19" s="331"/>
      <c r="F19" s="332"/>
      <c r="G19" s="332" t="str">
        <f t="shared" si="4"/>
        <v xml:space="preserve"> - </v>
      </c>
      <c r="H19" s="333"/>
      <c r="I19" s="334"/>
      <c r="J19" s="335" t="str">
        <f t="shared" si="3"/>
        <v xml:space="preserve"> - </v>
      </c>
      <c r="K19" s="335"/>
      <c r="L19" s="336"/>
      <c r="M19" s="336"/>
      <c r="N19" s="336"/>
      <c r="O19" s="336"/>
      <c r="P19" s="336"/>
      <c r="Q19" s="336"/>
      <c r="R19" s="336"/>
      <c r="S19" s="336"/>
      <c r="T19" s="336"/>
      <c r="U19" s="336"/>
      <c r="V19" s="336"/>
      <c r="W19" s="336"/>
      <c r="X19" s="336"/>
      <c r="Y19" s="336"/>
      <c r="Z19" s="336"/>
      <c r="AA19" s="336"/>
      <c r="AB19" s="336"/>
      <c r="AC19" s="336"/>
      <c r="AD19" s="336"/>
      <c r="AE19" s="336"/>
      <c r="AF19" s="336"/>
      <c r="AG19" s="336"/>
      <c r="AH19" s="336"/>
      <c r="AI19" s="336"/>
      <c r="AJ19" s="336"/>
      <c r="AK19" s="336"/>
      <c r="AL19" s="336"/>
      <c r="AM19" s="336"/>
      <c r="AN19" s="336"/>
      <c r="AO19" s="336"/>
      <c r="AP19" s="336"/>
      <c r="AQ19" s="336"/>
      <c r="AR19" s="336"/>
      <c r="AS19" s="336"/>
      <c r="AT19" s="336"/>
      <c r="AU19" s="336"/>
      <c r="AV19" s="336"/>
      <c r="AW19" s="336"/>
      <c r="AX19" s="336"/>
      <c r="AY19" s="336"/>
      <c r="AZ19" s="336"/>
      <c r="BA19" s="336"/>
      <c r="BB19" s="336"/>
      <c r="BC19" s="336"/>
      <c r="BD19" s="336"/>
      <c r="BE19" s="336"/>
      <c r="BF19" s="336"/>
      <c r="BG19" s="336"/>
      <c r="BH19" s="336"/>
      <c r="BI19" s="336"/>
      <c r="BJ19" s="336"/>
      <c r="BK19" s="336"/>
      <c r="BL19" s="336"/>
      <c r="BM19" s="336"/>
      <c r="BN19" s="336"/>
      <c r="BO19" s="337"/>
    </row>
    <row r="20" spans="1:67" s="320" customFormat="1">
      <c r="A20" s="281"/>
      <c r="B20" s="34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C20" s="349" t="s">
        <v>647</v>
      </c>
      <c r="D20" s="350" t="s">
        <v>636</v>
      </c>
      <c r="E20" s="341"/>
      <c r="F20" s="388">
        <v>45323</v>
      </c>
      <c r="G20" s="389">
        <v>45352</v>
      </c>
      <c r="H20" s="390">
        <v>28</v>
      </c>
      <c r="I20" s="391">
        <v>0</v>
      </c>
      <c r="J20" s="399">
        <f t="shared" si="3"/>
        <v>22</v>
      </c>
      <c r="K20" s="317"/>
      <c r="L20" s="318"/>
      <c r="M20" s="318"/>
      <c r="N20" s="318"/>
      <c r="O20" s="318"/>
      <c r="P20" s="318"/>
      <c r="Q20" s="318"/>
      <c r="R20" s="318"/>
      <c r="S20" s="318"/>
      <c r="T20" s="318"/>
      <c r="U20" s="318"/>
      <c r="V20" s="318"/>
      <c r="W20" s="318"/>
      <c r="X20" s="318"/>
      <c r="Y20" s="318"/>
      <c r="Z20" s="318"/>
      <c r="AA20" s="318"/>
      <c r="AB20" s="318"/>
      <c r="AC20" s="318"/>
      <c r="AD20" s="318"/>
      <c r="AE20" s="318"/>
      <c r="AF20" s="318"/>
      <c r="AG20" s="318"/>
      <c r="AH20" s="318"/>
      <c r="AI20" s="318"/>
      <c r="AJ20" s="318"/>
      <c r="AK20" s="318"/>
      <c r="AL20" s="318"/>
      <c r="AM20" s="318"/>
      <c r="AN20" s="318"/>
      <c r="AO20" s="318"/>
      <c r="AP20" s="318"/>
      <c r="AQ20" s="318"/>
      <c r="AR20" s="318"/>
      <c r="AS20" s="318"/>
      <c r="AT20" s="318"/>
      <c r="AU20" s="318"/>
      <c r="AV20" s="318"/>
      <c r="AW20" s="318"/>
      <c r="AX20" s="318"/>
      <c r="AY20" s="318"/>
      <c r="AZ20" s="318"/>
      <c r="BA20" s="318"/>
      <c r="BB20" s="318"/>
      <c r="BC20" s="318"/>
      <c r="BD20" s="318"/>
      <c r="BE20" s="318"/>
      <c r="BF20" s="318"/>
      <c r="BG20" s="318"/>
      <c r="BH20" s="318"/>
      <c r="BI20" s="318"/>
      <c r="BJ20" s="318"/>
      <c r="BK20" s="318"/>
      <c r="BL20" s="318"/>
      <c r="BM20" s="318"/>
      <c r="BN20" s="318"/>
      <c r="BO20" s="319"/>
    </row>
    <row r="21" spans="1:67" s="320" customFormat="1">
      <c r="A21" s="281"/>
      <c r="B21" s="34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C21" s="349" t="s">
        <v>648</v>
      </c>
      <c r="D21" s="350" t="s">
        <v>636</v>
      </c>
      <c r="E21" s="341"/>
      <c r="F21" s="388">
        <v>45413</v>
      </c>
      <c r="G21" s="389">
        <v>45443</v>
      </c>
      <c r="H21" s="390">
        <v>30</v>
      </c>
      <c r="I21" s="391">
        <v>0</v>
      </c>
      <c r="J21" s="399">
        <f t="shared" si="3"/>
        <v>23</v>
      </c>
      <c r="K21" s="317"/>
      <c r="L21" s="318"/>
      <c r="M21" s="318"/>
      <c r="N21" s="318"/>
      <c r="O21" s="318"/>
      <c r="P21" s="318"/>
      <c r="Q21" s="318"/>
      <c r="R21" s="318"/>
      <c r="S21" s="318"/>
      <c r="T21" s="318"/>
      <c r="U21" s="318"/>
      <c r="V21" s="318"/>
      <c r="W21" s="318"/>
      <c r="X21" s="318"/>
      <c r="Y21" s="318"/>
      <c r="Z21" s="318"/>
      <c r="AA21" s="318"/>
      <c r="AB21" s="318"/>
      <c r="AC21" s="318"/>
      <c r="AD21" s="318"/>
      <c r="AE21" s="318"/>
      <c r="AF21" s="318"/>
      <c r="AG21" s="318"/>
      <c r="AH21" s="318"/>
      <c r="AI21" s="318"/>
      <c r="AJ21" s="318"/>
      <c r="AK21" s="318"/>
      <c r="AL21" s="318"/>
      <c r="AM21" s="318"/>
      <c r="AN21" s="318"/>
      <c r="AO21" s="318"/>
      <c r="AP21" s="318"/>
      <c r="AQ21" s="318"/>
      <c r="AR21" s="318"/>
      <c r="AS21" s="318"/>
      <c r="AT21" s="318"/>
      <c r="AU21" s="318"/>
      <c r="AV21" s="318"/>
      <c r="AW21" s="318"/>
      <c r="AX21" s="318"/>
      <c r="AY21" s="318"/>
      <c r="AZ21" s="318"/>
      <c r="BA21" s="318"/>
      <c r="BB21" s="318"/>
      <c r="BC21" s="318"/>
      <c r="BD21" s="318"/>
      <c r="BE21" s="318"/>
      <c r="BF21" s="318"/>
      <c r="BG21" s="318"/>
      <c r="BH21" s="318"/>
      <c r="BI21" s="318"/>
      <c r="BJ21" s="318"/>
      <c r="BK21" s="318"/>
      <c r="BL21" s="318"/>
      <c r="BM21" s="318"/>
      <c r="BN21" s="318"/>
      <c r="BO21" s="319"/>
    </row>
    <row r="22" spans="1:67" s="320" customFormat="1">
      <c r="A22" s="281"/>
      <c r="B22" s="34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C22" s="349" t="s">
        <v>649</v>
      </c>
      <c r="D22" s="350" t="s">
        <v>636</v>
      </c>
      <c r="E22" s="341"/>
      <c r="F22" s="388">
        <v>45474</v>
      </c>
      <c r="G22" s="389">
        <v>45504</v>
      </c>
      <c r="H22" s="390">
        <v>30</v>
      </c>
      <c r="I22" s="391">
        <v>0</v>
      </c>
      <c r="J22" s="399">
        <f t="shared" si="3"/>
        <v>23</v>
      </c>
      <c r="K22" s="317"/>
      <c r="L22" s="318"/>
      <c r="M22" s="318"/>
      <c r="N22" s="318"/>
      <c r="O22" s="318"/>
      <c r="P22" s="318"/>
      <c r="Q22" s="318"/>
      <c r="R22" s="318"/>
      <c r="S22" s="318"/>
      <c r="T22" s="318"/>
      <c r="U22" s="318"/>
      <c r="V22" s="318"/>
      <c r="W22" s="318"/>
      <c r="X22" s="318"/>
      <c r="Y22" s="318"/>
      <c r="Z22" s="318"/>
      <c r="AA22" s="318"/>
      <c r="AB22" s="318"/>
      <c r="AC22" s="318"/>
      <c r="AD22" s="318"/>
      <c r="AE22" s="318"/>
      <c r="AF22" s="318"/>
      <c r="AG22" s="318"/>
      <c r="AH22" s="318"/>
      <c r="AI22" s="318"/>
      <c r="AJ22" s="318"/>
      <c r="AK22" s="318"/>
      <c r="AL22" s="318"/>
      <c r="AM22" s="318"/>
      <c r="AN22" s="318"/>
      <c r="AO22" s="318"/>
      <c r="AP22" s="318"/>
      <c r="AQ22" s="318"/>
      <c r="AR22" s="318"/>
      <c r="AS22" s="318"/>
      <c r="AT22" s="318"/>
      <c r="AU22" s="318"/>
      <c r="AV22" s="318"/>
      <c r="AW22" s="318"/>
      <c r="AX22" s="318"/>
      <c r="AY22" s="318"/>
      <c r="AZ22" s="318"/>
      <c r="BA22" s="318"/>
      <c r="BB22" s="318"/>
      <c r="BC22" s="318"/>
      <c r="BD22" s="318"/>
      <c r="BE22" s="318"/>
      <c r="BF22" s="318"/>
      <c r="BG22" s="318"/>
      <c r="BH22" s="318"/>
      <c r="BI22" s="318"/>
      <c r="BJ22" s="318"/>
      <c r="BK22" s="318"/>
      <c r="BL22" s="318"/>
      <c r="BM22" s="318"/>
      <c r="BN22" s="318"/>
      <c r="BO22" s="319"/>
    </row>
    <row r="23" spans="1:67" s="312" customFormat="1">
      <c r="A23" s="281"/>
      <c r="B23" s="329" t="str">
        <f>IF(ISERROR(VALUE(SUBSTITUTE(prevWBS,".",""))),"1",IF(ISERROR(FIND("`",SUBSTITUTE(prevWBS,".","`",1))),TEXT(VALUE(prevWBS)+1,"#"),TEXT(VALUE(LEFT(prevWBS,FIND("`",SUBSTITUTE(prevWBS,".","`",1))-1))+1,"#")))</f>
        <v>4</v>
      </c>
      <c r="C23" s="330" t="s">
        <v>650</v>
      </c>
      <c r="E23" s="331"/>
      <c r="F23" s="332"/>
      <c r="G23" s="332" t="str">
        <f t="shared" si="4"/>
        <v xml:space="preserve"> - </v>
      </c>
      <c r="H23" s="333"/>
      <c r="I23" s="334"/>
      <c r="J23" s="335" t="str">
        <f t="shared" si="3"/>
        <v xml:space="preserve"> - </v>
      </c>
      <c r="K23" s="335"/>
      <c r="L23" s="336"/>
      <c r="M23" s="336"/>
      <c r="N23" s="336"/>
      <c r="O23" s="336"/>
      <c r="P23" s="336"/>
      <c r="Q23" s="336"/>
      <c r="R23" s="336"/>
      <c r="S23" s="336"/>
      <c r="T23" s="336"/>
      <c r="U23" s="336"/>
      <c r="V23" s="336"/>
      <c r="W23" s="336"/>
      <c r="X23" s="336"/>
      <c r="Y23" s="336"/>
      <c r="Z23" s="336"/>
      <c r="AA23" s="336"/>
      <c r="AB23" s="336"/>
      <c r="AC23" s="336"/>
      <c r="AD23" s="336"/>
      <c r="AE23" s="336"/>
      <c r="AF23" s="336"/>
      <c r="AG23" s="336"/>
      <c r="AH23" s="336"/>
      <c r="AI23" s="336"/>
      <c r="AJ23" s="336"/>
      <c r="AK23" s="336"/>
      <c r="AL23" s="336"/>
      <c r="AM23" s="336"/>
      <c r="AN23" s="336"/>
      <c r="AO23" s="336"/>
      <c r="AP23" s="336"/>
      <c r="AQ23" s="336"/>
      <c r="AR23" s="336"/>
      <c r="AS23" s="336"/>
      <c r="AT23" s="336"/>
      <c r="AU23" s="336"/>
      <c r="AV23" s="336"/>
      <c r="AW23" s="336"/>
      <c r="AX23" s="336"/>
      <c r="AY23" s="336"/>
      <c r="AZ23" s="336"/>
      <c r="BA23" s="336"/>
      <c r="BB23" s="336"/>
      <c r="BC23" s="336"/>
      <c r="BD23" s="336"/>
      <c r="BE23" s="336"/>
      <c r="BF23" s="336"/>
      <c r="BG23" s="336"/>
      <c r="BH23" s="336"/>
      <c r="BI23" s="336"/>
      <c r="BJ23" s="336"/>
      <c r="BK23" s="336"/>
      <c r="BL23" s="336"/>
      <c r="BM23" s="336"/>
      <c r="BN23" s="336"/>
      <c r="BO23" s="337"/>
    </row>
    <row r="24" spans="1:67" s="320" customFormat="1">
      <c r="A24" s="281"/>
      <c r="B24" s="351"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C24" s="352" t="s">
        <v>651</v>
      </c>
      <c r="D24" s="353" t="s">
        <v>636</v>
      </c>
      <c r="E24" s="341"/>
      <c r="F24" s="388">
        <v>45323</v>
      </c>
      <c r="G24" s="389">
        <v>45382</v>
      </c>
      <c r="H24" s="390">
        <v>60</v>
      </c>
      <c r="I24" s="391">
        <v>0</v>
      </c>
      <c r="J24" s="399">
        <f t="shared" si="3"/>
        <v>42</v>
      </c>
      <c r="K24" s="317"/>
      <c r="L24" s="318"/>
      <c r="M24" s="318"/>
      <c r="N24" s="318"/>
      <c r="O24" s="318"/>
      <c r="P24" s="318"/>
      <c r="Q24" s="318"/>
      <c r="R24" s="318"/>
      <c r="S24" s="318"/>
      <c r="T24" s="318"/>
      <c r="U24" s="318"/>
      <c r="V24" s="318"/>
      <c r="W24" s="318"/>
      <c r="X24" s="318"/>
      <c r="Y24" s="318"/>
      <c r="Z24" s="318"/>
      <c r="AA24" s="318"/>
      <c r="AB24" s="318"/>
      <c r="AC24" s="318"/>
      <c r="AD24" s="318"/>
      <c r="AE24" s="318"/>
      <c r="AF24" s="318"/>
      <c r="AG24" s="318"/>
      <c r="AH24" s="318"/>
      <c r="AI24" s="318"/>
      <c r="AJ24" s="318"/>
      <c r="AK24" s="318"/>
      <c r="AL24" s="318"/>
      <c r="AM24" s="318"/>
      <c r="AN24" s="318"/>
      <c r="AO24" s="318"/>
      <c r="AP24" s="318"/>
      <c r="AQ24" s="318"/>
      <c r="AR24" s="318"/>
      <c r="AS24" s="318"/>
      <c r="AT24" s="318"/>
      <c r="AU24" s="318"/>
      <c r="AV24" s="318"/>
      <c r="AW24" s="318"/>
      <c r="AX24" s="318"/>
      <c r="AY24" s="318"/>
      <c r="AZ24" s="318"/>
      <c r="BA24" s="318"/>
      <c r="BB24" s="318"/>
      <c r="BC24" s="318"/>
      <c r="BD24" s="318"/>
      <c r="BE24" s="318"/>
      <c r="BF24" s="318"/>
      <c r="BG24" s="318"/>
      <c r="BH24" s="318"/>
      <c r="BI24" s="318"/>
      <c r="BJ24" s="318"/>
      <c r="BK24" s="318"/>
      <c r="BL24" s="318"/>
      <c r="BM24" s="318"/>
      <c r="BN24" s="318"/>
      <c r="BO24" s="319"/>
    </row>
    <row r="25" spans="1:67" s="320" customFormat="1">
      <c r="A25" s="281"/>
      <c r="B25" s="35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C25" s="355" t="s">
        <v>652</v>
      </c>
      <c r="D25" s="356" t="s">
        <v>636</v>
      </c>
      <c r="E25" s="341"/>
      <c r="F25" s="388">
        <v>45352</v>
      </c>
      <c r="G25" s="389">
        <v>45443</v>
      </c>
      <c r="H25" s="390">
        <v>90</v>
      </c>
      <c r="I25" s="391">
        <v>0</v>
      </c>
      <c r="J25" s="399">
        <f t="shared" si="3"/>
        <v>66</v>
      </c>
      <c r="K25" s="317"/>
      <c r="L25" s="318"/>
      <c r="M25" s="318"/>
      <c r="N25" s="318"/>
      <c r="O25" s="318"/>
      <c r="P25" s="318"/>
      <c r="Q25" s="318"/>
      <c r="R25" s="318"/>
      <c r="S25" s="318"/>
      <c r="T25" s="318"/>
      <c r="U25" s="318"/>
      <c r="V25" s="318"/>
      <c r="W25" s="318"/>
      <c r="X25" s="318"/>
      <c r="Y25" s="318"/>
      <c r="Z25" s="318"/>
      <c r="AA25" s="318"/>
      <c r="AB25" s="318"/>
      <c r="AC25" s="318"/>
      <c r="AD25" s="318"/>
      <c r="AE25" s="318"/>
      <c r="AF25" s="318"/>
      <c r="AG25" s="318"/>
      <c r="AH25" s="318"/>
      <c r="AI25" s="318"/>
      <c r="AJ25" s="318"/>
      <c r="AK25" s="318"/>
      <c r="AL25" s="318"/>
      <c r="AM25" s="318"/>
      <c r="AN25" s="318"/>
      <c r="AO25" s="318"/>
      <c r="AP25" s="318"/>
      <c r="AQ25" s="318"/>
      <c r="AR25" s="318"/>
      <c r="AS25" s="318"/>
      <c r="AT25" s="318"/>
      <c r="AU25" s="318"/>
      <c r="AV25" s="318"/>
      <c r="AW25" s="318"/>
      <c r="AX25" s="318"/>
      <c r="AY25" s="318"/>
      <c r="AZ25" s="318"/>
      <c r="BA25" s="318"/>
      <c r="BB25" s="318"/>
      <c r="BC25" s="318"/>
      <c r="BD25" s="318"/>
      <c r="BE25" s="318"/>
      <c r="BF25" s="318"/>
      <c r="BG25" s="318"/>
      <c r="BH25" s="318"/>
      <c r="BI25" s="318"/>
      <c r="BJ25" s="318"/>
      <c r="BK25" s="318"/>
      <c r="BL25" s="318"/>
      <c r="BM25" s="318"/>
      <c r="BN25" s="318"/>
      <c r="BO25" s="319"/>
    </row>
    <row r="26" spans="1:67" s="320" customFormat="1">
      <c r="A26" s="281"/>
      <c r="B26" s="35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C26" s="355" t="s">
        <v>653</v>
      </c>
      <c r="D26" s="356" t="s">
        <v>636</v>
      </c>
      <c r="E26" s="341"/>
      <c r="F26" s="388">
        <v>45352</v>
      </c>
      <c r="G26" s="389">
        <v>45443</v>
      </c>
      <c r="H26" s="390">
        <v>60</v>
      </c>
      <c r="I26" s="391">
        <v>0</v>
      </c>
      <c r="J26" s="399">
        <f t="shared" si="3"/>
        <v>66</v>
      </c>
      <c r="K26" s="317"/>
      <c r="L26" s="318"/>
      <c r="M26" s="318"/>
      <c r="N26" s="318"/>
      <c r="O26" s="318"/>
      <c r="P26" s="318"/>
      <c r="Q26" s="318"/>
      <c r="R26" s="318"/>
      <c r="S26" s="318"/>
      <c r="T26" s="318"/>
      <c r="U26" s="318"/>
      <c r="V26" s="318"/>
      <c r="W26" s="318"/>
      <c r="X26" s="318"/>
      <c r="Y26" s="318"/>
      <c r="Z26" s="318"/>
      <c r="AA26" s="318"/>
      <c r="AB26" s="318"/>
      <c r="AC26" s="318"/>
      <c r="AD26" s="318"/>
      <c r="AE26" s="318"/>
      <c r="AF26" s="318"/>
      <c r="AG26" s="318"/>
      <c r="AH26" s="318"/>
      <c r="AI26" s="318"/>
      <c r="AJ26" s="318"/>
      <c r="AK26" s="318"/>
      <c r="AL26" s="318"/>
      <c r="AM26" s="318"/>
      <c r="AN26" s="318"/>
      <c r="AO26" s="318"/>
      <c r="AP26" s="318"/>
      <c r="AQ26" s="318"/>
      <c r="AR26" s="318"/>
      <c r="AS26" s="318"/>
      <c r="AT26" s="318"/>
      <c r="AU26" s="318"/>
      <c r="AV26" s="318"/>
      <c r="AW26" s="318"/>
      <c r="AX26" s="318"/>
      <c r="AY26" s="318"/>
      <c r="AZ26" s="318"/>
      <c r="BA26" s="318"/>
      <c r="BB26" s="318"/>
      <c r="BC26" s="318"/>
      <c r="BD26" s="318"/>
      <c r="BE26" s="318"/>
      <c r="BF26" s="318"/>
      <c r="BG26" s="318"/>
      <c r="BH26" s="318"/>
      <c r="BI26" s="318"/>
      <c r="BJ26" s="318"/>
      <c r="BK26" s="318"/>
      <c r="BL26" s="318"/>
      <c r="BM26" s="318"/>
      <c r="BN26" s="318"/>
      <c r="BO26" s="319"/>
    </row>
    <row r="27" spans="1:67" s="320" customFormat="1">
      <c r="A27" s="281"/>
      <c r="B27" s="35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C27" s="355" t="s">
        <v>654</v>
      </c>
      <c r="D27" s="356" t="s">
        <v>636</v>
      </c>
      <c r="E27" s="341"/>
      <c r="F27" s="388">
        <v>45352</v>
      </c>
      <c r="G27" s="389">
        <v>45443</v>
      </c>
      <c r="H27" s="390">
        <v>90</v>
      </c>
      <c r="I27" s="391">
        <v>0</v>
      </c>
      <c r="J27" s="399">
        <f t="shared" si="3"/>
        <v>66</v>
      </c>
      <c r="K27" s="317"/>
      <c r="L27" s="318"/>
      <c r="M27" s="318"/>
      <c r="N27" s="318"/>
      <c r="O27" s="318"/>
      <c r="P27" s="318"/>
      <c r="Q27" s="318"/>
      <c r="R27" s="318"/>
      <c r="S27" s="318"/>
      <c r="T27" s="318"/>
      <c r="U27" s="318"/>
      <c r="V27" s="318"/>
      <c r="W27" s="318"/>
      <c r="X27" s="318"/>
      <c r="Y27" s="318"/>
      <c r="Z27" s="318"/>
      <c r="AA27" s="318"/>
      <c r="AB27" s="318"/>
      <c r="AC27" s="318"/>
      <c r="AD27" s="318"/>
      <c r="AE27" s="318"/>
      <c r="AF27" s="318"/>
      <c r="AG27" s="318"/>
      <c r="AH27" s="318"/>
      <c r="AI27" s="318"/>
      <c r="AJ27" s="318"/>
      <c r="AK27" s="318"/>
      <c r="AL27" s="318"/>
      <c r="AM27" s="318"/>
      <c r="AN27" s="318"/>
      <c r="AO27" s="318"/>
      <c r="AP27" s="318"/>
      <c r="AQ27" s="318"/>
      <c r="AR27" s="318"/>
      <c r="AS27" s="318"/>
      <c r="AT27" s="318"/>
      <c r="AU27" s="318"/>
      <c r="AV27" s="318"/>
      <c r="AW27" s="318"/>
      <c r="AX27" s="318"/>
      <c r="AY27" s="318"/>
      <c r="AZ27" s="318"/>
      <c r="BA27" s="318"/>
      <c r="BB27" s="318"/>
      <c r="BC27" s="318"/>
      <c r="BD27" s="318"/>
      <c r="BE27" s="318"/>
      <c r="BF27" s="318"/>
      <c r="BG27" s="318"/>
      <c r="BH27" s="318"/>
      <c r="BI27" s="318"/>
      <c r="BJ27" s="318"/>
      <c r="BK27" s="318"/>
      <c r="BL27" s="318"/>
      <c r="BM27" s="318"/>
      <c r="BN27" s="318"/>
      <c r="BO27" s="319"/>
    </row>
    <row r="28" spans="1:67" s="320" customFormat="1" ht="21.6">
      <c r="A28" s="281"/>
      <c r="B28" s="35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C28" s="358" t="s">
        <v>655</v>
      </c>
      <c r="D28" s="359" t="s">
        <v>636</v>
      </c>
      <c r="E28" s="341"/>
      <c r="F28" s="388">
        <v>45352</v>
      </c>
      <c r="G28" s="389">
        <v>45443</v>
      </c>
      <c r="H28" s="390">
        <v>90</v>
      </c>
      <c r="I28" s="391">
        <v>0</v>
      </c>
      <c r="J28" s="399">
        <f t="shared" si="3"/>
        <v>66</v>
      </c>
      <c r="K28" s="317"/>
      <c r="L28" s="318"/>
      <c r="M28" s="318"/>
      <c r="N28" s="318"/>
      <c r="O28" s="318"/>
      <c r="P28" s="318"/>
      <c r="Q28" s="318"/>
      <c r="R28" s="318"/>
      <c r="S28" s="318"/>
      <c r="T28" s="318"/>
      <c r="U28" s="318"/>
      <c r="V28" s="318"/>
      <c r="W28" s="318"/>
      <c r="X28" s="318"/>
      <c r="Y28" s="318"/>
      <c r="Z28" s="318"/>
      <c r="AA28" s="318"/>
      <c r="AB28" s="318"/>
      <c r="AC28" s="318"/>
      <c r="AD28" s="318"/>
      <c r="AE28" s="318"/>
      <c r="AF28" s="318"/>
      <c r="AG28" s="318"/>
      <c r="AH28" s="318"/>
      <c r="AI28" s="318"/>
      <c r="AJ28" s="318"/>
      <c r="AK28" s="318"/>
      <c r="AL28" s="318"/>
      <c r="AM28" s="318"/>
      <c r="AN28" s="318"/>
      <c r="AO28" s="318"/>
      <c r="AP28" s="318"/>
      <c r="AQ28" s="318"/>
      <c r="AR28" s="318"/>
      <c r="AS28" s="318"/>
      <c r="AT28" s="318"/>
      <c r="AU28" s="318"/>
      <c r="AV28" s="318"/>
      <c r="AW28" s="318"/>
      <c r="AX28" s="318"/>
      <c r="AY28" s="318"/>
      <c r="AZ28" s="318"/>
      <c r="BA28" s="318"/>
      <c r="BB28" s="318"/>
      <c r="BC28" s="318"/>
      <c r="BD28" s="318"/>
      <c r="BE28" s="318"/>
      <c r="BF28" s="318"/>
      <c r="BG28" s="318"/>
      <c r="BH28" s="318"/>
      <c r="BI28" s="318"/>
      <c r="BJ28" s="318"/>
      <c r="BK28" s="318"/>
      <c r="BL28" s="318"/>
      <c r="BM28" s="318"/>
      <c r="BN28" s="318"/>
      <c r="BO28" s="319"/>
    </row>
    <row r="29" spans="1:67" s="312" customFormat="1">
      <c r="A29" s="281"/>
      <c r="B29" s="329" t="str">
        <f>IF(ISERROR(VALUE(SUBSTITUTE(prevWBS,".",""))),"1",IF(ISERROR(FIND("`",SUBSTITUTE(prevWBS,".","`",1))),TEXT(VALUE(prevWBS)+1,"#"),TEXT(VALUE(LEFT(prevWBS,FIND("`",SUBSTITUTE(prevWBS,".","`",1))-1))+1,"#")))</f>
        <v>5</v>
      </c>
      <c r="C29" s="330" t="s">
        <v>656</v>
      </c>
      <c r="E29" s="331"/>
      <c r="F29" s="332"/>
      <c r="G29" s="332" t="str">
        <f t="shared" ref="G29" si="5">IF(ISBLANK(F29)," - ",IF(H29=0,F29,F29+H29-1))</f>
        <v xml:space="preserve"> - </v>
      </c>
      <c r="H29" s="333"/>
      <c r="I29" s="334"/>
      <c r="J29" s="335" t="str">
        <f t="shared" si="3"/>
        <v xml:space="preserve"> - </v>
      </c>
      <c r="K29" s="335"/>
      <c r="L29" s="336"/>
      <c r="M29" s="336"/>
      <c r="N29" s="336"/>
      <c r="O29" s="336"/>
      <c r="P29" s="336"/>
      <c r="Q29" s="336"/>
      <c r="R29" s="336"/>
      <c r="S29" s="336"/>
      <c r="T29" s="336"/>
      <c r="U29" s="336"/>
      <c r="V29" s="336"/>
      <c r="W29" s="336"/>
      <c r="X29" s="336"/>
      <c r="Y29" s="336"/>
      <c r="Z29" s="336"/>
      <c r="AA29" s="336"/>
      <c r="AB29" s="336"/>
      <c r="AC29" s="336"/>
      <c r="AD29" s="336"/>
      <c r="AE29" s="336"/>
      <c r="AF29" s="336"/>
      <c r="AG29" s="336"/>
      <c r="AH29" s="336"/>
      <c r="AI29" s="336"/>
      <c r="AJ29" s="336"/>
      <c r="AK29" s="336"/>
      <c r="AL29" s="336"/>
      <c r="AM29" s="336"/>
      <c r="AN29" s="336"/>
      <c r="AO29" s="336"/>
      <c r="AP29" s="336"/>
      <c r="AQ29" s="336"/>
      <c r="AR29" s="336"/>
      <c r="AS29" s="336"/>
      <c r="AT29" s="336"/>
      <c r="AU29" s="336"/>
      <c r="AV29" s="336"/>
      <c r="AW29" s="336"/>
      <c r="AX29" s="336"/>
      <c r="AY29" s="336"/>
      <c r="AZ29" s="336"/>
      <c r="BA29" s="336"/>
      <c r="BB29" s="336"/>
      <c r="BC29" s="336"/>
      <c r="BD29" s="336"/>
      <c r="BE29" s="336"/>
      <c r="BF29" s="336"/>
      <c r="BG29" s="336"/>
      <c r="BH29" s="336"/>
      <c r="BI29" s="336"/>
      <c r="BJ29" s="336"/>
      <c r="BK29" s="336"/>
      <c r="BL29" s="336"/>
      <c r="BM29" s="336"/>
      <c r="BN29" s="336"/>
      <c r="BO29" s="337"/>
    </row>
    <row r="30" spans="1:67" s="320" customFormat="1">
      <c r="A30" s="281"/>
      <c r="B30" s="360" t="str">
        <f t="shared" ref="B30:B40" si="6">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C30" s="361" t="s">
        <v>657</v>
      </c>
      <c r="D30" s="362" t="s">
        <v>636</v>
      </c>
      <c r="E30" s="341"/>
      <c r="F30" s="388">
        <v>45323</v>
      </c>
      <c r="G30" s="389">
        <v>45350</v>
      </c>
      <c r="H30" s="390">
        <v>28</v>
      </c>
      <c r="I30" s="391">
        <v>0</v>
      </c>
      <c r="J30" s="399">
        <f t="shared" si="3"/>
        <v>20</v>
      </c>
      <c r="K30" s="317"/>
      <c r="L30" s="318"/>
      <c r="M30" s="318"/>
      <c r="N30" s="318"/>
      <c r="O30" s="318"/>
      <c r="P30" s="318"/>
      <c r="Q30" s="318"/>
      <c r="R30" s="318"/>
      <c r="S30" s="318"/>
      <c r="T30" s="318"/>
      <c r="U30" s="318"/>
      <c r="V30" s="318"/>
      <c r="W30" s="318"/>
      <c r="X30" s="318"/>
      <c r="Y30" s="318"/>
      <c r="Z30" s="318"/>
      <c r="AA30" s="318"/>
      <c r="AB30" s="318"/>
      <c r="AC30" s="318"/>
      <c r="AD30" s="318"/>
      <c r="AE30" s="318"/>
      <c r="AF30" s="318"/>
      <c r="AG30" s="318"/>
      <c r="AH30" s="318"/>
      <c r="AI30" s="318"/>
      <c r="AJ30" s="318"/>
      <c r="AK30" s="318"/>
      <c r="AL30" s="318"/>
      <c r="AM30" s="318"/>
      <c r="AN30" s="318"/>
      <c r="AO30" s="318"/>
      <c r="AP30" s="318"/>
      <c r="AQ30" s="318"/>
      <c r="AR30" s="318"/>
      <c r="AS30" s="318"/>
      <c r="AT30" s="318"/>
      <c r="AU30" s="318"/>
      <c r="AV30" s="318"/>
      <c r="AW30" s="318"/>
      <c r="AX30" s="318"/>
      <c r="AY30" s="318"/>
      <c r="AZ30" s="318"/>
      <c r="BA30" s="318"/>
      <c r="BB30" s="318"/>
      <c r="BC30" s="318"/>
      <c r="BD30" s="318"/>
      <c r="BE30" s="318"/>
      <c r="BF30" s="318"/>
      <c r="BG30" s="318"/>
      <c r="BH30" s="318"/>
      <c r="BI30" s="318"/>
      <c r="BJ30" s="318"/>
      <c r="BK30" s="318"/>
      <c r="BL30" s="318"/>
      <c r="BM30" s="318"/>
      <c r="BN30" s="318"/>
      <c r="BO30" s="319"/>
    </row>
    <row r="31" spans="1:67" s="320" customFormat="1">
      <c r="A31" s="281"/>
      <c r="B31" s="363" t="str">
        <f t="shared" si="6"/>
        <v>5.2</v>
      </c>
      <c r="C31" s="364" t="s">
        <v>658</v>
      </c>
      <c r="D31" s="365" t="s">
        <v>636</v>
      </c>
      <c r="E31" s="341"/>
      <c r="F31" s="388">
        <v>45323</v>
      </c>
      <c r="G31" s="389">
        <v>45350</v>
      </c>
      <c r="H31" s="390">
        <v>28</v>
      </c>
      <c r="I31" s="391">
        <v>0</v>
      </c>
      <c r="J31" s="399">
        <f t="shared" si="3"/>
        <v>20</v>
      </c>
      <c r="K31" s="317"/>
      <c r="L31" s="318"/>
      <c r="M31" s="318"/>
      <c r="N31" s="318"/>
      <c r="O31" s="318"/>
      <c r="P31" s="318"/>
      <c r="Q31" s="318"/>
      <c r="R31" s="318"/>
      <c r="S31" s="318"/>
      <c r="T31" s="318"/>
      <c r="U31" s="318"/>
      <c r="V31" s="318"/>
      <c r="W31" s="318"/>
      <c r="X31" s="318"/>
      <c r="Y31" s="318"/>
      <c r="Z31" s="318"/>
      <c r="AA31" s="318"/>
      <c r="AB31" s="318"/>
      <c r="AC31" s="318"/>
      <c r="AD31" s="318"/>
      <c r="AE31" s="318"/>
      <c r="AF31" s="318"/>
      <c r="AG31" s="318"/>
      <c r="AH31" s="318"/>
      <c r="AI31" s="318"/>
      <c r="AJ31" s="318"/>
      <c r="AK31" s="318"/>
      <c r="AL31" s="318"/>
      <c r="AM31" s="318"/>
      <c r="AN31" s="318"/>
      <c r="AO31" s="318"/>
      <c r="AP31" s="318"/>
      <c r="AQ31" s="318"/>
      <c r="AR31" s="318"/>
      <c r="AS31" s="318"/>
      <c r="AT31" s="318"/>
      <c r="AU31" s="318"/>
      <c r="AV31" s="318"/>
      <c r="AW31" s="318"/>
      <c r="AX31" s="318"/>
      <c r="AY31" s="318"/>
      <c r="AZ31" s="318"/>
      <c r="BA31" s="318"/>
      <c r="BB31" s="318"/>
      <c r="BC31" s="318"/>
      <c r="BD31" s="318"/>
      <c r="BE31" s="318"/>
      <c r="BF31" s="318"/>
      <c r="BG31" s="318"/>
      <c r="BH31" s="318"/>
      <c r="BI31" s="318"/>
      <c r="BJ31" s="318"/>
      <c r="BK31" s="318"/>
      <c r="BL31" s="318"/>
      <c r="BM31" s="318"/>
      <c r="BN31" s="318"/>
      <c r="BO31" s="319"/>
    </row>
    <row r="32" spans="1:67" s="320" customFormat="1">
      <c r="A32" s="281"/>
      <c r="B32" s="363" t="str">
        <f t="shared" si="6"/>
        <v>5.3</v>
      </c>
      <c r="C32" s="364" t="s">
        <v>659</v>
      </c>
      <c r="D32" s="365" t="s">
        <v>636</v>
      </c>
      <c r="E32" s="341"/>
      <c r="F32" s="388">
        <v>45323</v>
      </c>
      <c r="G32" s="389">
        <v>45350</v>
      </c>
      <c r="H32" s="390">
        <v>28</v>
      </c>
      <c r="I32" s="391">
        <v>0</v>
      </c>
      <c r="J32" s="399">
        <f t="shared" si="3"/>
        <v>20</v>
      </c>
      <c r="K32" s="317"/>
      <c r="L32" s="318"/>
      <c r="M32" s="318"/>
      <c r="N32" s="318"/>
      <c r="O32" s="318"/>
      <c r="P32" s="318"/>
      <c r="Q32" s="318"/>
      <c r="R32" s="318"/>
      <c r="S32" s="318"/>
      <c r="T32" s="318"/>
      <c r="U32" s="318"/>
      <c r="V32" s="318"/>
      <c r="W32" s="318"/>
      <c r="X32" s="318"/>
      <c r="Y32" s="318"/>
      <c r="Z32" s="318"/>
      <c r="AA32" s="318"/>
      <c r="AB32" s="318"/>
      <c r="AC32" s="318"/>
      <c r="AD32" s="318"/>
      <c r="AE32" s="318"/>
      <c r="AF32" s="318"/>
      <c r="AG32" s="318"/>
      <c r="AH32" s="318"/>
      <c r="AI32" s="318"/>
      <c r="AJ32" s="318"/>
      <c r="AK32" s="318"/>
      <c r="AL32" s="318"/>
      <c r="AM32" s="318"/>
      <c r="AN32" s="318"/>
      <c r="AO32" s="318"/>
      <c r="AP32" s="318"/>
      <c r="AQ32" s="318"/>
      <c r="AR32" s="318"/>
      <c r="AS32" s="318"/>
      <c r="AT32" s="318"/>
      <c r="AU32" s="318"/>
      <c r="AV32" s="318"/>
      <c r="AW32" s="318"/>
      <c r="AX32" s="318"/>
      <c r="AY32" s="318"/>
      <c r="AZ32" s="318"/>
      <c r="BA32" s="318"/>
      <c r="BB32" s="318"/>
      <c r="BC32" s="318"/>
      <c r="BD32" s="318"/>
      <c r="BE32" s="318"/>
      <c r="BF32" s="318"/>
      <c r="BG32" s="318"/>
      <c r="BH32" s="318"/>
      <c r="BI32" s="318"/>
      <c r="BJ32" s="318"/>
      <c r="BK32" s="318"/>
      <c r="BL32" s="318"/>
      <c r="BM32" s="318"/>
      <c r="BN32" s="318"/>
      <c r="BO32" s="319"/>
    </row>
    <row r="33" spans="1:67" s="320" customFormat="1">
      <c r="A33" s="281"/>
      <c r="B33" s="363" t="str">
        <f t="shared" si="6"/>
        <v>5.4</v>
      </c>
      <c r="C33" s="364" t="s">
        <v>660</v>
      </c>
      <c r="D33" s="365" t="s">
        <v>636</v>
      </c>
      <c r="E33" s="341"/>
      <c r="F33" s="388">
        <v>45352</v>
      </c>
      <c r="G33" s="389">
        <v>45382</v>
      </c>
      <c r="H33" s="390">
        <v>30</v>
      </c>
      <c r="I33" s="391">
        <v>0</v>
      </c>
      <c r="J33" s="399">
        <f t="shared" si="3"/>
        <v>21</v>
      </c>
      <c r="K33" s="317"/>
      <c r="L33" s="318"/>
      <c r="M33" s="318"/>
      <c r="N33" s="318"/>
      <c r="O33" s="318"/>
      <c r="P33" s="318"/>
      <c r="Q33" s="318"/>
      <c r="R33" s="318"/>
      <c r="S33" s="318"/>
      <c r="T33" s="318"/>
      <c r="U33" s="318"/>
      <c r="V33" s="318"/>
      <c r="W33" s="318"/>
      <c r="X33" s="318"/>
      <c r="Y33" s="318"/>
      <c r="Z33" s="318"/>
      <c r="AA33" s="318"/>
      <c r="AB33" s="318"/>
      <c r="AC33" s="318"/>
      <c r="AD33" s="318"/>
      <c r="AE33" s="318"/>
      <c r="AF33" s="318"/>
      <c r="AG33" s="318"/>
      <c r="AH33" s="318"/>
      <c r="AI33" s="318"/>
      <c r="AJ33" s="318"/>
      <c r="AK33" s="318"/>
      <c r="AL33" s="318"/>
      <c r="AM33" s="318"/>
      <c r="AN33" s="318"/>
      <c r="AO33" s="318"/>
      <c r="AP33" s="318"/>
      <c r="AQ33" s="318"/>
      <c r="AR33" s="318"/>
      <c r="AS33" s="318"/>
      <c r="AT33" s="318"/>
      <c r="AU33" s="318"/>
      <c r="AV33" s="318"/>
      <c r="AW33" s="318"/>
      <c r="AX33" s="318"/>
      <c r="AY33" s="318"/>
      <c r="AZ33" s="318"/>
      <c r="BA33" s="318"/>
      <c r="BB33" s="318"/>
      <c r="BC33" s="318"/>
      <c r="BD33" s="318"/>
      <c r="BE33" s="318"/>
      <c r="BF33" s="318"/>
      <c r="BG33" s="318"/>
      <c r="BH33" s="318"/>
      <c r="BI33" s="318"/>
      <c r="BJ33" s="318"/>
      <c r="BK33" s="318"/>
      <c r="BL33" s="318"/>
      <c r="BM33" s="318"/>
      <c r="BN33" s="318"/>
      <c r="BO33" s="319"/>
    </row>
    <row r="34" spans="1:67" s="320" customFormat="1">
      <c r="A34" s="281"/>
      <c r="B34" s="363" t="str">
        <f t="shared" si="6"/>
        <v>5.5</v>
      </c>
      <c r="C34" s="364" t="s">
        <v>661</v>
      </c>
      <c r="D34" s="365" t="s">
        <v>636</v>
      </c>
      <c r="E34" s="341"/>
      <c r="F34" s="388">
        <v>45383</v>
      </c>
      <c r="G34" s="389">
        <v>45412</v>
      </c>
      <c r="H34" s="390">
        <v>30</v>
      </c>
      <c r="I34" s="391">
        <v>0</v>
      </c>
      <c r="J34" s="399">
        <f t="shared" si="3"/>
        <v>22</v>
      </c>
      <c r="K34" s="317"/>
      <c r="L34" s="318"/>
      <c r="M34" s="318"/>
      <c r="N34" s="318"/>
      <c r="O34" s="318"/>
      <c r="P34" s="318"/>
      <c r="Q34" s="318"/>
      <c r="R34" s="318"/>
      <c r="S34" s="318"/>
      <c r="T34" s="318"/>
      <c r="U34" s="318"/>
      <c r="V34" s="318"/>
      <c r="W34" s="318"/>
      <c r="X34" s="318"/>
      <c r="Y34" s="318"/>
      <c r="Z34" s="318"/>
      <c r="AA34" s="318"/>
      <c r="AB34" s="318"/>
      <c r="AC34" s="318"/>
      <c r="AD34" s="318"/>
      <c r="AE34" s="318"/>
      <c r="AF34" s="318"/>
      <c r="AG34" s="318"/>
      <c r="AH34" s="318"/>
      <c r="AI34" s="318"/>
      <c r="AJ34" s="318"/>
      <c r="AK34" s="318"/>
      <c r="AL34" s="318"/>
      <c r="AM34" s="318"/>
      <c r="AN34" s="318"/>
      <c r="AO34" s="318"/>
      <c r="AP34" s="318"/>
      <c r="AQ34" s="318"/>
      <c r="AR34" s="318"/>
      <c r="AS34" s="318"/>
      <c r="AT34" s="318"/>
      <c r="AU34" s="318"/>
      <c r="AV34" s="318"/>
      <c r="AW34" s="318"/>
      <c r="AX34" s="318"/>
      <c r="AY34" s="318"/>
      <c r="AZ34" s="318"/>
      <c r="BA34" s="318"/>
      <c r="BB34" s="318"/>
      <c r="BC34" s="318"/>
      <c r="BD34" s="318"/>
      <c r="BE34" s="318"/>
      <c r="BF34" s="318"/>
      <c r="BG34" s="318"/>
      <c r="BH34" s="318"/>
      <c r="BI34" s="318"/>
      <c r="BJ34" s="318"/>
      <c r="BK34" s="318"/>
      <c r="BL34" s="318"/>
      <c r="BM34" s="318"/>
      <c r="BN34" s="318"/>
      <c r="BO34" s="319"/>
    </row>
    <row r="35" spans="1:67" s="320" customFormat="1">
      <c r="A35" s="281"/>
      <c r="B35" s="363" t="str">
        <f t="shared" si="6"/>
        <v>5.6</v>
      </c>
      <c r="C35" s="364" t="s">
        <v>662</v>
      </c>
      <c r="D35" s="365" t="s">
        <v>636</v>
      </c>
      <c r="E35" s="341"/>
      <c r="F35" s="388">
        <v>45383</v>
      </c>
      <c r="G35" s="389">
        <v>45412</v>
      </c>
      <c r="H35" s="390">
        <v>30</v>
      </c>
      <c r="I35" s="391">
        <v>0</v>
      </c>
      <c r="J35" s="399">
        <f t="shared" si="3"/>
        <v>22</v>
      </c>
      <c r="K35" s="317"/>
      <c r="L35" s="318"/>
      <c r="M35" s="318"/>
      <c r="N35" s="318"/>
      <c r="O35" s="318"/>
      <c r="P35" s="318"/>
      <c r="Q35" s="318"/>
      <c r="R35" s="318"/>
      <c r="S35" s="318"/>
      <c r="T35" s="318"/>
      <c r="U35" s="318"/>
      <c r="V35" s="318"/>
      <c r="W35" s="318"/>
      <c r="X35" s="318"/>
      <c r="Y35" s="318"/>
      <c r="Z35" s="318"/>
      <c r="AA35" s="318"/>
      <c r="AB35" s="318"/>
      <c r="AC35" s="318"/>
      <c r="AD35" s="318"/>
      <c r="AE35" s="318"/>
      <c r="AF35" s="318"/>
      <c r="AG35" s="318"/>
      <c r="AH35" s="318"/>
      <c r="AI35" s="318"/>
      <c r="AJ35" s="318"/>
      <c r="AK35" s="318"/>
      <c r="AL35" s="318"/>
      <c r="AM35" s="318"/>
      <c r="AN35" s="318"/>
      <c r="AO35" s="318"/>
      <c r="AP35" s="318"/>
      <c r="AQ35" s="318"/>
      <c r="AR35" s="318"/>
      <c r="AS35" s="318"/>
      <c r="AT35" s="318"/>
      <c r="AU35" s="318"/>
      <c r="AV35" s="318"/>
      <c r="AW35" s="318"/>
      <c r="AX35" s="318"/>
      <c r="AY35" s="318"/>
      <c r="AZ35" s="318"/>
      <c r="BA35" s="318"/>
      <c r="BB35" s="318"/>
      <c r="BC35" s="318"/>
      <c r="BD35" s="318"/>
      <c r="BE35" s="318"/>
      <c r="BF35" s="318"/>
      <c r="BG35" s="318"/>
      <c r="BH35" s="318"/>
      <c r="BI35" s="318"/>
      <c r="BJ35" s="318"/>
      <c r="BK35" s="318"/>
      <c r="BL35" s="318"/>
      <c r="BM35" s="318"/>
      <c r="BN35" s="318"/>
      <c r="BO35" s="319"/>
    </row>
    <row r="36" spans="1:67" s="320" customFormat="1">
      <c r="A36" s="281"/>
      <c r="B36" s="363" t="str">
        <f t="shared" si="6"/>
        <v>5.7</v>
      </c>
      <c r="C36" s="364" t="s">
        <v>663</v>
      </c>
      <c r="D36" s="365" t="s">
        <v>636</v>
      </c>
      <c r="E36" s="341"/>
      <c r="F36" s="388">
        <v>45383</v>
      </c>
      <c r="G36" s="389">
        <v>45412</v>
      </c>
      <c r="H36" s="390">
        <v>30</v>
      </c>
      <c r="I36" s="391">
        <v>0</v>
      </c>
      <c r="J36" s="399">
        <f t="shared" si="3"/>
        <v>22</v>
      </c>
      <c r="K36" s="317"/>
      <c r="L36" s="318"/>
      <c r="M36" s="318"/>
      <c r="N36" s="318"/>
      <c r="O36" s="318"/>
      <c r="P36" s="318"/>
      <c r="Q36" s="318"/>
      <c r="R36" s="318"/>
      <c r="S36" s="318"/>
      <c r="T36" s="318"/>
      <c r="U36" s="318"/>
      <c r="V36" s="318"/>
      <c r="W36" s="318"/>
      <c r="X36" s="318"/>
      <c r="Y36" s="318"/>
      <c r="Z36" s="318"/>
      <c r="AA36" s="318"/>
      <c r="AB36" s="318"/>
      <c r="AC36" s="318"/>
      <c r="AD36" s="318"/>
      <c r="AE36" s="318"/>
      <c r="AF36" s="318"/>
      <c r="AG36" s="318"/>
      <c r="AH36" s="318"/>
      <c r="AI36" s="318"/>
      <c r="AJ36" s="318"/>
      <c r="AK36" s="318"/>
      <c r="AL36" s="318"/>
      <c r="AM36" s="318"/>
      <c r="AN36" s="318"/>
      <c r="AO36" s="318"/>
      <c r="AP36" s="318"/>
      <c r="AQ36" s="318"/>
      <c r="AR36" s="318"/>
      <c r="AS36" s="318"/>
      <c r="AT36" s="318"/>
      <c r="AU36" s="318"/>
      <c r="AV36" s="318"/>
      <c r="AW36" s="318"/>
      <c r="AX36" s="318"/>
      <c r="AY36" s="318"/>
      <c r="AZ36" s="318"/>
      <c r="BA36" s="318"/>
      <c r="BB36" s="318"/>
      <c r="BC36" s="318"/>
      <c r="BD36" s="318"/>
      <c r="BE36" s="318"/>
      <c r="BF36" s="318"/>
      <c r="BG36" s="318"/>
      <c r="BH36" s="318"/>
      <c r="BI36" s="318"/>
      <c r="BJ36" s="318"/>
      <c r="BK36" s="318"/>
      <c r="BL36" s="318"/>
      <c r="BM36" s="318"/>
      <c r="BN36" s="318"/>
      <c r="BO36" s="319"/>
    </row>
    <row r="37" spans="1:67" s="320" customFormat="1">
      <c r="A37" s="281"/>
      <c r="B37" s="363" t="str">
        <f t="shared" si="6"/>
        <v>5.8</v>
      </c>
      <c r="C37" s="364" t="s">
        <v>664</v>
      </c>
      <c r="D37" s="365" t="s">
        <v>636</v>
      </c>
      <c r="E37" s="341"/>
      <c r="F37" s="388">
        <v>45383</v>
      </c>
      <c r="G37" s="400">
        <f t="shared" ref="G37" si="7">IF(ISBLANK(F37)," - ",IF(H37=0,F37,F37+H37-1))</f>
        <v>45412</v>
      </c>
      <c r="H37" s="390">
        <v>30</v>
      </c>
      <c r="I37" s="391">
        <v>0</v>
      </c>
      <c r="J37" s="399">
        <f t="shared" si="3"/>
        <v>22</v>
      </c>
      <c r="K37" s="317"/>
      <c r="L37" s="318"/>
      <c r="M37" s="318"/>
      <c r="N37" s="318"/>
      <c r="O37" s="318"/>
      <c r="P37" s="318"/>
      <c r="Q37" s="318"/>
      <c r="R37" s="318"/>
      <c r="S37" s="318"/>
      <c r="T37" s="318"/>
      <c r="U37" s="318"/>
      <c r="V37" s="318"/>
      <c r="W37" s="318"/>
      <c r="X37" s="318"/>
      <c r="Y37" s="318"/>
      <c r="Z37" s="318"/>
      <c r="AA37" s="318"/>
      <c r="AB37" s="318"/>
      <c r="AC37" s="318"/>
      <c r="AD37" s="318"/>
      <c r="AE37" s="318"/>
      <c r="AF37" s="318"/>
      <c r="AG37" s="318"/>
      <c r="AH37" s="318"/>
      <c r="AI37" s="318"/>
      <c r="AJ37" s="318"/>
      <c r="AK37" s="318"/>
      <c r="AL37" s="318"/>
      <c r="AM37" s="318"/>
      <c r="AN37" s="318"/>
      <c r="AO37" s="318"/>
      <c r="AP37" s="318"/>
      <c r="AQ37" s="318"/>
      <c r="AR37" s="318"/>
      <c r="AS37" s="318"/>
      <c r="AT37" s="318"/>
      <c r="AU37" s="318"/>
      <c r="AV37" s="318"/>
      <c r="AW37" s="318"/>
      <c r="AX37" s="318"/>
      <c r="AY37" s="318"/>
      <c r="AZ37" s="318"/>
      <c r="BA37" s="318"/>
      <c r="BB37" s="318"/>
      <c r="BC37" s="318"/>
      <c r="BD37" s="318"/>
      <c r="BE37" s="318"/>
      <c r="BF37" s="318"/>
      <c r="BG37" s="318"/>
      <c r="BH37" s="318"/>
      <c r="BI37" s="318"/>
      <c r="BJ37" s="318"/>
      <c r="BK37" s="318"/>
      <c r="BL37" s="318"/>
      <c r="BM37" s="318"/>
      <c r="BN37" s="318"/>
      <c r="BO37" s="319"/>
    </row>
    <row r="38" spans="1:67" s="320" customFormat="1">
      <c r="A38" s="281"/>
      <c r="B38" s="363" t="str">
        <f t="shared" si="6"/>
        <v>5.9</v>
      </c>
      <c r="C38" s="364" t="s">
        <v>665</v>
      </c>
      <c r="D38" s="365" t="s">
        <v>636</v>
      </c>
      <c r="E38" s="341"/>
      <c r="F38" s="388">
        <v>45383</v>
      </c>
      <c r="G38" s="389">
        <v>45412</v>
      </c>
      <c r="H38" s="390">
        <v>30</v>
      </c>
      <c r="I38" s="391">
        <v>0</v>
      </c>
      <c r="J38" s="399">
        <f t="shared" si="3"/>
        <v>22</v>
      </c>
      <c r="K38" s="317"/>
      <c r="L38" s="318"/>
      <c r="M38" s="318"/>
      <c r="N38" s="318"/>
      <c r="O38" s="318"/>
      <c r="P38" s="318"/>
      <c r="Q38" s="318"/>
      <c r="R38" s="318"/>
      <c r="S38" s="318"/>
      <c r="T38" s="318"/>
      <c r="U38" s="318"/>
      <c r="V38" s="318"/>
      <c r="W38" s="318"/>
      <c r="X38" s="318"/>
      <c r="Y38" s="318"/>
      <c r="Z38" s="318"/>
      <c r="AA38" s="318"/>
      <c r="AB38" s="318"/>
      <c r="AC38" s="318"/>
      <c r="AD38" s="318"/>
      <c r="AE38" s="318"/>
      <c r="AF38" s="318"/>
      <c r="AG38" s="318"/>
      <c r="AH38" s="318"/>
      <c r="AI38" s="318"/>
      <c r="AJ38" s="318"/>
      <c r="AK38" s="318"/>
      <c r="AL38" s="318"/>
      <c r="AM38" s="318"/>
      <c r="AN38" s="318"/>
      <c r="AO38" s="318"/>
      <c r="AP38" s="318"/>
      <c r="AQ38" s="318"/>
      <c r="AR38" s="318"/>
      <c r="AS38" s="318"/>
      <c r="AT38" s="318"/>
      <c r="AU38" s="318"/>
      <c r="AV38" s="318"/>
      <c r="AW38" s="318"/>
      <c r="AX38" s="318"/>
      <c r="AY38" s="318"/>
      <c r="AZ38" s="318"/>
      <c r="BA38" s="318"/>
      <c r="BB38" s="318"/>
      <c r="BC38" s="318"/>
      <c r="BD38" s="318"/>
      <c r="BE38" s="318"/>
      <c r="BF38" s="318"/>
      <c r="BG38" s="318"/>
      <c r="BH38" s="318"/>
      <c r="BI38" s="318"/>
      <c r="BJ38" s="318"/>
      <c r="BK38" s="318"/>
      <c r="BL38" s="318"/>
      <c r="BM38" s="318"/>
      <c r="BN38" s="318"/>
      <c r="BO38" s="319"/>
    </row>
    <row r="39" spans="1:67" s="320" customFormat="1">
      <c r="A39" s="281"/>
      <c r="B39" s="363" t="str">
        <f t="shared" si="6"/>
        <v>5.10</v>
      </c>
      <c r="C39" s="364" t="s">
        <v>666</v>
      </c>
      <c r="D39" s="365" t="s">
        <v>636</v>
      </c>
      <c r="E39" s="341"/>
      <c r="F39" s="388">
        <v>45383</v>
      </c>
      <c r="G39" s="389">
        <v>45412</v>
      </c>
      <c r="H39" s="390">
        <v>30</v>
      </c>
      <c r="I39" s="391">
        <v>0</v>
      </c>
      <c r="J39" s="399">
        <f t="shared" si="3"/>
        <v>22</v>
      </c>
      <c r="K39" s="317"/>
      <c r="L39" s="318"/>
      <c r="M39" s="318"/>
      <c r="N39" s="318"/>
      <c r="O39" s="318"/>
      <c r="P39" s="318"/>
      <c r="Q39" s="318"/>
      <c r="R39" s="318"/>
      <c r="S39" s="318"/>
      <c r="T39" s="318"/>
      <c r="U39" s="318"/>
      <c r="V39" s="318"/>
      <c r="W39" s="318"/>
      <c r="X39" s="318"/>
      <c r="Y39" s="318"/>
      <c r="Z39" s="318"/>
      <c r="AA39" s="318"/>
      <c r="AB39" s="318"/>
      <c r="AC39" s="318"/>
      <c r="AD39" s="318"/>
      <c r="AE39" s="318"/>
      <c r="AF39" s="318"/>
      <c r="AG39" s="318"/>
      <c r="AH39" s="318"/>
      <c r="AI39" s="318"/>
      <c r="AJ39" s="318"/>
      <c r="AK39" s="318"/>
      <c r="AL39" s="318"/>
      <c r="AM39" s="318"/>
      <c r="AN39" s="318"/>
      <c r="AO39" s="318"/>
      <c r="AP39" s="318"/>
      <c r="AQ39" s="318"/>
      <c r="AR39" s="318"/>
      <c r="AS39" s="318"/>
      <c r="AT39" s="318"/>
      <c r="AU39" s="318"/>
      <c r="AV39" s="318"/>
      <c r="AW39" s="318"/>
      <c r="AX39" s="318"/>
      <c r="AY39" s="318"/>
      <c r="AZ39" s="318"/>
      <c r="BA39" s="318"/>
      <c r="BB39" s="318"/>
      <c r="BC39" s="318"/>
      <c r="BD39" s="318"/>
      <c r="BE39" s="318"/>
      <c r="BF39" s="318"/>
      <c r="BG39" s="318"/>
      <c r="BH39" s="318"/>
      <c r="BI39" s="318"/>
      <c r="BJ39" s="318"/>
      <c r="BK39" s="318"/>
      <c r="BL39" s="318"/>
      <c r="BM39" s="318"/>
      <c r="BN39" s="318"/>
      <c r="BO39" s="319"/>
    </row>
    <row r="40" spans="1:67" s="320" customFormat="1" ht="11.4" thickBot="1">
      <c r="A40" s="281"/>
      <c r="B40" s="366" t="str">
        <f t="shared" si="6"/>
        <v>5.11</v>
      </c>
      <c r="C40" s="367" t="s">
        <v>667</v>
      </c>
      <c r="D40" s="368" t="s">
        <v>636</v>
      </c>
      <c r="E40" s="369"/>
      <c r="F40" s="392">
        <v>45383</v>
      </c>
      <c r="G40" s="393">
        <v>45412</v>
      </c>
      <c r="H40" s="394">
        <v>30</v>
      </c>
      <c r="I40" s="395">
        <v>0</v>
      </c>
      <c r="J40" s="401">
        <f t="shared" si="3"/>
        <v>22</v>
      </c>
      <c r="K40" s="370"/>
      <c r="L40" s="371"/>
      <c r="M40" s="371"/>
      <c r="N40" s="371"/>
      <c r="O40" s="371"/>
      <c r="P40" s="371"/>
      <c r="Q40" s="371"/>
      <c r="R40" s="371"/>
      <c r="S40" s="371"/>
      <c r="T40" s="371"/>
      <c r="U40" s="371"/>
      <c r="V40" s="371"/>
      <c r="W40" s="371"/>
      <c r="X40" s="371"/>
      <c r="Y40" s="371"/>
      <c r="Z40" s="371"/>
      <c r="AA40" s="371"/>
      <c r="AB40" s="371"/>
      <c r="AC40" s="371"/>
      <c r="AD40" s="371"/>
      <c r="AE40" s="371"/>
      <c r="AF40" s="371"/>
      <c r="AG40" s="371"/>
      <c r="AH40" s="371"/>
      <c r="AI40" s="371"/>
      <c r="AJ40" s="371"/>
      <c r="AK40" s="371"/>
      <c r="AL40" s="371"/>
      <c r="AM40" s="371"/>
      <c r="AN40" s="371"/>
      <c r="AO40" s="371"/>
      <c r="AP40" s="371"/>
      <c r="AQ40" s="371"/>
      <c r="AR40" s="371"/>
      <c r="AS40" s="371"/>
      <c r="AT40" s="371"/>
      <c r="AU40" s="371"/>
      <c r="AV40" s="371"/>
      <c r="AW40" s="371"/>
      <c r="AX40" s="371"/>
      <c r="AY40" s="371"/>
      <c r="AZ40" s="371"/>
      <c r="BA40" s="371"/>
      <c r="BB40" s="371"/>
      <c r="BC40" s="371"/>
      <c r="BD40" s="371"/>
      <c r="BE40" s="371"/>
      <c r="BF40" s="371"/>
      <c r="BG40" s="371"/>
      <c r="BH40" s="371"/>
      <c r="BI40" s="371"/>
      <c r="BJ40" s="371"/>
      <c r="BK40" s="371"/>
      <c r="BL40" s="371"/>
      <c r="BM40" s="371"/>
      <c r="BN40" s="371"/>
      <c r="BO40" s="372"/>
    </row>
    <row r="41" spans="1:67" s="374" customFormat="1" ht="11.4" thickTop="1">
      <c r="A41" s="281"/>
      <c r="B41" s="373"/>
    </row>
  </sheetData>
  <mergeCells count="20">
    <mergeCell ref="B1:AF1"/>
    <mergeCell ref="D4:F4"/>
    <mergeCell ref="L4:R4"/>
    <mergeCell ref="S4:Y4"/>
    <mergeCell ref="Z4:AF4"/>
    <mergeCell ref="AU5:BA5"/>
    <mergeCell ref="BB5:BH5"/>
    <mergeCell ref="BI5:BO5"/>
    <mergeCell ref="C8:J8"/>
    <mergeCell ref="AN4:AT4"/>
    <mergeCell ref="AU4:BA4"/>
    <mergeCell ref="BB4:BH4"/>
    <mergeCell ref="BI4:BO4"/>
    <mergeCell ref="D5:F5"/>
    <mergeCell ref="L5:R5"/>
    <mergeCell ref="S5:Y5"/>
    <mergeCell ref="Z5:AF5"/>
    <mergeCell ref="AG5:AM5"/>
    <mergeCell ref="AN5:AT5"/>
    <mergeCell ref="AG4:AM4"/>
  </mergeCells>
  <conditionalFormatting sqref="I9:I10 I14:I28">
    <cfRule type="dataBar" priority="31">
      <dataBar>
        <cfvo type="num" val="0"/>
        <cfvo type="num" val="1"/>
        <color theme="0" tint="-0.34998626667073579"/>
      </dataBar>
      <extLst>
        <ext xmlns:x14="http://schemas.microsoft.com/office/spreadsheetml/2009/9/main" uri="{B025F937-C7B1-47D3-B67F-A62EFF666E3E}">
          <x14:id>{C992D4F0-B027-43D4-A25E-9F461E0AF877}</x14:id>
        </ext>
      </extLst>
    </cfRule>
  </conditionalFormatting>
  <conditionalFormatting sqref="I11">
    <cfRule type="dataBar" priority="27">
      <dataBar>
        <cfvo type="num" val="0"/>
        <cfvo type="num" val="1"/>
        <color theme="0" tint="-0.34998626667073579"/>
      </dataBar>
      <extLst>
        <ext xmlns:x14="http://schemas.microsoft.com/office/spreadsheetml/2009/9/main" uri="{B025F937-C7B1-47D3-B67F-A62EFF666E3E}">
          <x14:id>{A8C16C70-C1A8-4F35-A55E-DB9B816B719B}</x14:id>
        </ext>
      </extLst>
    </cfRule>
  </conditionalFormatting>
  <conditionalFormatting sqref="I12">
    <cfRule type="dataBar" priority="29">
      <dataBar>
        <cfvo type="num" val="0"/>
        <cfvo type="num" val="1"/>
        <color theme="0" tint="-0.34998626667073579"/>
      </dataBar>
      <extLst>
        <ext xmlns:x14="http://schemas.microsoft.com/office/spreadsheetml/2009/9/main" uri="{B025F937-C7B1-47D3-B67F-A62EFF666E3E}">
          <x14:id>{5070F881-0ABE-4BC6-95E3-9C3B67309D67}</x14:id>
        </ext>
      </extLst>
    </cfRule>
  </conditionalFormatting>
  <conditionalFormatting sqref="I13">
    <cfRule type="dataBar" priority="25">
      <dataBar>
        <cfvo type="num" val="0"/>
        <cfvo type="num" val="1"/>
        <color theme="0" tint="-0.34998626667073579"/>
      </dataBar>
      <extLst>
        <ext xmlns:x14="http://schemas.microsoft.com/office/spreadsheetml/2009/9/main" uri="{B025F937-C7B1-47D3-B67F-A62EFF666E3E}">
          <x14:id>{B9BE20A4-E6AA-4455-AB5F-9C66CB4E55AC}</x14:id>
        </ext>
      </extLst>
    </cfRule>
  </conditionalFormatting>
  <conditionalFormatting sqref="I29:I30 I32:I35">
    <cfRule type="dataBar" priority="23">
      <dataBar>
        <cfvo type="num" val="0"/>
        <cfvo type="num" val="1"/>
        <color theme="0" tint="-0.34998626667073579"/>
      </dataBar>
      <extLst>
        <ext xmlns:x14="http://schemas.microsoft.com/office/spreadsheetml/2009/9/main" uri="{B025F937-C7B1-47D3-B67F-A62EFF666E3E}">
          <x14:id>{B93BE2AC-6D78-4486-99BE-CDCF4A3E8CC1}</x14:id>
        </ext>
      </extLst>
    </cfRule>
  </conditionalFormatting>
  <conditionalFormatting sqref="I31">
    <cfRule type="dataBar" priority="19">
      <dataBar>
        <cfvo type="num" val="0"/>
        <cfvo type="num" val="1"/>
        <color theme="0" tint="-0.34998626667073579"/>
      </dataBar>
      <extLst>
        <ext xmlns:x14="http://schemas.microsoft.com/office/spreadsheetml/2009/9/main" uri="{B025F937-C7B1-47D3-B67F-A62EFF666E3E}">
          <x14:id>{6297B91F-8C58-485C-AF5B-924BBD9FB2F0}</x14:id>
        </ext>
      </extLst>
    </cfRule>
  </conditionalFormatting>
  <conditionalFormatting sqref="I36">
    <cfRule type="dataBar" priority="15">
      <dataBar>
        <cfvo type="num" val="0"/>
        <cfvo type="num" val="1"/>
        <color theme="0" tint="-0.34998626667073579"/>
      </dataBar>
      <extLst>
        <ext xmlns:x14="http://schemas.microsoft.com/office/spreadsheetml/2009/9/main" uri="{B025F937-C7B1-47D3-B67F-A62EFF666E3E}">
          <x14:id>{5559CE07-A4F4-4611-8EF0-527DC881E037}</x14:id>
        </ext>
      </extLst>
    </cfRule>
  </conditionalFormatting>
  <conditionalFormatting sqref="I37">
    <cfRule type="dataBar" priority="11">
      <dataBar>
        <cfvo type="num" val="0"/>
        <cfvo type="num" val="1"/>
        <color theme="0" tint="-0.34998626667073579"/>
      </dataBar>
      <extLst>
        <ext xmlns:x14="http://schemas.microsoft.com/office/spreadsheetml/2009/9/main" uri="{B025F937-C7B1-47D3-B67F-A62EFF666E3E}">
          <x14:id>{36BE64FD-A1D5-43F6-9456-C9037FD8F05F}</x14:id>
        </ext>
      </extLst>
    </cfRule>
  </conditionalFormatting>
  <conditionalFormatting sqref="I38">
    <cfRule type="dataBar" priority="7">
      <dataBar>
        <cfvo type="num" val="0"/>
        <cfvo type="num" val="1"/>
        <color theme="0" tint="-0.34998626667073579"/>
      </dataBar>
      <extLst>
        <ext xmlns:x14="http://schemas.microsoft.com/office/spreadsheetml/2009/9/main" uri="{B025F937-C7B1-47D3-B67F-A62EFF666E3E}">
          <x14:id>{05C49FF8-6B85-4BC9-957E-B5A682E15237}</x14:id>
        </ext>
      </extLst>
    </cfRule>
  </conditionalFormatting>
  <conditionalFormatting sqref="I39">
    <cfRule type="dataBar" priority="1">
      <dataBar>
        <cfvo type="num" val="0"/>
        <cfvo type="num" val="1"/>
        <color theme="0" tint="-0.34998626667073579"/>
      </dataBar>
      <extLst>
        <ext xmlns:x14="http://schemas.microsoft.com/office/spreadsheetml/2009/9/main" uri="{B025F937-C7B1-47D3-B67F-A62EFF666E3E}">
          <x14:id>{D0F54BF6-D751-444D-9704-29AA94CB8FE1}</x14:id>
        </ext>
      </extLst>
    </cfRule>
  </conditionalFormatting>
  <conditionalFormatting sqref="I40">
    <cfRule type="dataBar" priority="5">
      <dataBar>
        <cfvo type="num" val="0"/>
        <cfvo type="num" val="1"/>
        <color theme="0" tint="-0.34998626667073579"/>
      </dataBar>
      <extLst>
        <ext xmlns:x14="http://schemas.microsoft.com/office/spreadsheetml/2009/9/main" uri="{B025F937-C7B1-47D3-B67F-A62EFF666E3E}">
          <x14:id>{21AA9841-A759-45E2-ACD4-8D5E0DB1257C}</x14:id>
        </ext>
      </extLst>
    </cfRule>
  </conditionalFormatting>
  <conditionalFormatting sqref="L6:BO7">
    <cfRule type="expression" dxfId="7" priority="33">
      <formula>L$6=TODAY()</formula>
    </cfRule>
  </conditionalFormatting>
  <conditionalFormatting sqref="L6:BO40">
    <cfRule type="expression" dxfId="6" priority="2">
      <formula>L$6=TODAY()</formula>
    </cfRule>
  </conditionalFormatting>
  <conditionalFormatting sqref="L8:BO40">
    <cfRule type="expression" dxfId="5" priority="3">
      <formula>AND($F8&lt;=L$6,ROUNDDOWN(($G8-$F8+1)*$I8,0)+$F8-1&gt;=L$6)</formula>
    </cfRule>
    <cfRule type="expression" dxfId="4" priority="4">
      <formula>AND(NOT(ISBLANK($F8)),$F8&lt;=L$6,$G8&gt;=L$6)</formula>
    </cfRule>
  </conditionalFormatting>
  <dataValidations count="1">
    <dataValidation allowBlank="1" showInputMessage="1" promptTitle="Display Week" prompt="Enter the week number to display first in the Gantt Chart. The weeks are numbered starting from the week containing the Project Start Date." sqref="I4" xr:uid="{7FAC5666-511C-474D-A199-F1779768287D}"/>
  </dataValidations>
  <pageMargins left="0.25" right="0.25" top="0.75" bottom="0.75" header="0.3" footer="0.3"/>
  <pageSetup scale="56" fitToHeight="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8433" r:id="rId4" name="Scroll Bar 1">
              <controlPr defaultSize="0" print="0" autoPict="0">
                <anchor moveWithCells="1">
                  <from>
                    <xdr:col>10</xdr:col>
                    <xdr:colOff>99060</xdr:colOff>
                    <xdr:row>1</xdr:row>
                    <xdr:rowOff>121920</xdr:rowOff>
                  </from>
                  <to>
                    <xdr:col>28</xdr:col>
                    <xdr:colOff>106680</xdr:colOff>
                    <xdr:row>3</xdr:row>
                    <xdr:rowOff>15240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C992D4F0-B027-43D4-A25E-9F461E0AF877}">
            <x14:dataBar minLength="0" maxLength="100" gradient="0">
              <x14:cfvo type="num">
                <xm:f>0</xm:f>
              </x14:cfvo>
              <x14:cfvo type="num">
                <xm:f>1</xm:f>
              </x14:cfvo>
              <x14:negativeFillColor rgb="FFFF0000"/>
              <x14:axisColor rgb="FF000000"/>
            </x14:dataBar>
          </x14:cfRule>
          <xm:sqref>I9:I10 I14:I28</xm:sqref>
        </x14:conditionalFormatting>
        <x14:conditionalFormatting xmlns:xm="http://schemas.microsoft.com/office/excel/2006/main">
          <x14:cfRule type="dataBar" id="{A8C16C70-C1A8-4F35-A55E-DB9B816B719B}">
            <x14:dataBar minLength="0" maxLength="100" gradient="0">
              <x14:cfvo type="num">
                <xm:f>0</xm:f>
              </x14:cfvo>
              <x14:cfvo type="num">
                <xm:f>1</xm:f>
              </x14:cfvo>
              <x14:negativeFillColor rgb="FFFF0000"/>
              <x14:axisColor rgb="FF000000"/>
            </x14:dataBar>
          </x14:cfRule>
          <xm:sqref>I11</xm:sqref>
        </x14:conditionalFormatting>
        <x14:conditionalFormatting xmlns:xm="http://schemas.microsoft.com/office/excel/2006/main">
          <x14:cfRule type="dataBar" id="{5070F881-0ABE-4BC6-95E3-9C3B67309D67}">
            <x14:dataBar minLength="0" maxLength="100" gradient="0">
              <x14:cfvo type="num">
                <xm:f>0</xm:f>
              </x14:cfvo>
              <x14:cfvo type="num">
                <xm:f>1</xm:f>
              </x14:cfvo>
              <x14:negativeFillColor rgb="FFFF0000"/>
              <x14:axisColor rgb="FF000000"/>
            </x14:dataBar>
          </x14:cfRule>
          <xm:sqref>I12</xm:sqref>
        </x14:conditionalFormatting>
        <x14:conditionalFormatting xmlns:xm="http://schemas.microsoft.com/office/excel/2006/main">
          <x14:cfRule type="dataBar" id="{B9BE20A4-E6AA-4455-AB5F-9C66CB4E55AC}">
            <x14:dataBar minLength="0" maxLength="100" gradient="0">
              <x14:cfvo type="num">
                <xm:f>0</xm:f>
              </x14:cfvo>
              <x14:cfvo type="num">
                <xm:f>1</xm:f>
              </x14:cfvo>
              <x14:negativeFillColor rgb="FFFF0000"/>
              <x14:axisColor rgb="FF000000"/>
            </x14:dataBar>
          </x14:cfRule>
          <xm:sqref>I13</xm:sqref>
        </x14:conditionalFormatting>
        <x14:conditionalFormatting xmlns:xm="http://schemas.microsoft.com/office/excel/2006/main">
          <x14:cfRule type="dataBar" id="{B93BE2AC-6D78-4486-99BE-CDCF4A3E8CC1}">
            <x14:dataBar minLength="0" maxLength="100" gradient="0">
              <x14:cfvo type="num">
                <xm:f>0</xm:f>
              </x14:cfvo>
              <x14:cfvo type="num">
                <xm:f>1</xm:f>
              </x14:cfvo>
              <x14:negativeFillColor rgb="FFFF0000"/>
              <x14:axisColor rgb="FF000000"/>
            </x14:dataBar>
          </x14:cfRule>
          <xm:sqref>I29:I30 I32:I35</xm:sqref>
        </x14:conditionalFormatting>
        <x14:conditionalFormatting xmlns:xm="http://schemas.microsoft.com/office/excel/2006/main">
          <x14:cfRule type="dataBar" id="{6297B91F-8C58-485C-AF5B-924BBD9FB2F0}">
            <x14:dataBar minLength="0" maxLength="100" gradient="0">
              <x14:cfvo type="num">
                <xm:f>0</xm:f>
              </x14:cfvo>
              <x14:cfvo type="num">
                <xm:f>1</xm:f>
              </x14:cfvo>
              <x14:negativeFillColor rgb="FFFF0000"/>
              <x14:axisColor rgb="FF000000"/>
            </x14:dataBar>
          </x14:cfRule>
          <xm:sqref>I31</xm:sqref>
        </x14:conditionalFormatting>
        <x14:conditionalFormatting xmlns:xm="http://schemas.microsoft.com/office/excel/2006/main">
          <x14:cfRule type="dataBar" id="{5559CE07-A4F4-4611-8EF0-527DC881E037}">
            <x14:dataBar minLength="0" maxLength="100" gradient="0">
              <x14:cfvo type="num">
                <xm:f>0</xm:f>
              </x14:cfvo>
              <x14:cfvo type="num">
                <xm:f>1</xm:f>
              </x14:cfvo>
              <x14:negativeFillColor rgb="FFFF0000"/>
              <x14:axisColor rgb="FF000000"/>
            </x14:dataBar>
          </x14:cfRule>
          <xm:sqref>I36</xm:sqref>
        </x14:conditionalFormatting>
        <x14:conditionalFormatting xmlns:xm="http://schemas.microsoft.com/office/excel/2006/main">
          <x14:cfRule type="dataBar" id="{36BE64FD-A1D5-43F6-9456-C9037FD8F05F}">
            <x14:dataBar minLength="0" maxLength="100" gradient="0">
              <x14:cfvo type="num">
                <xm:f>0</xm:f>
              </x14:cfvo>
              <x14:cfvo type="num">
                <xm:f>1</xm:f>
              </x14:cfvo>
              <x14:negativeFillColor rgb="FFFF0000"/>
              <x14:axisColor rgb="FF000000"/>
            </x14:dataBar>
          </x14:cfRule>
          <xm:sqref>I37</xm:sqref>
        </x14:conditionalFormatting>
        <x14:conditionalFormatting xmlns:xm="http://schemas.microsoft.com/office/excel/2006/main">
          <x14:cfRule type="dataBar" id="{05C49FF8-6B85-4BC9-957E-B5A682E15237}">
            <x14:dataBar minLength="0" maxLength="100" gradient="0">
              <x14:cfvo type="num">
                <xm:f>0</xm:f>
              </x14:cfvo>
              <x14:cfvo type="num">
                <xm:f>1</xm:f>
              </x14:cfvo>
              <x14:negativeFillColor rgb="FFFF0000"/>
              <x14:axisColor rgb="FF000000"/>
            </x14:dataBar>
          </x14:cfRule>
          <xm:sqref>I38</xm:sqref>
        </x14:conditionalFormatting>
        <x14:conditionalFormatting xmlns:xm="http://schemas.microsoft.com/office/excel/2006/main">
          <x14:cfRule type="dataBar" id="{D0F54BF6-D751-444D-9704-29AA94CB8FE1}">
            <x14:dataBar minLength="0" maxLength="100" gradient="0">
              <x14:cfvo type="num">
                <xm:f>0</xm:f>
              </x14:cfvo>
              <x14:cfvo type="num">
                <xm:f>1</xm:f>
              </x14:cfvo>
              <x14:negativeFillColor rgb="FFFF0000"/>
              <x14:axisColor rgb="FF000000"/>
            </x14:dataBar>
          </x14:cfRule>
          <xm:sqref>I39</xm:sqref>
        </x14:conditionalFormatting>
        <x14:conditionalFormatting xmlns:xm="http://schemas.microsoft.com/office/excel/2006/main">
          <x14:cfRule type="dataBar" id="{21AA9841-A759-45E2-ACD4-8D5E0DB1257C}">
            <x14:dataBar minLength="0" maxLength="100" gradient="0">
              <x14:cfvo type="num">
                <xm:f>0</xm:f>
              </x14:cfvo>
              <x14:cfvo type="num">
                <xm:f>1</xm:f>
              </x14:cfvo>
              <x14:negativeFillColor rgb="FFFF0000"/>
              <x14:axisColor rgb="FF000000"/>
            </x14:dataBar>
          </x14:cfRule>
          <xm:sqref>I40</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F6532-CFAB-45A1-AA86-2F40B7101ACB}">
  <dimension ref="B1:D17"/>
  <sheetViews>
    <sheetView showGridLines="0" zoomScale="80" zoomScaleNormal="100" workbookViewId="0">
      <selection activeCell="B22" sqref="B22"/>
    </sheetView>
  </sheetViews>
  <sheetFormatPr defaultRowHeight="14.4"/>
  <cols>
    <col min="1" max="1" width="8.88671875" style="280"/>
    <col min="2" max="2" width="43.77734375" style="280" customWidth="1"/>
    <col min="3" max="3" width="4.44140625" style="280" customWidth="1"/>
    <col min="4" max="4" width="48.109375" style="280" bestFit="1" customWidth="1"/>
    <col min="5" max="16384" width="8.88671875" style="280"/>
  </cols>
  <sheetData>
    <row r="1" spans="2:4" ht="15" thickBot="1">
      <c r="B1" s="1433" t="s">
        <v>729</v>
      </c>
      <c r="C1" s="1433"/>
      <c r="D1" s="1433"/>
    </row>
    <row r="2" spans="2:4" ht="15.6" thickTop="1" thickBot="1">
      <c r="B2" s="402" t="s">
        <v>728</v>
      </c>
      <c r="D2" s="402" t="s">
        <v>730</v>
      </c>
    </row>
    <row r="3" spans="2:4" ht="15" thickTop="1">
      <c r="B3" s="403" t="s">
        <v>702</v>
      </c>
      <c r="D3" s="403" t="s">
        <v>716</v>
      </c>
    </row>
    <row r="4" spans="2:4">
      <c r="B4" s="404" t="s">
        <v>703</v>
      </c>
      <c r="D4" s="404" t="s">
        <v>717</v>
      </c>
    </row>
    <row r="5" spans="2:4">
      <c r="B5" s="404" t="s">
        <v>704</v>
      </c>
      <c r="D5" s="404" t="s">
        <v>718</v>
      </c>
    </row>
    <row r="6" spans="2:4">
      <c r="B6" s="404" t="s">
        <v>705</v>
      </c>
      <c r="D6" s="404" t="s">
        <v>719</v>
      </c>
    </row>
    <row r="7" spans="2:4">
      <c r="B7" s="404" t="s">
        <v>706</v>
      </c>
      <c r="D7" s="404" t="s">
        <v>720</v>
      </c>
    </row>
    <row r="8" spans="2:4">
      <c r="B8" s="404" t="s">
        <v>707</v>
      </c>
      <c r="D8" s="404" t="s">
        <v>721</v>
      </c>
    </row>
    <row r="9" spans="2:4">
      <c r="B9" s="404" t="s">
        <v>708</v>
      </c>
      <c r="D9" s="404" t="s">
        <v>722</v>
      </c>
    </row>
    <row r="10" spans="2:4">
      <c r="B10" s="404" t="s">
        <v>709</v>
      </c>
      <c r="D10" s="404" t="s">
        <v>723</v>
      </c>
    </row>
    <row r="11" spans="2:4">
      <c r="B11" s="404" t="s">
        <v>710</v>
      </c>
      <c r="D11" s="404" t="s">
        <v>724</v>
      </c>
    </row>
    <row r="12" spans="2:4">
      <c r="B12" s="404" t="s">
        <v>711</v>
      </c>
      <c r="D12" s="404" t="s">
        <v>725</v>
      </c>
    </row>
    <row r="13" spans="2:4">
      <c r="B13" s="404" t="s">
        <v>712</v>
      </c>
      <c r="D13" s="404" t="s">
        <v>726</v>
      </c>
    </row>
    <row r="14" spans="2:4" ht="15" thickBot="1">
      <c r="B14" s="404" t="s">
        <v>713</v>
      </c>
      <c r="D14" s="405" t="s">
        <v>727</v>
      </c>
    </row>
    <row r="15" spans="2:4" ht="15" thickTop="1">
      <c r="B15" s="404" t="s">
        <v>714</v>
      </c>
    </row>
    <row r="16" spans="2:4" ht="15" thickBot="1">
      <c r="B16" s="405" t="s">
        <v>715</v>
      </c>
    </row>
    <row r="17" ht="15" thickTop="1"/>
  </sheetData>
  <mergeCells count="1">
    <mergeCell ref="B1:D1"/>
  </mergeCell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0CE99-FCF1-4A8D-BCAF-C36C4316A13A}">
  <dimension ref="A1:P247"/>
  <sheetViews>
    <sheetView showGridLines="0" tabSelected="1" workbookViewId="0">
      <selection activeCell="C12" sqref="C12"/>
    </sheetView>
  </sheetViews>
  <sheetFormatPr defaultRowHeight="14.4" outlineLevelRow="1"/>
  <cols>
    <col min="3" max="3" width="10" customWidth="1"/>
    <col min="4" max="4" width="11" customWidth="1"/>
    <col min="5" max="5" width="10.6640625" customWidth="1"/>
    <col min="8" max="8" width="11" customWidth="1"/>
    <col min="10" max="10" width="11" customWidth="1"/>
    <col min="11" max="13" width="10" bestFit="1" customWidth="1"/>
    <col min="14" max="14" width="10" customWidth="1"/>
    <col min="15" max="15" width="11.21875" customWidth="1"/>
  </cols>
  <sheetData>
    <row r="1" spans="1:16" ht="18.600000000000001">
      <c r="B1" s="9"/>
      <c r="C1" s="9"/>
      <c r="D1" s="9"/>
      <c r="E1" s="9"/>
      <c r="F1" s="9"/>
      <c r="G1" s="9"/>
      <c r="H1" s="10"/>
      <c r="I1" s="10"/>
      <c r="J1" s="10"/>
      <c r="K1" s="9"/>
      <c r="L1" s="9"/>
      <c r="M1" s="9"/>
      <c r="N1" s="9"/>
      <c r="O1" s="9"/>
      <c r="P1" s="9"/>
    </row>
    <row r="3" spans="1:16" s="28" customFormat="1" ht="15" customHeight="1">
      <c r="A3" s="27"/>
      <c r="B3" s="278" t="s">
        <v>446</v>
      </c>
      <c r="C3" s="145"/>
      <c r="D3" s="145"/>
      <c r="E3" s="145"/>
      <c r="F3" s="145"/>
      <c r="G3" s="145"/>
      <c r="H3" s="145"/>
      <c r="I3" s="145"/>
      <c r="J3" s="145"/>
      <c r="K3" s="145"/>
      <c r="L3" s="145"/>
      <c r="M3" s="145"/>
      <c r="N3" s="145"/>
      <c r="O3" s="145"/>
      <c r="P3" s="145"/>
    </row>
    <row r="4" spans="1:16" s="28" customFormat="1" ht="15" customHeight="1" outlineLevel="1">
      <c r="B4" s="29"/>
      <c r="H4" s="30"/>
      <c r="I4" s="31"/>
      <c r="J4" s="31"/>
      <c r="K4" s="31"/>
      <c r="L4" s="31"/>
      <c r="M4" s="31"/>
    </row>
    <row r="5" spans="1:16" s="28" customFormat="1" ht="15" customHeight="1" outlineLevel="1">
      <c r="B5" s="13" t="s">
        <v>344</v>
      </c>
      <c r="H5" s="30"/>
      <c r="I5" s="31"/>
      <c r="J5" s="31"/>
      <c r="K5" s="8"/>
      <c r="L5" s="8"/>
      <c r="M5" s="8"/>
      <c r="N5" s="8"/>
      <c r="O5" s="8"/>
    </row>
    <row r="6" spans="1:16" s="28" customFormat="1" ht="15" customHeight="1" outlineLevel="1" thickBot="1">
      <c r="J6" s="148">
        <f>Model!J$5</f>
        <v>2024</v>
      </c>
      <c r="K6" s="147">
        <f>Model!K$5</f>
        <v>2025</v>
      </c>
      <c r="L6" s="147">
        <f>Model!L$5</f>
        <v>2026</v>
      </c>
      <c r="M6" s="147">
        <f>Model!M$5</f>
        <v>2027</v>
      </c>
      <c r="N6" s="147">
        <f>Model!N$5</f>
        <v>2028</v>
      </c>
      <c r="O6" s="147">
        <f>Model!O$5</f>
        <v>2029</v>
      </c>
    </row>
    <row r="7" spans="1:16" s="32" customFormat="1" ht="15" customHeight="1" outlineLevel="1">
      <c r="B7" s="33" t="s">
        <v>447</v>
      </c>
      <c r="L7" s="35"/>
      <c r="M7" s="35"/>
      <c r="N7" s="35"/>
      <c r="O7" s="35"/>
    </row>
    <row r="8" spans="1:16" s="32" customFormat="1" ht="15" customHeight="1" outlineLevel="1">
      <c r="B8" s="36" t="s">
        <v>32</v>
      </c>
      <c r="J8" s="259"/>
      <c r="K8" s="37">
        <f>Model!K127</f>
        <v>64821.089274024998</v>
      </c>
      <c r="L8" s="37">
        <f>Model!L127</f>
        <v>78340.664423686365</v>
      </c>
      <c r="M8" s="37">
        <f>Model!M127</f>
        <v>92396.502343733941</v>
      </c>
      <c r="N8" s="37">
        <f>Model!N127</f>
        <v>108321.74920077607</v>
      </c>
      <c r="O8" s="37">
        <f>Model!O127</f>
        <v>125847.98172591676</v>
      </c>
    </row>
    <row r="9" spans="1:16" s="32" customFormat="1" ht="15" customHeight="1" outlineLevel="1">
      <c r="B9" s="36" t="s">
        <v>27</v>
      </c>
      <c r="K9" s="37">
        <f>Model!K271</f>
        <v>3427.2720192499996</v>
      </c>
      <c r="L9" s="37">
        <f>Model!L271</f>
        <v>5140.9080288749992</v>
      </c>
      <c r="M9" s="37">
        <f>Model!M271</f>
        <v>6854.5440384999993</v>
      </c>
      <c r="N9" s="37">
        <f>Model!N271</f>
        <v>8568.1800481249993</v>
      </c>
      <c r="O9" s="37">
        <f>Model!O271</f>
        <v>10281.816057749998</v>
      </c>
    </row>
    <row r="10" spans="1:16" s="32" customFormat="1" ht="15" customHeight="1" outlineLevel="1">
      <c r="B10" s="36" t="s">
        <v>448</v>
      </c>
      <c r="K10" s="37">
        <f>-Model!K119</f>
        <v>75</v>
      </c>
      <c r="L10" s="37">
        <f>-Model!L119</f>
        <v>3316.9319823555129</v>
      </c>
      <c r="M10" s="37">
        <f>-Model!M119</f>
        <v>7367.2536366913346</v>
      </c>
      <c r="N10" s="37">
        <f>-Model!N119</f>
        <v>12271.674486733658</v>
      </c>
      <c r="O10" s="37">
        <f>-Model!O119</f>
        <v>18123.4873197739</v>
      </c>
    </row>
    <row r="11" spans="1:16" s="32" customFormat="1" ht="15" customHeight="1" outlineLevel="1">
      <c r="B11" s="36" t="s">
        <v>38</v>
      </c>
      <c r="F11" s="38"/>
      <c r="G11" s="38"/>
      <c r="K11" s="38">
        <f>Model!K125/Model!K121</f>
        <v>0.3</v>
      </c>
      <c r="L11" s="38">
        <f>Model!L125/Model!L121</f>
        <v>0.29999999999999993</v>
      </c>
      <c r="M11" s="38">
        <f>Model!M125/Model!M121</f>
        <v>0.3</v>
      </c>
      <c r="N11" s="38">
        <f>Model!N125/Model!N121</f>
        <v>0.3</v>
      </c>
      <c r="O11" s="38">
        <f>Model!O125/Model!O121</f>
        <v>0.3</v>
      </c>
    </row>
    <row r="12" spans="1:16" s="32" customFormat="1" ht="15" customHeight="1" outlineLevel="1">
      <c r="B12" s="36" t="s">
        <v>449</v>
      </c>
      <c r="K12" s="37">
        <f>K10*(1-K11)</f>
        <v>52.5</v>
      </c>
      <c r="L12" s="37">
        <f>L10*(1-L11)</f>
        <v>2321.8523876488593</v>
      </c>
      <c r="M12" s="37">
        <f>M10*(1-M11)</f>
        <v>5157.0775456839337</v>
      </c>
      <c r="N12" s="37">
        <f>N10*(1-N11)</f>
        <v>8590.172140713561</v>
      </c>
      <c r="O12" s="37">
        <f>O10*(1-O11)</f>
        <v>12686.441123841729</v>
      </c>
    </row>
    <row r="13" spans="1:16" s="32" customFormat="1" ht="15" customHeight="1" outlineLevel="1">
      <c r="B13" s="36" t="s">
        <v>28</v>
      </c>
      <c r="K13" s="37">
        <f>Model!K115</f>
        <v>92526.556105750002</v>
      </c>
      <c r="L13" s="37">
        <f>Model!L115</f>
        <v>108598.302908625</v>
      </c>
      <c r="M13" s="37">
        <f>Model!M115</f>
        <v>124627.74971150002</v>
      </c>
      <c r="N13" s="37">
        <f>Model!N115</f>
        <v>142473.68151437503</v>
      </c>
      <c r="O13" s="37">
        <f>Model!O115</f>
        <v>161659.34371725004</v>
      </c>
    </row>
    <row r="14" spans="1:16" s="32" customFormat="1" ht="15" customHeight="1" outlineLevel="1">
      <c r="B14" s="36" t="s">
        <v>450</v>
      </c>
      <c r="K14" s="37">
        <f>K$13*-K11</f>
        <v>-27757.966831725</v>
      </c>
      <c r="L14" s="37">
        <f>L$13*-L11</f>
        <v>-32579.490872587492</v>
      </c>
      <c r="M14" s="37">
        <f>M$13*-M11</f>
        <v>-37388.32491345</v>
      </c>
      <c r="N14" s="37">
        <f>N$13*-N11</f>
        <v>-42742.10445431251</v>
      </c>
      <c r="O14" s="37">
        <f>O$13*-O11</f>
        <v>-48497.803115175011</v>
      </c>
    </row>
    <row r="15" spans="1:16" s="32" customFormat="1" ht="15" customHeight="1" outlineLevel="1">
      <c r="B15" s="36" t="s">
        <v>26</v>
      </c>
      <c r="J15" s="259"/>
      <c r="K15" s="37">
        <f>Model!K112</f>
        <v>95953.828125</v>
      </c>
      <c r="L15" s="37">
        <f>Model!L112</f>
        <v>113739.2109375</v>
      </c>
      <c r="M15" s="37">
        <f>Model!M112</f>
        <v>131482.29375000001</v>
      </c>
      <c r="N15" s="37">
        <f>Model!N112</f>
        <v>151041.86156250004</v>
      </c>
      <c r="O15" s="37">
        <f>Model!O112</f>
        <v>171941.15977500004</v>
      </c>
    </row>
    <row r="16" spans="1:16" s="32" customFormat="1" ht="15" customHeight="1" outlineLevel="1">
      <c r="B16" s="36" t="s">
        <v>451</v>
      </c>
      <c r="J16" s="37">
        <f>Model!K145</f>
        <v>-17136.360096249999</v>
      </c>
      <c r="K16" s="37">
        <f>Model!L145</f>
        <v>-8568.1800481249993</v>
      </c>
      <c r="L16" s="37">
        <f>K16</f>
        <v>-8568.1800481249993</v>
      </c>
      <c r="M16" s="37">
        <f>L16</f>
        <v>-8568.1800481249993</v>
      </c>
      <c r="N16" s="37">
        <f>M16</f>
        <v>-8568.1800481249993</v>
      </c>
      <c r="O16" s="37">
        <f>N16</f>
        <v>-8568.1800481249993</v>
      </c>
    </row>
    <row r="17" spans="1:16" s="32" customFormat="1" ht="15" customHeight="1" outlineLevel="1">
      <c r="B17" s="36" t="s">
        <v>452</v>
      </c>
      <c r="K17" s="37">
        <f>Model!K140</f>
        <v>-8648.5980308219168</v>
      </c>
      <c r="L17" s="37">
        <f>Model!L140</f>
        <v>-1425.407748287671</v>
      </c>
      <c r="M17" s="37">
        <f>Model!M140</f>
        <v>-1413.9008989726044</v>
      </c>
      <c r="N17" s="37">
        <f>Model!N140</f>
        <v>-1496.9145976027412</v>
      </c>
      <c r="O17" s="37">
        <f>Model!O140</f>
        <v>-1579.9282962328743</v>
      </c>
    </row>
    <row r="18" spans="1:16" s="32" customFormat="1" ht="15" customHeight="1" outlineLevel="1">
      <c r="B18" s="36" t="s">
        <v>453</v>
      </c>
      <c r="J18" s="259">
        <v>0</v>
      </c>
      <c r="K18" s="39"/>
      <c r="L18" s="40"/>
      <c r="M18" s="40"/>
      <c r="N18" s="40"/>
      <c r="O18" s="41"/>
    </row>
    <row r="19" spans="1:16" s="32" customFormat="1" ht="15" customHeight="1" outlineLevel="1">
      <c r="B19" s="36" t="s">
        <v>415</v>
      </c>
      <c r="J19" s="37">
        <f>Transaction!I29</f>
        <v>1500</v>
      </c>
      <c r="K19" s="42"/>
      <c r="L19" s="43"/>
      <c r="M19" s="43"/>
      <c r="N19" s="43"/>
      <c r="O19" s="44"/>
    </row>
    <row r="20" spans="1:16" s="28" customFormat="1" ht="15" customHeight="1" outlineLevel="1">
      <c r="B20" s="45"/>
      <c r="C20" s="46"/>
      <c r="D20" s="46"/>
      <c r="E20" s="46"/>
      <c r="F20" s="46"/>
      <c r="G20" s="46"/>
      <c r="H20" s="47"/>
      <c r="I20" s="48"/>
      <c r="J20" s="48"/>
      <c r="K20" s="48"/>
      <c r="L20" s="48"/>
      <c r="M20" s="48"/>
      <c r="N20" s="48"/>
      <c r="O20" s="48"/>
    </row>
    <row r="21" spans="1:16" s="28" customFormat="1" ht="15" customHeight="1">
      <c r="B21" s="29"/>
      <c r="H21" s="30"/>
      <c r="I21" s="31"/>
      <c r="J21" s="31"/>
      <c r="K21" s="31"/>
      <c r="L21" s="31"/>
      <c r="M21" s="31"/>
      <c r="N21" s="31"/>
      <c r="O21" s="31"/>
    </row>
    <row r="22" spans="1:16" s="28" customFormat="1" ht="15" customHeight="1">
      <c r="A22" s="49" t="s">
        <v>80</v>
      </c>
      <c r="B22" s="279" t="s">
        <v>454</v>
      </c>
      <c r="C22" s="146"/>
      <c r="D22" s="146"/>
      <c r="E22" s="146"/>
      <c r="F22" s="146"/>
      <c r="G22" s="146"/>
      <c r="H22" s="146"/>
      <c r="I22" s="146"/>
      <c r="J22" s="146"/>
      <c r="K22" s="146"/>
      <c r="L22" s="146"/>
      <c r="M22" s="146"/>
      <c r="N22" s="146"/>
      <c r="O22" s="146"/>
      <c r="P22" s="146"/>
    </row>
    <row r="23" spans="1:16" s="28" customFormat="1" ht="15" customHeight="1" outlineLevel="1">
      <c r="B23" s="50"/>
    </row>
    <row r="24" spans="1:16" s="28" customFormat="1" ht="15" customHeight="1" outlineLevel="1">
      <c r="B24" s="13" t="s">
        <v>344</v>
      </c>
      <c r="K24" s="8"/>
      <c r="L24" s="8"/>
      <c r="M24" s="8"/>
      <c r="N24" s="8"/>
      <c r="O24" s="8"/>
    </row>
    <row r="25" spans="1:16" s="28" customFormat="1" ht="15" customHeight="1" outlineLevel="1" thickBot="1">
      <c r="H25"/>
      <c r="J25" s="148">
        <f>Model!J$5</f>
        <v>2024</v>
      </c>
      <c r="K25" s="147">
        <f>Model!K$5</f>
        <v>2025</v>
      </c>
      <c r="L25" s="147">
        <f>Model!L$5</f>
        <v>2026</v>
      </c>
      <c r="M25" s="147">
        <f>Model!M$5</f>
        <v>2027</v>
      </c>
      <c r="N25" s="147">
        <f>Model!N$5</f>
        <v>2028</v>
      </c>
      <c r="O25" s="147">
        <f>Model!O$5</f>
        <v>2029</v>
      </c>
    </row>
    <row r="26" spans="1:16" s="32" customFormat="1" ht="15" customHeight="1" outlineLevel="1">
      <c r="B26" s="33" t="s">
        <v>455</v>
      </c>
      <c r="H26" s="51"/>
      <c r="K26" s="52"/>
      <c r="L26" s="52"/>
      <c r="M26" s="52"/>
      <c r="N26" s="52"/>
      <c r="O26" s="52"/>
    </row>
    <row r="27" spans="1:16" s="32" customFormat="1" ht="15" customHeight="1" outlineLevel="1">
      <c r="B27" s="36" t="s">
        <v>28</v>
      </c>
      <c r="H27" s="51"/>
      <c r="K27" s="53">
        <f>K13</f>
        <v>92526.556105750002</v>
      </c>
      <c r="L27" s="53">
        <f>L13</f>
        <v>108598.302908625</v>
      </c>
      <c r="M27" s="53">
        <f>M13</f>
        <v>124627.74971150002</v>
      </c>
      <c r="N27" s="53">
        <f>N13</f>
        <v>142473.68151437503</v>
      </c>
      <c r="O27" s="53">
        <f>O13</f>
        <v>161659.34371725004</v>
      </c>
    </row>
    <row r="28" spans="1:16" s="32" customFormat="1" ht="15" customHeight="1" outlineLevel="1">
      <c r="B28" s="36" t="s">
        <v>456</v>
      </c>
      <c r="H28" s="51"/>
      <c r="K28" s="53">
        <f>K27*-K11</f>
        <v>-27757.966831725</v>
      </c>
      <c r="L28" s="53">
        <f>L27*-L11</f>
        <v>-32579.490872587492</v>
      </c>
      <c r="M28" s="53">
        <f>M27*-M11</f>
        <v>-37388.32491345</v>
      </c>
      <c r="N28" s="53">
        <f>N27*-N11</f>
        <v>-42742.10445431251</v>
      </c>
      <c r="O28" s="53">
        <f>O27*-O11</f>
        <v>-48497.803115175011</v>
      </c>
    </row>
    <row r="29" spans="1:16" s="32" customFormat="1" ht="15" customHeight="1" outlineLevel="1">
      <c r="B29" s="36" t="s">
        <v>457</v>
      </c>
      <c r="H29" s="51"/>
      <c r="K29" s="53">
        <f>SUM(K27:K28)</f>
        <v>64768.589274024998</v>
      </c>
      <c r="L29" s="53">
        <f>SUM(L27:L28)</f>
        <v>76018.812036037503</v>
      </c>
      <c r="M29" s="53">
        <f>SUM(M27:M28)</f>
        <v>87239.424798050022</v>
      </c>
      <c r="N29" s="53">
        <f>SUM(N27:N28)</f>
        <v>99731.577060062526</v>
      </c>
      <c r="O29" s="53">
        <f>SUM(O27:O28)</f>
        <v>113161.54060207502</v>
      </c>
    </row>
    <row r="30" spans="1:16" s="32" customFormat="1" ht="15" customHeight="1" outlineLevel="1">
      <c r="B30" s="36" t="s">
        <v>27</v>
      </c>
      <c r="H30" s="51"/>
      <c r="K30" s="53">
        <f>+K9</f>
        <v>3427.2720192499996</v>
      </c>
      <c r="L30" s="53">
        <f>+L9</f>
        <v>5140.9080288749992</v>
      </c>
      <c r="M30" s="53">
        <f>+M9</f>
        <v>6854.5440384999993</v>
      </c>
      <c r="N30" s="53">
        <f>+N9</f>
        <v>8568.1800481249993</v>
      </c>
      <c r="O30" s="53">
        <f>+O9</f>
        <v>10281.816057749998</v>
      </c>
    </row>
    <row r="31" spans="1:16" s="32" customFormat="1" ht="15" customHeight="1" outlineLevel="1">
      <c r="B31" s="36" t="s">
        <v>458</v>
      </c>
      <c r="H31" s="51"/>
      <c r="K31" s="53">
        <f t="shared" ref="K31:O32" si="0">+K16</f>
        <v>-8568.1800481249993</v>
      </c>
      <c r="L31" s="53">
        <f t="shared" si="0"/>
        <v>-8568.1800481249993</v>
      </c>
      <c r="M31" s="53">
        <f t="shared" si="0"/>
        <v>-8568.1800481249993</v>
      </c>
      <c r="N31" s="53">
        <f t="shared" si="0"/>
        <v>-8568.1800481249993</v>
      </c>
      <c r="O31" s="53">
        <f t="shared" si="0"/>
        <v>-8568.1800481249993</v>
      </c>
    </row>
    <row r="32" spans="1:16" s="32" customFormat="1" ht="15" customHeight="1" outlineLevel="1">
      <c r="B32" s="36" t="s">
        <v>452</v>
      </c>
      <c r="H32" s="51"/>
      <c r="K32" s="53">
        <f t="shared" si="0"/>
        <v>-8648.5980308219168</v>
      </c>
      <c r="L32" s="53">
        <f t="shared" si="0"/>
        <v>-1425.407748287671</v>
      </c>
      <c r="M32" s="53">
        <f t="shared" si="0"/>
        <v>-1413.9008989726044</v>
      </c>
      <c r="N32" s="53">
        <f t="shared" si="0"/>
        <v>-1496.9145976027412</v>
      </c>
      <c r="O32" s="53">
        <f t="shared" si="0"/>
        <v>-1579.9282962328743</v>
      </c>
    </row>
    <row r="33" spans="2:16" s="32" customFormat="1" ht="15" customHeight="1" outlineLevel="1" thickBot="1">
      <c r="B33" s="36" t="s">
        <v>459</v>
      </c>
      <c r="H33" s="51"/>
      <c r="J33" s="34">
        <f>J16</f>
        <v>-17136.360096249999</v>
      </c>
      <c r="K33" s="54">
        <f>SUM(K29:K32)</f>
        <v>50979.083214328086</v>
      </c>
      <c r="L33" s="54">
        <f>SUM(L29:L32)</f>
        <v>71166.13226849983</v>
      </c>
      <c r="M33" s="54">
        <f>SUM(M29:M32)</f>
        <v>84111.887889452424</v>
      </c>
      <c r="N33" s="54">
        <f>SUM(N29:N32)</f>
        <v>98234.66246245979</v>
      </c>
      <c r="O33" s="54">
        <f>SUM(O29:O32)</f>
        <v>113295.24831546715</v>
      </c>
      <c r="P33"/>
    </row>
    <row r="34" spans="2:16" s="32" customFormat="1" ht="15" customHeight="1" outlineLevel="1">
      <c r="B34" s="36"/>
      <c r="H34" s="51"/>
      <c r="K34" s="53"/>
      <c r="L34" s="53"/>
      <c r="M34" s="53"/>
      <c r="N34" s="53"/>
      <c r="O34" s="53"/>
      <c r="P34"/>
    </row>
    <row r="35" spans="2:16" s="32" customFormat="1" ht="15" customHeight="1" outlineLevel="1">
      <c r="B35" s="33" t="s">
        <v>460</v>
      </c>
      <c r="H35" s="51"/>
      <c r="K35" s="52"/>
      <c r="L35" s="52"/>
      <c r="M35" s="52"/>
      <c r="N35" s="52"/>
      <c r="O35" s="52"/>
      <c r="P35"/>
    </row>
    <row r="36" spans="2:16" s="32" customFormat="1" ht="15" customHeight="1" outlineLevel="1">
      <c r="B36" s="36" t="s">
        <v>32</v>
      </c>
      <c r="H36" s="34"/>
      <c r="K36" s="37">
        <f>K8</f>
        <v>64821.089274024998</v>
      </c>
      <c r="L36" s="37">
        <f>L8</f>
        <v>78340.664423686365</v>
      </c>
      <c r="M36" s="37">
        <f>M8</f>
        <v>92396.502343733941</v>
      </c>
      <c r="N36" s="37">
        <f>N8</f>
        <v>108321.74920077607</v>
      </c>
      <c r="O36" s="37">
        <f>O8</f>
        <v>125847.98172591676</v>
      </c>
      <c r="P36"/>
    </row>
    <row r="37" spans="2:16" s="32" customFormat="1" ht="15" customHeight="1" outlineLevel="1">
      <c r="B37" s="36" t="s">
        <v>27</v>
      </c>
      <c r="H37" s="34"/>
      <c r="K37" s="37">
        <f>+K9</f>
        <v>3427.2720192499996</v>
      </c>
      <c r="L37" s="37">
        <f>+L9</f>
        <v>5140.9080288749992</v>
      </c>
      <c r="M37" s="37">
        <f>+M9</f>
        <v>6854.5440384999993</v>
      </c>
      <c r="N37" s="37">
        <f>+N9</f>
        <v>8568.1800481249993</v>
      </c>
      <c r="O37" s="37">
        <f>+O9</f>
        <v>10281.816057749998</v>
      </c>
      <c r="P37"/>
    </row>
    <row r="38" spans="2:16" s="32" customFormat="1" ht="15" customHeight="1" outlineLevel="1">
      <c r="B38" s="36" t="s">
        <v>449</v>
      </c>
      <c r="H38" s="34"/>
      <c r="K38" s="37">
        <f>+K12</f>
        <v>52.5</v>
      </c>
      <c r="L38" s="37">
        <f>+L12</f>
        <v>2321.8523876488593</v>
      </c>
      <c r="M38" s="37">
        <f>+M12</f>
        <v>5157.0775456839337</v>
      </c>
      <c r="N38" s="37">
        <f>+N12</f>
        <v>8590.172140713561</v>
      </c>
      <c r="O38" s="37">
        <f>+O12</f>
        <v>12686.441123841729</v>
      </c>
      <c r="P38"/>
    </row>
    <row r="39" spans="2:16" s="32" customFormat="1" ht="15" customHeight="1" outlineLevel="1">
      <c r="B39" s="36" t="s">
        <v>458</v>
      </c>
      <c r="K39" s="53">
        <f t="shared" ref="K39:O40" si="1">+K16</f>
        <v>-8568.1800481249993</v>
      </c>
      <c r="L39" s="53">
        <f t="shared" si="1"/>
        <v>-8568.1800481249993</v>
      </c>
      <c r="M39" s="53">
        <f t="shared" si="1"/>
        <v>-8568.1800481249993</v>
      </c>
      <c r="N39" s="53">
        <f t="shared" si="1"/>
        <v>-8568.1800481249993</v>
      </c>
      <c r="O39" s="53">
        <f t="shared" si="1"/>
        <v>-8568.1800481249993</v>
      </c>
      <c r="P39"/>
    </row>
    <row r="40" spans="2:16" s="32" customFormat="1" ht="15" customHeight="1" outlineLevel="1">
      <c r="B40" s="36" t="s">
        <v>452</v>
      </c>
      <c r="K40" s="37">
        <f t="shared" si="1"/>
        <v>-8648.5980308219168</v>
      </c>
      <c r="L40" s="37">
        <f t="shared" si="1"/>
        <v>-1425.407748287671</v>
      </c>
      <c r="M40" s="37">
        <f t="shared" si="1"/>
        <v>-1413.9008989726044</v>
      </c>
      <c r="N40" s="37">
        <f t="shared" si="1"/>
        <v>-1496.9145976027412</v>
      </c>
      <c r="O40" s="37">
        <f t="shared" si="1"/>
        <v>-1579.9282962328743</v>
      </c>
      <c r="P40"/>
    </row>
    <row r="41" spans="2:16" s="32" customFormat="1" ht="15" customHeight="1" outlineLevel="1" thickBot="1">
      <c r="B41" s="36" t="s">
        <v>461</v>
      </c>
      <c r="K41" s="55">
        <f>SUM(K36:K40)</f>
        <v>51084.083214328086</v>
      </c>
      <c r="L41" s="55">
        <f>SUM(L36:L40)</f>
        <v>75809.837043797554</v>
      </c>
      <c r="M41" s="55">
        <f>SUM(M36:M40)</f>
        <v>94426.042980820275</v>
      </c>
      <c r="N41" s="55">
        <f>SUM(N36:N40)</f>
        <v>115415.0067438869</v>
      </c>
      <c r="O41" s="55">
        <f>SUM(O36:O40)</f>
        <v>138668.1305631506</v>
      </c>
      <c r="P41"/>
    </row>
    <row r="42" spans="2:16" s="32" customFormat="1" ht="15" customHeight="1" outlineLevel="1">
      <c r="B42" s="36"/>
      <c r="K42" s="35"/>
      <c r="L42" s="35"/>
      <c r="M42" s="35"/>
      <c r="N42" s="35"/>
      <c r="O42" s="35"/>
      <c r="P42"/>
    </row>
    <row r="43" spans="2:16" s="32" customFormat="1" ht="15" customHeight="1" outlineLevel="1">
      <c r="B43" s="33" t="s">
        <v>462</v>
      </c>
      <c r="H43" s="51"/>
      <c r="K43" s="52"/>
      <c r="L43" s="52"/>
      <c r="M43" s="52"/>
      <c r="N43" s="52"/>
      <c r="O43" s="52"/>
      <c r="P43"/>
    </row>
    <row r="44" spans="2:16" s="32" customFormat="1" ht="15" customHeight="1" outlineLevel="1">
      <c r="B44" s="36" t="s">
        <v>26</v>
      </c>
      <c r="H44" s="51"/>
      <c r="K44" s="53">
        <f>+K15</f>
        <v>95953.828125</v>
      </c>
      <c r="L44" s="53">
        <f>+L15</f>
        <v>113739.2109375</v>
      </c>
      <c r="M44" s="53">
        <f>+M15</f>
        <v>131482.29375000001</v>
      </c>
      <c r="N44" s="53">
        <f>+N15</f>
        <v>151041.86156250004</v>
      </c>
      <c r="O44" s="53">
        <f>+O15</f>
        <v>171941.15977500004</v>
      </c>
      <c r="P44"/>
    </row>
    <row r="45" spans="2:16" s="32" customFormat="1" ht="15" customHeight="1" outlineLevel="1">
      <c r="B45" s="36" t="s">
        <v>450</v>
      </c>
      <c r="H45" s="51"/>
      <c r="K45" s="53">
        <f>+K14</f>
        <v>-27757.966831725</v>
      </c>
      <c r="L45" s="53">
        <f>+L14</f>
        <v>-32579.490872587492</v>
      </c>
      <c r="M45" s="53">
        <f>+M14</f>
        <v>-37388.32491345</v>
      </c>
      <c r="N45" s="53">
        <f>+N14</f>
        <v>-42742.10445431251</v>
      </c>
      <c r="O45" s="53">
        <f>+O14</f>
        <v>-48497.803115175011</v>
      </c>
      <c r="P45"/>
    </row>
    <row r="46" spans="2:16" s="32" customFormat="1" ht="15" customHeight="1" outlineLevel="1">
      <c r="B46" s="36" t="s">
        <v>458</v>
      </c>
      <c r="H46" s="51"/>
      <c r="K46" s="53">
        <f t="shared" ref="K46:O47" si="2">+K16</f>
        <v>-8568.1800481249993</v>
      </c>
      <c r="L46" s="53">
        <f t="shared" si="2"/>
        <v>-8568.1800481249993</v>
      </c>
      <c r="M46" s="53">
        <f t="shared" si="2"/>
        <v>-8568.1800481249993</v>
      </c>
      <c r="N46" s="53">
        <f t="shared" si="2"/>
        <v>-8568.1800481249993</v>
      </c>
      <c r="O46" s="53">
        <f t="shared" si="2"/>
        <v>-8568.1800481249993</v>
      </c>
      <c r="P46"/>
    </row>
    <row r="47" spans="2:16" s="32" customFormat="1" ht="15" customHeight="1" outlineLevel="1">
      <c r="B47" s="36" t="s">
        <v>452</v>
      </c>
      <c r="H47" s="51"/>
      <c r="K47" s="53">
        <f t="shared" si="2"/>
        <v>-8648.5980308219168</v>
      </c>
      <c r="L47" s="53">
        <f t="shared" si="2"/>
        <v>-1425.407748287671</v>
      </c>
      <c r="M47" s="53">
        <f t="shared" si="2"/>
        <v>-1413.9008989726044</v>
      </c>
      <c r="N47" s="53">
        <f t="shared" si="2"/>
        <v>-1496.9145976027412</v>
      </c>
      <c r="O47" s="53">
        <f t="shared" si="2"/>
        <v>-1579.9282962328743</v>
      </c>
      <c r="P47"/>
    </row>
    <row r="48" spans="2:16" s="32" customFormat="1" ht="15" customHeight="1" outlineLevel="1" thickBot="1">
      <c r="B48" s="36" t="s">
        <v>463</v>
      </c>
      <c r="H48" s="51"/>
      <c r="K48" s="54">
        <f>SUM(K44:K47)</f>
        <v>50979.083214328086</v>
      </c>
      <c r="L48" s="54">
        <f>SUM(L44:L47)</f>
        <v>71166.132268499845</v>
      </c>
      <c r="M48" s="54">
        <f>SUM(M44:M47)</f>
        <v>84111.887889452424</v>
      </c>
      <c r="N48" s="54">
        <f>SUM(N44:N47)</f>
        <v>98234.662462459804</v>
      </c>
      <c r="O48" s="54">
        <f>SUM(O44:O47)</f>
        <v>113295.24831546715</v>
      </c>
      <c r="P48"/>
    </row>
    <row r="49" spans="1:16" s="32" customFormat="1" ht="15" customHeight="1" outlineLevel="1">
      <c r="B49" s="36"/>
      <c r="H49" s="51"/>
      <c r="I49" s="53"/>
      <c r="J49" s="53"/>
      <c r="K49" s="53"/>
      <c r="L49" s="53"/>
      <c r="M49" s="53"/>
      <c r="P49"/>
    </row>
    <row r="50" spans="1:16" s="32" customFormat="1" ht="15" customHeight="1" outlineLevel="1">
      <c r="B50" s="56"/>
      <c r="C50" s="56"/>
      <c r="D50" s="56"/>
      <c r="E50" s="56"/>
      <c r="F50" s="56"/>
      <c r="G50" s="56"/>
      <c r="H50" s="57"/>
      <c r="I50" s="58"/>
      <c r="J50" s="58"/>
      <c r="K50" s="58"/>
      <c r="L50" s="58"/>
      <c r="M50" s="58"/>
      <c r="N50" s="58"/>
      <c r="O50" s="58"/>
      <c r="P50" s="58"/>
    </row>
    <row r="51" spans="1:16" s="28" customFormat="1" ht="15" customHeight="1">
      <c r="B51" s="29"/>
      <c r="I51" s="31"/>
      <c r="J51" s="31"/>
      <c r="K51" s="31"/>
      <c r="L51" s="31"/>
      <c r="M51" s="31"/>
      <c r="N51" s="31"/>
      <c r="O51" s="31"/>
      <c r="P51" s="31"/>
    </row>
    <row r="52" spans="1:16" s="28" customFormat="1" ht="15" customHeight="1">
      <c r="A52" s="49" t="s">
        <v>80</v>
      </c>
      <c r="B52" s="279" t="s">
        <v>464</v>
      </c>
      <c r="C52" s="146"/>
      <c r="D52" s="146"/>
      <c r="E52" s="146"/>
      <c r="F52" s="146"/>
      <c r="G52" s="146"/>
      <c r="H52" s="146"/>
      <c r="I52" s="146"/>
      <c r="J52" s="146"/>
      <c r="K52" s="146"/>
      <c r="L52" s="146"/>
      <c r="M52" s="146"/>
      <c r="N52" s="146"/>
      <c r="O52" s="146"/>
      <c r="P52" s="146"/>
    </row>
    <row r="53" spans="1:16" s="28" customFormat="1" ht="15" customHeight="1" outlineLevel="1">
      <c r="A53" s="49"/>
      <c r="B53" s="59"/>
      <c r="C53" s="12"/>
      <c r="D53" s="60"/>
      <c r="E53" s="60"/>
      <c r="F53" s="61"/>
      <c r="G53" s="61"/>
      <c r="H53" s="61"/>
      <c r="I53" s="62"/>
      <c r="J53" s="63"/>
      <c r="K53" s="63"/>
      <c r="L53" s="63"/>
      <c r="M53" s="63"/>
    </row>
    <row r="54" spans="1:16" s="28" customFormat="1" ht="15" customHeight="1" outlineLevel="1">
      <c r="B54" s="64" t="s">
        <v>465</v>
      </c>
    </row>
    <row r="55" spans="1:16" s="28" customFormat="1" ht="15" customHeight="1" outlineLevel="1">
      <c r="B55" s="64"/>
    </row>
    <row r="56" spans="1:16" s="28" customFormat="1" ht="15" customHeight="1" outlineLevel="1">
      <c r="B56" s="65" t="s">
        <v>466</v>
      </c>
      <c r="C56" s="66"/>
      <c r="D56" s="66"/>
      <c r="E56" s="66"/>
      <c r="F56" s="260">
        <v>0.17</v>
      </c>
    </row>
    <row r="57" spans="1:16" s="28" customFormat="1" ht="15" customHeight="1" outlineLevel="1">
      <c r="B57" s="67" t="s">
        <v>467</v>
      </c>
      <c r="F57" s="261">
        <v>0.87660000000000005</v>
      </c>
    </row>
    <row r="58" spans="1:16" s="28" customFormat="1" ht="15" customHeight="1" outlineLevel="1">
      <c r="B58" s="67" t="s">
        <v>468</v>
      </c>
      <c r="F58" s="262">
        <v>0.14860000000000001</v>
      </c>
    </row>
    <row r="59" spans="1:16" s="28" customFormat="1" ht="15" customHeight="1" outlineLevel="1">
      <c r="B59" s="68" t="s">
        <v>469</v>
      </c>
      <c r="C59" s="46"/>
      <c r="D59" s="46"/>
      <c r="E59" s="46"/>
      <c r="F59" s="69">
        <f>F56+(F57*F58)</f>
        <v>0.30026276000000002</v>
      </c>
    </row>
    <row r="60" spans="1:16" s="28" customFormat="1" ht="15" customHeight="1" outlineLevel="1">
      <c r="B60" s="70"/>
      <c r="C60" s="71"/>
    </row>
    <row r="61" spans="1:16" s="28" customFormat="1" ht="15" customHeight="1" outlineLevel="1">
      <c r="B61" s="64" t="s">
        <v>470</v>
      </c>
    </row>
    <row r="62" spans="1:16" s="28" customFormat="1" ht="15" customHeight="1" outlineLevel="1">
      <c r="B62" s="70"/>
    </row>
    <row r="63" spans="1:16" s="28" customFormat="1" ht="15" customHeight="1" outlineLevel="1">
      <c r="B63" s="65" t="s">
        <v>471</v>
      </c>
      <c r="C63" s="66"/>
      <c r="D63" s="66"/>
      <c r="E63" s="66"/>
      <c r="F63" s="260">
        <v>0</v>
      </c>
    </row>
    <row r="64" spans="1:16" s="28" customFormat="1" ht="15" customHeight="1" outlineLevel="1">
      <c r="B64" s="67" t="s">
        <v>472</v>
      </c>
      <c r="F64" s="72">
        <f>1-F63</f>
        <v>1</v>
      </c>
    </row>
    <row r="65" spans="1:16" s="28" customFormat="1" ht="15" customHeight="1" outlineLevel="1">
      <c r="B65" s="67" t="s">
        <v>473</v>
      </c>
      <c r="F65" s="262">
        <v>0.188</v>
      </c>
    </row>
    <row r="66" spans="1:16" s="28" customFormat="1" ht="15" customHeight="1" outlineLevel="1">
      <c r="B66" s="67" t="s">
        <v>38</v>
      </c>
      <c r="F66" s="262">
        <v>0.3</v>
      </c>
    </row>
    <row r="67" spans="1:16" s="28" customFormat="1" ht="15" customHeight="1" outlineLevel="1">
      <c r="B67" s="67" t="s">
        <v>474</v>
      </c>
      <c r="F67" s="72">
        <f>+F65*(1-F66)</f>
        <v>0.13159999999999999</v>
      </c>
    </row>
    <row r="68" spans="1:16" s="28" customFormat="1" ht="15" customHeight="1" outlineLevel="1">
      <c r="B68" s="67" t="s">
        <v>469</v>
      </c>
      <c r="F68" s="72">
        <f>+F59</f>
        <v>0.30026276000000002</v>
      </c>
    </row>
    <row r="69" spans="1:16" s="28" customFormat="1" ht="15" customHeight="1" outlineLevel="1">
      <c r="B69" s="68" t="s">
        <v>475</v>
      </c>
      <c r="C69" s="46"/>
      <c r="D69" s="46"/>
      <c r="E69" s="46"/>
      <c r="F69" s="69">
        <f>+(F64*F68)+(F67*F63)</f>
        <v>0.30026276000000002</v>
      </c>
    </row>
    <row r="70" spans="1:16" s="28" customFormat="1" ht="15" customHeight="1" outlineLevel="1">
      <c r="B70" s="70"/>
      <c r="C70" s="73"/>
    </row>
    <row r="71" spans="1:16" s="28" customFormat="1" ht="15" customHeight="1" outlineLevel="1">
      <c r="B71" s="74"/>
      <c r="C71" s="75"/>
      <c r="D71" s="46"/>
      <c r="E71" s="46"/>
      <c r="F71" s="46"/>
      <c r="G71" s="46"/>
      <c r="H71" s="46"/>
      <c r="I71" s="46"/>
      <c r="J71" s="46"/>
      <c r="K71" s="46"/>
      <c r="L71" s="46"/>
      <c r="M71" s="46"/>
      <c r="N71" s="46"/>
      <c r="O71" s="46"/>
    </row>
    <row r="72" spans="1:16" s="28" customFormat="1" ht="15" customHeight="1">
      <c r="B72" s="64"/>
    </row>
    <row r="73" spans="1:16" s="28" customFormat="1" ht="15" customHeight="1">
      <c r="A73" s="49" t="s">
        <v>80</v>
      </c>
      <c r="B73" s="279" t="s">
        <v>476</v>
      </c>
      <c r="C73" s="146"/>
      <c r="D73" s="146"/>
      <c r="E73" s="146"/>
      <c r="F73" s="146"/>
      <c r="G73" s="146"/>
      <c r="H73" s="146"/>
      <c r="I73" s="146"/>
      <c r="J73" s="146"/>
      <c r="K73" s="146"/>
      <c r="L73" s="146"/>
      <c r="M73" s="146"/>
      <c r="N73" s="146"/>
      <c r="O73" s="146"/>
      <c r="P73" s="146"/>
    </row>
    <row r="74" spans="1:16" s="28" customFormat="1" ht="15" customHeight="1" outlineLevel="1">
      <c r="A74" s="49"/>
      <c r="B74" s="64"/>
      <c r="C74" s="277"/>
      <c r="D74" s="64"/>
    </row>
    <row r="75" spans="1:16" s="28" customFormat="1" ht="15" customHeight="1" outlineLevel="1">
      <c r="A75" s="49"/>
      <c r="B75" s="65" t="s">
        <v>475</v>
      </c>
      <c r="C75" s="85"/>
      <c r="D75" s="76">
        <f>+$F$69</f>
        <v>0.30026276000000002</v>
      </c>
    </row>
    <row r="76" spans="1:16" s="28" customFormat="1" ht="15" customHeight="1" outlineLevel="1">
      <c r="A76" s="49"/>
      <c r="B76" s="77" t="s">
        <v>477</v>
      </c>
      <c r="C76" s="77"/>
      <c r="D76" s="263">
        <v>5.3999999999999999E-2</v>
      </c>
    </row>
    <row r="77" spans="1:16" s="28" customFormat="1" ht="15" customHeight="1" outlineLevel="1">
      <c r="A77" s="49"/>
      <c r="B77" s="64"/>
      <c r="C77" s="64"/>
      <c r="D77" s="64"/>
    </row>
    <row r="78" spans="1:16" s="28" customFormat="1" ht="15" customHeight="1" outlineLevel="1">
      <c r="B78" s="13" t="s">
        <v>344</v>
      </c>
      <c r="K78" s="8"/>
      <c r="L78" s="8"/>
      <c r="M78" s="8"/>
      <c r="N78" s="8"/>
      <c r="O78" s="8"/>
    </row>
    <row r="79" spans="1:16" s="28" customFormat="1" ht="15" customHeight="1" outlineLevel="1" thickBot="1">
      <c r="C79" s="78"/>
      <c r="H79"/>
      <c r="K79" s="147">
        <f>Model!K$5</f>
        <v>2025</v>
      </c>
      <c r="L79" s="147">
        <f>Model!L$5</f>
        <v>2026</v>
      </c>
      <c r="M79" s="147">
        <f>Model!M$5</f>
        <v>2027</v>
      </c>
      <c r="N79" s="147">
        <f>Model!N$5</f>
        <v>2028</v>
      </c>
      <c r="O79" s="147">
        <f>Model!O$5</f>
        <v>2029</v>
      </c>
    </row>
    <row r="80" spans="1:16" s="28" customFormat="1" ht="15" customHeight="1" outlineLevel="1">
      <c r="B80" s="36" t="s">
        <v>478</v>
      </c>
      <c r="C80" s="78"/>
      <c r="K80" s="79">
        <f>K33</f>
        <v>50979.083214328086</v>
      </c>
      <c r="L80" s="79">
        <f>L33</f>
        <v>71166.13226849983</v>
      </c>
      <c r="M80" s="79">
        <f>M33</f>
        <v>84111.887889452424</v>
      </c>
      <c r="N80" s="79">
        <f>N33</f>
        <v>98234.66246245979</v>
      </c>
      <c r="O80" s="79">
        <f>O33</f>
        <v>113295.24831546715</v>
      </c>
    </row>
    <row r="81" spans="1:16" s="28" customFormat="1" ht="15" customHeight="1" outlineLevel="1">
      <c r="B81" s="36" t="s">
        <v>479</v>
      </c>
      <c r="C81" s="78"/>
      <c r="K81" s="79"/>
      <c r="L81" s="79"/>
      <c r="M81" s="79"/>
      <c r="N81" s="79"/>
      <c r="O81" s="79">
        <f>O80*(1+D76)</f>
        <v>119413.19172450238</v>
      </c>
    </row>
    <row r="82" spans="1:16" s="28" customFormat="1" ht="15" customHeight="1" outlineLevel="1">
      <c r="B82" s="80" t="s">
        <v>480</v>
      </c>
      <c r="C82" s="78"/>
      <c r="K82" s="34"/>
      <c r="L82" s="32"/>
      <c r="M82" s="32"/>
      <c r="N82" s="32"/>
      <c r="O82" s="81">
        <f>O81/(D75-D76)</f>
        <v>484901.54063286859</v>
      </c>
    </row>
    <row r="83" spans="1:16" s="28" customFormat="1" ht="15" customHeight="1" outlineLevel="1">
      <c r="B83" s="82"/>
      <c r="C83" s="83"/>
      <c r="D83" s="46"/>
      <c r="E83" s="46"/>
      <c r="F83" s="46"/>
      <c r="G83" s="46"/>
      <c r="H83" s="46"/>
      <c r="I83" s="84"/>
      <c r="J83" s="56"/>
      <c r="K83" s="56"/>
      <c r="L83" s="56"/>
      <c r="M83" s="56"/>
      <c r="N83" s="56"/>
      <c r="O83" s="56"/>
    </row>
    <row r="84" spans="1:16" s="28" customFormat="1" ht="15" customHeight="1">
      <c r="A84" s="49"/>
      <c r="B84" s="59"/>
      <c r="C84" s="12"/>
      <c r="D84" s="60"/>
      <c r="E84" s="60"/>
      <c r="F84" s="61"/>
      <c r="G84" s="61"/>
      <c r="H84" s="61"/>
      <c r="I84" s="62"/>
      <c r="J84" s="63"/>
      <c r="K84" s="63"/>
      <c r="L84" s="63"/>
      <c r="M84" s="63"/>
      <c r="N84" s="63"/>
      <c r="O84" s="63"/>
    </row>
    <row r="85" spans="1:16" s="28" customFormat="1" ht="15" customHeight="1">
      <c r="A85" s="49" t="s">
        <v>80</v>
      </c>
      <c r="B85" s="279" t="s">
        <v>481</v>
      </c>
      <c r="C85" s="146"/>
      <c r="D85" s="146"/>
      <c r="E85" s="146"/>
      <c r="F85" s="146"/>
      <c r="G85" s="146"/>
      <c r="H85" s="146"/>
      <c r="I85" s="146"/>
      <c r="J85" s="146"/>
      <c r="K85" s="146"/>
      <c r="L85" s="146"/>
      <c r="M85" s="146"/>
      <c r="N85" s="146"/>
      <c r="O85" s="146"/>
      <c r="P85" s="146"/>
    </row>
    <row r="86" spans="1:16" s="28" customFormat="1" ht="15" customHeight="1" outlineLevel="1">
      <c r="B86" s="29"/>
      <c r="I86" s="31"/>
      <c r="J86" s="31"/>
      <c r="K86" s="31"/>
      <c r="L86" s="31"/>
      <c r="M86" s="31"/>
    </row>
    <row r="87" spans="1:16" s="28" customFormat="1" ht="15" customHeight="1" outlineLevel="1">
      <c r="B87" s="65" t="s">
        <v>475</v>
      </c>
      <c r="C87" s="272"/>
      <c r="D87" s="76">
        <f>+$F$69</f>
        <v>0.30026276000000002</v>
      </c>
      <c r="I87" s="31"/>
      <c r="J87" s="31"/>
      <c r="K87" s="31"/>
      <c r="L87" s="31"/>
      <c r="M87" s="31"/>
    </row>
    <row r="88" spans="1:16" s="28" customFormat="1" ht="15" customHeight="1" outlineLevel="1">
      <c r="B88" s="77" t="s">
        <v>482</v>
      </c>
      <c r="C88" s="273"/>
      <c r="D88" s="264">
        <v>8.92</v>
      </c>
    </row>
    <row r="89" spans="1:16" s="28" customFormat="1" ht="15" customHeight="1" outlineLevel="1">
      <c r="B89" s="85"/>
      <c r="C89" s="86"/>
    </row>
    <row r="90" spans="1:16" s="28" customFormat="1" ht="15" customHeight="1" outlineLevel="1">
      <c r="B90" s="13" t="s">
        <v>344</v>
      </c>
      <c r="C90" s="87"/>
      <c r="K90" s="8"/>
      <c r="L90" s="8"/>
      <c r="M90" s="8"/>
      <c r="N90" s="8"/>
      <c r="O90" s="8"/>
    </row>
    <row r="91" spans="1:16" s="28" customFormat="1" ht="15" customHeight="1" outlineLevel="1" thickBot="1">
      <c r="C91" s="78"/>
      <c r="H91"/>
      <c r="K91" s="147">
        <f>Model!K$5</f>
        <v>2025</v>
      </c>
      <c r="L91" s="147">
        <f>Model!L$5</f>
        <v>2026</v>
      </c>
      <c r="M91" s="147">
        <f>Model!M$5</f>
        <v>2027</v>
      </c>
      <c r="N91" s="147">
        <f>Model!N$5</f>
        <v>2028</v>
      </c>
      <c r="O91" s="147">
        <f>Model!O$5</f>
        <v>2029</v>
      </c>
    </row>
    <row r="92" spans="1:16" s="28" customFormat="1" ht="15" customHeight="1" outlineLevel="1">
      <c r="B92" s="36" t="s">
        <v>478</v>
      </c>
      <c r="C92" s="88"/>
      <c r="D92" s="32"/>
      <c r="E92" s="32"/>
      <c r="F92" s="32"/>
      <c r="G92" s="32"/>
      <c r="H92" s="32"/>
      <c r="K92" s="79">
        <f>K80</f>
        <v>50979.083214328086</v>
      </c>
      <c r="L92" s="79">
        <f>L80</f>
        <v>71166.13226849983</v>
      </c>
      <c r="M92" s="79">
        <f>M80</f>
        <v>84111.887889452424</v>
      </c>
      <c r="N92" s="79">
        <f>N80</f>
        <v>98234.66246245979</v>
      </c>
      <c r="O92" s="79">
        <f>O80</f>
        <v>113295.24831546715</v>
      </c>
    </row>
    <row r="93" spans="1:16" s="28" customFormat="1" ht="15" customHeight="1" outlineLevel="1">
      <c r="B93" s="36" t="s">
        <v>26</v>
      </c>
      <c r="C93" s="88"/>
      <c r="D93" s="32"/>
      <c r="E93" s="32"/>
      <c r="F93" s="32"/>
      <c r="G93" s="32"/>
      <c r="H93" s="32"/>
      <c r="K93" s="34"/>
      <c r="L93" s="34"/>
      <c r="M93" s="34"/>
      <c r="N93" s="34"/>
      <c r="O93" s="79">
        <f>O15</f>
        <v>171941.15977500004</v>
      </c>
    </row>
    <row r="94" spans="1:16" s="28" customFormat="1" ht="15" customHeight="1" outlineLevel="1">
      <c r="B94" s="80" t="s">
        <v>483</v>
      </c>
      <c r="C94" s="88"/>
      <c r="D94" s="32"/>
      <c r="E94" s="32"/>
      <c r="F94" s="32"/>
      <c r="G94" s="32"/>
      <c r="H94" s="32"/>
      <c r="K94" s="34"/>
      <c r="L94" s="32"/>
      <c r="M94" s="32"/>
      <c r="N94" s="32"/>
      <c r="O94" s="81">
        <f>O93*D88</f>
        <v>1533715.1451930003</v>
      </c>
    </row>
    <row r="95" spans="1:16" s="28" customFormat="1" ht="15" customHeight="1" outlineLevel="1">
      <c r="B95" s="45"/>
      <c r="C95" s="46"/>
      <c r="D95" s="46"/>
      <c r="E95" s="46"/>
      <c r="F95" s="46"/>
      <c r="G95" s="46"/>
      <c r="H95" s="46"/>
      <c r="I95" s="48"/>
      <c r="J95" s="48"/>
      <c r="K95" s="48"/>
      <c r="L95" s="48"/>
      <c r="M95" s="48"/>
      <c r="N95" s="48"/>
      <c r="O95" s="48"/>
    </row>
    <row r="96" spans="1:16" s="28" customFormat="1" ht="15" customHeight="1">
      <c r="B96" s="29"/>
      <c r="I96" s="31"/>
      <c r="J96" s="31"/>
      <c r="K96" s="31"/>
      <c r="L96" s="31"/>
      <c r="M96" s="31"/>
      <c r="N96" s="31"/>
      <c r="O96" s="31"/>
    </row>
    <row r="97" spans="1:16" s="28" customFormat="1" ht="15" customHeight="1">
      <c r="A97" s="49" t="s">
        <v>80</v>
      </c>
      <c r="B97" s="279" t="s">
        <v>484</v>
      </c>
      <c r="C97" s="146"/>
      <c r="D97" s="146"/>
      <c r="E97" s="146"/>
      <c r="F97" s="146"/>
      <c r="G97" s="146"/>
      <c r="H97" s="146"/>
      <c r="I97" s="146"/>
      <c r="J97" s="146"/>
      <c r="K97" s="146"/>
      <c r="L97" s="146"/>
      <c r="M97" s="146"/>
      <c r="N97" s="146"/>
      <c r="O97" s="146"/>
      <c r="P97" s="146"/>
    </row>
    <row r="98" spans="1:16" s="28" customFormat="1" ht="15" customHeight="1" outlineLevel="1">
      <c r="I98" s="31"/>
      <c r="J98" s="31"/>
      <c r="K98" s="31"/>
      <c r="L98" s="31"/>
      <c r="M98" s="31"/>
    </row>
    <row r="99" spans="1:16" s="28" customFormat="1" ht="15" customHeight="1" outlineLevel="1">
      <c r="B99" s="13" t="s">
        <v>344</v>
      </c>
      <c r="J99" s="31"/>
      <c r="K99" s="8"/>
      <c r="L99" s="8"/>
      <c r="M99" s="8"/>
      <c r="N99" s="8"/>
      <c r="O99" s="8"/>
    </row>
    <row r="100" spans="1:16" s="28" customFormat="1" ht="15" customHeight="1" outlineLevel="1" thickBot="1">
      <c r="B100" s="29"/>
      <c r="J100" s="148">
        <f>Model!J$5</f>
        <v>2024</v>
      </c>
      <c r="K100" s="147">
        <f>Model!K$5</f>
        <v>2025</v>
      </c>
      <c r="L100" s="147">
        <f>Model!L$5</f>
        <v>2026</v>
      </c>
      <c r="M100" s="147">
        <f>Model!M$5</f>
        <v>2027</v>
      </c>
      <c r="N100" s="147">
        <f>Model!N$5</f>
        <v>2028</v>
      </c>
      <c r="O100" s="147">
        <f>Model!O$5</f>
        <v>2029</v>
      </c>
    </row>
    <row r="101" spans="1:16" s="28" customFormat="1" ht="15" customHeight="1" outlineLevel="1">
      <c r="B101" s="36" t="s">
        <v>485</v>
      </c>
      <c r="C101" s="32"/>
      <c r="D101" s="32"/>
      <c r="E101" s="32"/>
      <c r="F101" s="32"/>
      <c r="G101" s="32"/>
      <c r="J101" s="32"/>
      <c r="K101" s="35"/>
      <c r="L101" s="35"/>
      <c r="M101" s="35"/>
      <c r="N101" s="35"/>
      <c r="O101" s="37">
        <f>+O82</f>
        <v>484901.54063286859</v>
      </c>
    </row>
    <row r="102" spans="1:16" s="28" customFormat="1" ht="15" customHeight="1" outlineLevel="1">
      <c r="B102" s="36" t="s">
        <v>483</v>
      </c>
      <c r="C102" s="32"/>
      <c r="D102" s="32"/>
      <c r="E102" s="32"/>
      <c r="F102" s="32"/>
      <c r="G102" s="32"/>
      <c r="J102" s="32"/>
      <c r="K102" s="35"/>
      <c r="L102" s="35"/>
      <c r="M102" s="35"/>
      <c r="N102" s="35"/>
      <c r="O102" s="37">
        <f>+$O94</f>
        <v>1533715.1451930003</v>
      </c>
    </row>
    <row r="103" spans="1:16" s="89" customFormat="1" ht="15" customHeight="1" outlineLevel="1">
      <c r="B103" s="90" t="s">
        <v>486</v>
      </c>
      <c r="C103" s="33"/>
      <c r="D103" s="33"/>
      <c r="E103" s="33"/>
      <c r="F103" s="33"/>
      <c r="G103" s="33"/>
      <c r="J103" s="33"/>
      <c r="K103" s="91"/>
      <c r="L103" s="91"/>
      <c r="M103" s="91"/>
      <c r="N103" s="91"/>
      <c r="O103" s="92">
        <f>+AVERAGE(O101:O102)</f>
        <v>1009308.3429129345</v>
      </c>
    </row>
    <row r="104" spans="1:16" s="28" customFormat="1" ht="15" customHeight="1" outlineLevel="1">
      <c r="B104" s="36"/>
      <c r="C104" s="32"/>
      <c r="D104" s="32"/>
      <c r="E104" s="32"/>
      <c r="F104" s="32"/>
      <c r="G104" s="32"/>
      <c r="H104" s="32"/>
      <c r="I104" s="35"/>
      <c r="J104" s="35"/>
      <c r="K104" s="35"/>
      <c r="L104" s="35"/>
      <c r="M104" s="35"/>
    </row>
    <row r="105" spans="1:16" s="28" customFormat="1" ht="15" customHeight="1" outlineLevel="1">
      <c r="B105" s="36" t="s">
        <v>478</v>
      </c>
      <c r="C105" s="32"/>
      <c r="D105" s="32"/>
      <c r="E105" s="32"/>
      <c r="F105" s="32"/>
      <c r="G105" s="32"/>
      <c r="H105" s="32"/>
      <c r="K105" s="79">
        <f>K92</f>
        <v>50979.083214328086</v>
      </c>
      <c r="L105" s="79">
        <f>L92</f>
        <v>71166.13226849983</v>
      </c>
      <c r="M105" s="79">
        <f>M92</f>
        <v>84111.887889452424</v>
      </c>
      <c r="N105" s="79">
        <f>N92</f>
        <v>98234.66246245979</v>
      </c>
      <c r="O105" s="79">
        <f>O92</f>
        <v>113295.24831546715</v>
      </c>
    </row>
    <row r="106" spans="1:16" s="28" customFormat="1" ht="15" customHeight="1" outlineLevel="1">
      <c r="B106" s="36" t="s">
        <v>487</v>
      </c>
      <c r="C106" s="32"/>
      <c r="D106" s="32"/>
      <c r="E106" s="32"/>
      <c r="F106" s="32"/>
      <c r="G106" s="32"/>
      <c r="H106" s="32"/>
      <c r="K106" s="35"/>
      <c r="L106" s="35"/>
      <c r="M106" s="35"/>
      <c r="N106" s="35"/>
      <c r="O106" s="37">
        <f>+O103</f>
        <v>1009308.3429129345</v>
      </c>
    </row>
    <row r="107" spans="1:16" s="28" customFormat="1" ht="15" customHeight="1" outlineLevel="1">
      <c r="B107" s="36" t="s">
        <v>488</v>
      </c>
      <c r="C107" s="32"/>
      <c r="D107" s="32"/>
      <c r="E107" s="32"/>
      <c r="F107" s="32"/>
      <c r="G107" s="32"/>
      <c r="H107" s="32"/>
      <c r="K107" s="93">
        <f>SUM(K105:K106)</f>
        <v>50979.083214328086</v>
      </c>
      <c r="L107" s="93">
        <f>SUM(L105:L106)</f>
        <v>71166.13226849983</v>
      </c>
      <c r="M107" s="93">
        <f>SUM(M105:M106)</f>
        <v>84111.887889452424</v>
      </c>
      <c r="N107" s="93">
        <f>SUM(N105:N106)</f>
        <v>98234.66246245979</v>
      </c>
      <c r="O107" s="93">
        <f>SUM(O105:O106)</f>
        <v>1122603.5912284018</v>
      </c>
    </row>
    <row r="108" spans="1:16" s="28" customFormat="1" ht="15" customHeight="1" outlineLevel="1">
      <c r="B108" s="36"/>
      <c r="C108" s="32"/>
      <c r="D108" s="32"/>
      <c r="E108" s="32"/>
      <c r="F108" s="32"/>
      <c r="G108" s="32"/>
      <c r="H108" s="32"/>
      <c r="K108" s="35"/>
      <c r="L108" s="35"/>
      <c r="M108" s="35"/>
      <c r="N108" s="35"/>
      <c r="O108" s="35"/>
    </row>
    <row r="109" spans="1:16" s="28" customFormat="1" ht="15" customHeight="1" outlineLevel="1">
      <c r="B109" s="94" t="s">
        <v>475</v>
      </c>
      <c r="C109" s="95">
        <f>+$F$69</f>
        <v>0.30026276000000002</v>
      </c>
      <c r="D109" s="32"/>
      <c r="F109" s="32"/>
      <c r="G109" s="32"/>
      <c r="H109" s="32"/>
      <c r="K109" s="35"/>
      <c r="L109" s="35"/>
      <c r="M109" s="35"/>
      <c r="N109" s="35"/>
      <c r="O109" s="35"/>
    </row>
    <row r="110" spans="1:16" s="28" customFormat="1" ht="15" customHeight="1" outlineLevel="1">
      <c r="B110" s="36"/>
      <c r="C110" s="96"/>
      <c r="D110" s="32"/>
      <c r="E110" s="32"/>
      <c r="F110" s="32"/>
      <c r="G110" s="32"/>
      <c r="H110" s="32"/>
      <c r="K110" s="35"/>
      <c r="L110" s="35"/>
      <c r="M110" s="35"/>
      <c r="N110" s="35"/>
      <c r="O110" s="35"/>
    </row>
    <row r="111" spans="1:16" s="28" customFormat="1" ht="15" customHeight="1" outlineLevel="1">
      <c r="B111" s="36" t="s">
        <v>489</v>
      </c>
      <c r="C111" s="32"/>
      <c r="D111" s="32"/>
      <c r="E111" s="32"/>
      <c r="F111" s="32"/>
      <c r="G111" s="32"/>
      <c r="H111" s="32"/>
      <c r="K111" s="97">
        <f>+K100-$J$100</f>
        <v>1</v>
      </c>
      <c r="L111" s="97">
        <f>+L100-$J$100</f>
        <v>2</v>
      </c>
      <c r="M111" s="97">
        <f>+M100-$J$100</f>
        <v>3</v>
      </c>
      <c r="N111" s="97">
        <f>+N100-$J$100</f>
        <v>4</v>
      </c>
      <c r="O111" s="97">
        <f>+O100-$J$100</f>
        <v>5</v>
      </c>
    </row>
    <row r="112" spans="1:16" s="28" customFormat="1" ht="15" customHeight="1" outlineLevel="1">
      <c r="B112" s="36" t="s">
        <v>490</v>
      </c>
      <c r="C112" s="32"/>
      <c r="D112" s="32"/>
      <c r="E112" s="32"/>
      <c r="F112" s="32"/>
      <c r="G112" s="32"/>
      <c r="H112" s="32"/>
      <c r="K112" s="37">
        <f>K107/(1+$C$109)^K111</f>
        <v>39206.754805719487</v>
      </c>
      <c r="L112" s="37">
        <f>L107/(1+$C$109)^L111</f>
        <v>42093.11973556436</v>
      </c>
      <c r="M112" s="37">
        <f>M107/(1+$C$109)^M111</f>
        <v>38261.677578270916</v>
      </c>
      <c r="N112" s="37">
        <f>N107/(1+$C$109)^N111</f>
        <v>34366.892129065607</v>
      </c>
      <c r="O112" s="37">
        <f>O107/(1+$C$109)^O111</f>
        <v>302044.41192865622</v>
      </c>
    </row>
    <row r="113" spans="1:16" s="28" customFormat="1" ht="15" customHeight="1" outlineLevel="1">
      <c r="B113" s="29"/>
      <c r="I113" s="31"/>
      <c r="J113" s="31"/>
      <c r="K113" s="31"/>
      <c r="L113" s="31"/>
      <c r="M113" s="31"/>
    </row>
    <row r="114" spans="1:16" s="28" customFormat="1" ht="15" customHeight="1" outlineLevel="1">
      <c r="B114" s="64" t="s">
        <v>491</v>
      </c>
      <c r="C114" s="98"/>
      <c r="K114" s="64" t="s">
        <v>492</v>
      </c>
      <c r="O114" s="31"/>
    </row>
    <row r="115" spans="1:16" s="28" customFormat="1" ht="15" customHeight="1" outlineLevel="1">
      <c r="B115" s="99" t="s">
        <v>85</v>
      </c>
      <c r="C115" s="99"/>
      <c r="D115" s="100">
        <f>+SUM(K112:O112)</f>
        <v>455972.85617727658</v>
      </c>
      <c r="K115" s="101" t="str">
        <f>$O$79&amp;"F UFCF"</f>
        <v>2029F UFCF</v>
      </c>
      <c r="L115" s="66"/>
      <c r="M115" s="66"/>
      <c r="N115" s="66"/>
      <c r="O115" s="102">
        <f>O80</f>
        <v>113295.24831546715</v>
      </c>
    </row>
    <row r="116" spans="1:16" s="28" customFormat="1" ht="15" customHeight="1" outlineLevel="1">
      <c r="B116" s="103" t="s">
        <v>176</v>
      </c>
      <c r="C116" s="103"/>
      <c r="D116" s="104">
        <f>($J$18-$J$19)</f>
        <v>-1500</v>
      </c>
      <c r="K116" s="105" t="s">
        <v>483</v>
      </c>
      <c r="O116" s="106">
        <f>O94</f>
        <v>1533715.1451930003</v>
      </c>
    </row>
    <row r="117" spans="1:16" s="28" customFormat="1" ht="15" customHeight="1" outlineLevel="1">
      <c r="B117" s="107" t="s">
        <v>132</v>
      </c>
      <c r="C117" s="107"/>
      <c r="D117" s="104">
        <f>SUM(D115:D116)</f>
        <v>454472.85617727658</v>
      </c>
      <c r="K117" s="108" t="s">
        <v>493</v>
      </c>
      <c r="L117" s="109"/>
      <c r="M117" s="109"/>
      <c r="N117" s="109"/>
      <c r="O117" s="110">
        <f>(O116*C109-O115)/(O115+O116)</f>
        <v>0.21081973471602067</v>
      </c>
    </row>
    <row r="118" spans="1:16" s="28" customFormat="1" ht="15" customHeight="1" outlineLevel="1">
      <c r="K118" s="108" t="s">
        <v>494</v>
      </c>
      <c r="O118" s="110">
        <f>((O116/(1+C109)^0.5)*C109-O115)/(O115+(O116/(1+C109)^0.5))</f>
        <v>0.19924655877904041</v>
      </c>
    </row>
    <row r="119" spans="1:16" s="28" customFormat="1" ht="15" customHeight="1" outlineLevel="1">
      <c r="B119" s="64" t="s">
        <v>495</v>
      </c>
      <c r="C119" s="98"/>
      <c r="K119" s="111"/>
      <c r="O119" s="112"/>
    </row>
    <row r="120" spans="1:16" s="28" customFormat="1" ht="15" customHeight="1" outlineLevel="1">
      <c r="B120" s="99" t="s">
        <v>132</v>
      </c>
      <c r="C120" s="66"/>
      <c r="D120" s="66"/>
      <c r="E120" s="100">
        <f>+D117</f>
        <v>454472.85617727658</v>
      </c>
      <c r="K120" s="105" t="str">
        <f>$O$91&amp;"F EBITDA"</f>
        <v>2029F EBITDA</v>
      </c>
      <c r="O120" s="106">
        <f>O93</f>
        <v>171941.15977500004</v>
      </c>
    </row>
    <row r="121" spans="1:16" s="28" customFormat="1" ht="15" customHeight="1" outlineLevel="1">
      <c r="B121" s="113" t="s">
        <v>496</v>
      </c>
      <c r="D121" s="114" t="s">
        <v>497</v>
      </c>
      <c r="E121" s="265">
        <v>10000</v>
      </c>
      <c r="K121" s="105" t="s">
        <v>480</v>
      </c>
      <c r="L121" s="31"/>
      <c r="M121" s="31"/>
      <c r="N121" s="31"/>
      <c r="O121" s="115">
        <f>O82</f>
        <v>484901.54063286859</v>
      </c>
    </row>
    <row r="122" spans="1:16" s="28" customFormat="1" ht="15" customHeight="1" outlineLevel="1">
      <c r="B122" s="113" t="s">
        <v>132</v>
      </c>
      <c r="D122" s="116" t="s">
        <v>525</v>
      </c>
      <c r="E122" s="117">
        <f>E120/E121</f>
        <v>45.447285617727658</v>
      </c>
      <c r="K122" s="118" t="s">
        <v>499</v>
      </c>
      <c r="L122" s="119"/>
      <c r="M122" s="119"/>
      <c r="N122" s="119"/>
      <c r="O122" s="120">
        <f>O121/O120</f>
        <v>2.8201597643484808</v>
      </c>
    </row>
    <row r="123" spans="1:16" s="28" customFormat="1" ht="15" customHeight="1" outlineLevel="1">
      <c r="B123" s="113" t="s">
        <v>500</v>
      </c>
      <c r="D123" s="116" t="s">
        <v>525</v>
      </c>
      <c r="E123" s="149">
        <f>Outputs!F12</f>
        <v>1.6737860096249999</v>
      </c>
      <c r="K123" s="121" t="s">
        <v>501</v>
      </c>
      <c r="L123" s="46"/>
      <c r="M123" s="46"/>
      <c r="N123" s="46"/>
      <c r="O123" s="122">
        <f>(O121*(1+C109)^0.5)/O120</f>
        <v>3.2158018027828157</v>
      </c>
    </row>
    <row r="124" spans="1:16" s="28" customFormat="1" ht="15" customHeight="1" outlineLevel="1">
      <c r="B124" s="123" t="s">
        <v>502</v>
      </c>
      <c r="C124" s="124"/>
      <c r="D124" s="124"/>
      <c r="E124" s="125">
        <f>E122/E123-1</f>
        <v>26.152387077192625</v>
      </c>
    </row>
    <row r="125" spans="1:16" s="28" customFormat="1" ht="15" customHeight="1" outlineLevel="1"/>
    <row r="126" spans="1:16" s="28" customFormat="1" ht="15" customHeight="1" outlineLevel="1">
      <c r="B126" s="46"/>
      <c r="C126" s="46"/>
      <c r="D126" s="46"/>
      <c r="E126" s="46"/>
      <c r="F126" s="46"/>
      <c r="G126" s="46"/>
      <c r="H126" s="46"/>
      <c r="I126" s="46"/>
      <c r="J126" s="46"/>
      <c r="K126" s="46"/>
      <c r="L126" s="46"/>
      <c r="M126" s="46"/>
      <c r="N126" s="46"/>
      <c r="O126" s="46"/>
      <c r="P126" s="46"/>
    </row>
    <row r="127" spans="1:16" s="28" customFormat="1" ht="15" customHeight="1"/>
    <row r="128" spans="1:16" s="28" customFormat="1" ht="15" customHeight="1">
      <c r="A128" s="49" t="s">
        <v>80</v>
      </c>
      <c r="B128" s="279" t="s">
        <v>503</v>
      </c>
      <c r="C128" s="146"/>
      <c r="D128" s="146"/>
      <c r="E128" s="146"/>
      <c r="F128" s="146"/>
      <c r="G128" s="146"/>
      <c r="H128" s="146"/>
      <c r="I128" s="146"/>
      <c r="J128" s="146"/>
      <c r="K128" s="146"/>
      <c r="L128" s="146"/>
      <c r="M128" s="146"/>
      <c r="N128" s="146"/>
      <c r="O128" s="146"/>
      <c r="P128" s="146"/>
    </row>
    <row r="129" spans="2:16" s="28" customFormat="1" ht="15" customHeight="1" outlineLevel="1"/>
    <row r="130" spans="2:16" s="28" customFormat="1" ht="15" customHeight="1" outlineLevel="1">
      <c r="B130" s="13" t="s">
        <v>344</v>
      </c>
      <c r="I130" s="159"/>
      <c r="J130" s="154" t="s">
        <v>504</v>
      </c>
      <c r="K130" s="158" t="s">
        <v>505</v>
      </c>
      <c r="L130" s="153"/>
      <c r="M130" s="153"/>
      <c r="N130" s="153"/>
      <c r="O130" s="157"/>
      <c r="P130" s="154" t="s">
        <v>506</v>
      </c>
    </row>
    <row r="131" spans="2:16" s="28" customFormat="1" ht="15" customHeight="1" outlineLevel="1">
      <c r="I131" s="159"/>
      <c r="J131" s="155" t="s">
        <v>170</v>
      </c>
      <c r="K131" s="152" t="s">
        <v>170</v>
      </c>
      <c r="L131" s="152" t="s">
        <v>170</v>
      </c>
      <c r="M131" s="152" t="s">
        <v>170</v>
      </c>
      <c r="N131" s="152" t="s">
        <v>170</v>
      </c>
      <c r="O131" s="155" t="s">
        <v>170</v>
      </c>
      <c r="P131" s="155" t="s">
        <v>170</v>
      </c>
    </row>
    <row r="132" spans="2:16" s="28" customFormat="1" ht="15" customHeight="1" outlineLevel="1">
      <c r="B132" s="94" t="s">
        <v>475</v>
      </c>
      <c r="C132" s="95">
        <f>+$F$69</f>
        <v>0.30026276000000002</v>
      </c>
      <c r="H132" s="128" t="s">
        <v>507</v>
      </c>
      <c r="I132" s="159"/>
      <c r="J132" s="156">
        <f>EOMONTH(K132,-12)</f>
        <v>45291</v>
      </c>
      <c r="K132" s="266">
        <v>45657</v>
      </c>
      <c r="L132" s="129">
        <f t="shared" ref="L132:O133" si="3">EOMONTH(K132,12)</f>
        <v>46022</v>
      </c>
      <c r="M132" s="129">
        <f t="shared" si="3"/>
        <v>46387</v>
      </c>
      <c r="N132" s="129">
        <f t="shared" si="3"/>
        <v>46752</v>
      </c>
      <c r="O132" s="156">
        <f t="shared" si="3"/>
        <v>47118</v>
      </c>
      <c r="P132" s="156">
        <f>O132</f>
        <v>47118</v>
      </c>
    </row>
    <row r="133" spans="2:16" s="28" customFormat="1" ht="15" customHeight="1" outlineLevel="1" thickBot="1">
      <c r="H133" s="128" t="s">
        <v>508</v>
      </c>
      <c r="J133" s="160">
        <f>J132</f>
        <v>45291</v>
      </c>
      <c r="K133" s="267">
        <v>45473</v>
      </c>
      <c r="L133" s="161">
        <f t="shared" si="3"/>
        <v>45838</v>
      </c>
      <c r="M133" s="161">
        <f t="shared" si="3"/>
        <v>46203</v>
      </c>
      <c r="N133" s="161">
        <f t="shared" si="3"/>
        <v>46568</v>
      </c>
      <c r="O133" s="162">
        <f t="shared" si="3"/>
        <v>46934</v>
      </c>
      <c r="P133" s="162">
        <f>O133</f>
        <v>46934</v>
      </c>
    </row>
    <row r="134" spans="2:16" s="28" customFormat="1" ht="15" customHeight="1" outlineLevel="1"/>
    <row r="135" spans="2:16" s="28" customFormat="1" ht="15" customHeight="1" outlineLevel="1">
      <c r="J135" s="31"/>
      <c r="K135" s="8"/>
      <c r="L135" s="8"/>
      <c r="M135" s="8"/>
      <c r="N135" s="8"/>
      <c r="O135" s="8"/>
    </row>
    <row r="136" spans="2:16" s="28" customFormat="1" ht="15" customHeight="1" outlineLevel="1" thickBot="1">
      <c r="J136" s="148">
        <f>Model!J$5</f>
        <v>2024</v>
      </c>
      <c r="K136" s="147">
        <f>Model!K$5</f>
        <v>2025</v>
      </c>
      <c r="L136" s="147">
        <f>Model!L$5</f>
        <v>2026</v>
      </c>
      <c r="M136" s="147">
        <f>Model!M$5</f>
        <v>2027</v>
      </c>
      <c r="N136" s="147">
        <f>Model!N$5</f>
        <v>2028</v>
      </c>
      <c r="O136" s="147">
        <f>Model!O$5</f>
        <v>2029</v>
      </c>
    </row>
    <row r="137" spans="2:16" s="28" customFormat="1" ht="15" customHeight="1" outlineLevel="1">
      <c r="B137" s="36" t="s">
        <v>478</v>
      </c>
      <c r="K137" s="34">
        <f>K105</f>
        <v>50979.083214328086</v>
      </c>
      <c r="L137" s="34">
        <f>L105</f>
        <v>71166.13226849983</v>
      </c>
      <c r="M137" s="34">
        <f>M105</f>
        <v>84111.887889452424</v>
      </c>
      <c r="N137" s="34">
        <f>N105</f>
        <v>98234.66246245979</v>
      </c>
      <c r="O137" s="34">
        <f>O105</f>
        <v>113295.24831546715</v>
      </c>
    </row>
    <row r="138" spans="2:16" s="28" customFormat="1" ht="15" customHeight="1" outlineLevel="1">
      <c r="B138" s="36" t="s">
        <v>509</v>
      </c>
      <c r="J138" s="46"/>
      <c r="K138" s="46"/>
      <c r="L138" s="46"/>
      <c r="M138" s="46"/>
      <c r="N138" s="46"/>
      <c r="O138" s="84">
        <f>O103</f>
        <v>1009308.3429129345</v>
      </c>
    </row>
    <row r="139" spans="2:16" s="28" customFormat="1" ht="15" customHeight="1" outlineLevel="1">
      <c r="B139" s="36" t="s">
        <v>488</v>
      </c>
      <c r="J139" s="130">
        <f>Model!K145</f>
        <v>-17136.360096249999</v>
      </c>
      <c r="K139" s="34">
        <f>SUM(K137:K138)</f>
        <v>50979.083214328086</v>
      </c>
      <c r="L139" s="34">
        <f>SUM(L137:L138)</f>
        <v>71166.13226849983</v>
      </c>
      <c r="M139" s="34">
        <f>SUM(M137:M138)</f>
        <v>84111.887889452424</v>
      </c>
      <c r="N139" s="34">
        <f>SUM(N137:N138)</f>
        <v>98234.66246245979</v>
      </c>
      <c r="O139" s="34">
        <f>SUM(O137:O138)</f>
        <v>1122603.5912284018</v>
      </c>
    </row>
    <row r="140" spans="2:16" s="28" customFormat="1" ht="15" customHeight="1" outlineLevel="1"/>
    <row r="141" spans="2:16" s="28" customFormat="1" ht="15" customHeight="1" outlineLevel="1">
      <c r="B141" s="33" t="s">
        <v>510</v>
      </c>
    </row>
    <row r="142" spans="2:16" s="28" customFormat="1" ht="15" customHeight="1" outlineLevel="1">
      <c r="B142" s="36" t="s">
        <v>489</v>
      </c>
      <c r="J142" s="46"/>
      <c r="K142" s="131">
        <f>(K132-$J132)/365</f>
        <v>1.0027397260273974</v>
      </c>
      <c r="L142" s="131">
        <f>(L132-$J132)/365</f>
        <v>2.0027397260273974</v>
      </c>
      <c r="M142" s="131">
        <f>(M132-$J132)/365</f>
        <v>3.0027397260273974</v>
      </c>
      <c r="N142" s="131">
        <f>(N132-$J132)/365</f>
        <v>4.0027397260273974</v>
      </c>
      <c r="O142" s="131">
        <f>(O132-$J132)/365</f>
        <v>5.0054794520547947</v>
      </c>
      <c r="P142" s="30"/>
    </row>
    <row r="143" spans="2:16" s="28" customFormat="1" ht="15" customHeight="1" outlineLevel="1">
      <c r="B143" s="36" t="s">
        <v>490</v>
      </c>
      <c r="J143" s="268">
        <v>0</v>
      </c>
      <c r="K143" s="34">
        <f>K$139/(1+$C$132)^K142</f>
        <v>39178.561180012068</v>
      </c>
      <c r="L143" s="34">
        <f>L$139/(1+$C$132)^L142</f>
        <v>42062.850521278131</v>
      </c>
      <c r="M143" s="34">
        <f>M$139/(1+$C$132)^M142</f>
        <v>38234.163558762666</v>
      </c>
      <c r="N143" s="34">
        <f>N$139/(1+$C$132)^N142</f>
        <v>34342.178854574631</v>
      </c>
      <c r="O143" s="34">
        <f>O$139/(1+$C$132)^O142</f>
        <v>301610.16709996836</v>
      </c>
    </row>
    <row r="144" spans="2:16" s="28" customFormat="1" ht="15" customHeight="1" outlineLevel="1">
      <c r="B144" s="36" t="s">
        <v>85</v>
      </c>
      <c r="H144" s="34">
        <f>SUM(K143:O143)</f>
        <v>455427.92121459584</v>
      </c>
    </row>
    <row r="145" spans="2:15" s="28" customFormat="1" ht="15" customHeight="1" outlineLevel="1">
      <c r="B145" s="36" t="s">
        <v>132</v>
      </c>
      <c r="F145" s="116" t="s">
        <v>525</v>
      </c>
      <c r="H145" s="132">
        <f>(H144+$D$116)/$E$121</f>
        <v>45.392792121459586</v>
      </c>
    </row>
    <row r="146" spans="2:15" s="28" customFormat="1" ht="15" customHeight="1" outlineLevel="1">
      <c r="B146" s="36"/>
      <c r="H146" s="34"/>
    </row>
    <row r="147" spans="2:15" s="28" customFormat="1" ht="15" customHeight="1" outlineLevel="1">
      <c r="B147" s="33" t="s">
        <v>511</v>
      </c>
    </row>
    <row r="148" spans="2:15" s="28" customFormat="1" ht="15" customHeight="1" outlineLevel="1">
      <c r="B148" s="36" t="s">
        <v>489</v>
      </c>
      <c r="J148" s="46"/>
      <c r="K148" s="131">
        <f>(K133-$J$133)/365</f>
        <v>0.49863013698630138</v>
      </c>
      <c r="L148" s="131">
        <f>(L133-$J$133)/365</f>
        <v>1.4986301369863013</v>
      </c>
      <c r="M148" s="131">
        <f>(M133-$J$133)/365</f>
        <v>2.4986301369863013</v>
      </c>
      <c r="N148" s="131">
        <f>(N133-$J$133)/365</f>
        <v>3.4986301369863013</v>
      </c>
      <c r="O148" s="131">
        <f>(O133-$J$133)/365</f>
        <v>4.5013698630136982</v>
      </c>
    </row>
    <row r="149" spans="2:15" s="28" customFormat="1" ht="15" customHeight="1" outlineLevel="1">
      <c r="B149" s="36" t="s">
        <v>490</v>
      </c>
      <c r="J149" s="268">
        <v>0</v>
      </c>
      <c r="K149" s="34">
        <f>K$139/(1+$C$132)^K148</f>
        <v>44723.178948872817</v>
      </c>
      <c r="L149" s="34">
        <f>L$139/(1+$C$132)^L148</f>
        <v>48015.657908400775</v>
      </c>
      <c r="M149" s="34">
        <f>M$139/(1+$C$132)^M148</f>
        <v>43645.128542172977</v>
      </c>
      <c r="N149" s="34">
        <f>N$139/(1+$C$132)^N148</f>
        <v>39202.343428347012</v>
      </c>
      <c r="O149" s="34">
        <f>O$139/(1+$C$132)^O148</f>
        <v>344294.55982403609</v>
      </c>
    </row>
    <row r="150" spans="2:15" s="28" customFormat="1" ht="15" customHeight="1" outlineLevel="1">
      <c r="B150" s="36" t="s">
        <v>85</v>
      </c>
      <c r="H150" s="34">
        <f>SUM(K149:O149)</f>
        <v>519880.86865182966</v>
      </c>
    </row>
    <row r="151" spans="2:15" s="28" customFormat="1" ht="15" customHeight="1" outlineLevel="1">
      <c r="B151" s="36" t="s">
        <v>132</v>
      </c>
      <c r="F151" s="116" t="s">
        <v>525</v>
      </c>
      <c r="H151" s="132">
        <f>(H150+$D$116)/$E$121</f>
        <v>51.838086865182966</v>
      </c>
    </row>
    <row r="152" spans="2:15" s="28" customFormat="1" ht="15" customHeight="1" outlineLevel="1">
      <c r="B152" s="36"/>
      <c r="H152" s="34"/>
    </row>
    <row r="153" spans="2:15" s="28" customFormat="1" ht="15" customHeight="1" outlineLevel="1">
      <c r="B153" s="33" t="s">
        <v>512</v>
      </c>
    </row>
    <row r="154" spans="2:15" s="28" customFormat="1" ht="15" customHeight="1" outlineLevel="1">
      <c r="B154" s="36" t="s">
        <v>85</v>
      </c>
      <c r="H154" s="34">
        <f>NPV(C132,K139:O139)+J139</f>
        <v>438836.4960810265</v>
      </c>
      <c r="J154" s="30"/>
    </row>
    <row r="155" spans="2:15" s="28" customFormat="1" ht="15" customHeight="1" outlineLevel="1">
      <c r="B155" s="36" t="s">
        <v>132</v>
      </c>
      <c r="F155" s="116" t="s">
        <v>498</v>
      </c>
      <c r="H155" s="132">
        <f>(H154+$D$116)/$E$121</f>
        <v>43.733649608102652</v>
      </c>
      <c r="J155" s="30"/>
    </row>
    <row r="156" spans="2:15" s="28" customFormat="1" ht="15" customHeight="1" outlineLevel="1">
      <c r="B156" s="36"/>
      <c r="H156" s="34"/>
      <c r="J156" s="30"/>
    </row>
    <row r="157" spans="2:15" s="28" customFormat="1" ht="15" customHeight="1" outlineLevel="1">
      <c r="B157" s="33" t="s">
        <v>513</v>
      </c>
      <c r="J157" s="30"/>
    </row>
    <row r="158" spans="2:15" s="28" customFormat="1" ht="15" customHeight="1" outlineLevel="1">
      <c r="B158" s="36" t="s">
        <v>85</v>
      </c>
      <c r="H158" s="34">
        <f>XNPV(C132,J139:O139,J132:O132)</f>
        <v>438291.56111834582</v>
      </c>
      <c r="J158" s="30"/>
    </row>
    <row r="159" spans="2:15" s="28" customFormat="1" ht="15" customHeight="1" outlineLevel="1">
      <c r="B159" s="36" t="s">
        <v>132</v>
      </c>
      <c r="F159" s="116" t="s">
        <v>498</v>
      </c>
      <c r="H159" s="132">
        <f>(H158+$D$116)/$E$121</f>
        <v>43.67915611183458</v>
      </c>
      <c r="J159" s="30"/>
    </row>
    <row r="160" spans="2:15" s="28" customFormat="1" ht="15" customHeight="1" outlineLevel="1">
      <c r="B160" s="36"/>
      <c r="H160" s="34"/>
      <c r="J160" s="30"/>
    </row>
    <row r="161" spans="1:16" s="28" customFormat="1" ht="15" customHeight="1" outlineLevel="1">
      <c r="B161" s="33" t="s">
        <v>514</v>
      </c>
      <c r="J161" s="30"/>
    </row>
    <row r="162" spans="1:16" s="28" customFormat="1" ht="15" customHeight="1" outlineLevel="1">
      <c r="B162" s="36" t="s">
        <v>85</v>
      </c>
      <c r="H162" s="34">
        <f>XNPV(C132,J139:O139,J133:O133)</f>
        <v>502744.5085555797</v>
      </c>
      <c r="J162" s="30"/>
    </row>
    <row r="163" spans="1:16" s="28" customFormat="1" ht="15" customHeight="1" outlineLevel="1">
      <c r="B163" s="36" t="s">
        <v>132</v>
      </c>
      <c r="F163" s="116" t="s">
        <v>498</v>
      </c>
      <c r="H163" s="132">
        <f>(H162+$D$116)/$E$121</f>
        <v>50.124450855557967</v>
      </c>
      <c r="J163" s="30"/>
    </row>
    <row r="164" spans="1:16" s="28" customFormat="1" ht="15" customHeight="1" outlineLevel="1">
      <c r="B164" s="36"/>
      <c r="H164" s="34"/>
      <c r="J164" s="30"/>
    </row>
    <row r="165" spans="1:16" s="28" customFormat="1" ht="15" customHeight="1" outlineLevel="1">
      <c r="B165" s="32"/>
      <c r="P165" s="127"/>
    </row>
    <row r="166" spans="1:16" s="28" customFormat="1" ht="15" customHeight="1" outlineLevel="1">
      <c r="B166" s="56"/>
      <c r="C166" s="46"/>
      <c r="D166" s="46"/>
      <c r="E166" s="46"/>
      <c r="F166" s="46"/>
      <c r="G166" s="46"/>
      <c r="H166" s="46"/>
      <c r="I166" s="46"/>
      <c r="J166" s="46"/>
      <c r="K166" s="46"/>
      <c r="L166" s="46"/>
      <c r="M166" s="46"/>
      <c r="N166" s="46"/>
      <c r="O166" s="46"/>
      <c r="P166" s="46"/>
    </row>
    <row r="167" spans="1:16" s="28" customFormat="1" ht="15" customHeight="1">
      <c r="B167" s="32"/>
    </row>
    <row r="168" spans="1:16" s="28" customFormat="1" ht="15" customHeight="1">
      <c r="A168" s="28" t="s">
        <v>80</v>
      </c>
      <c r="B168" s="279" t="s">
        <v>515</v>
      </c>
      <c r="C168" s="146"/>
      <c r="D168" s="146"/>
      <c r="E168" s="146"/>
      <c r="F168" s="146"/>
      <c r="G168" s="146"/>
      <c r="H168" s="146"/>
      <c r="I168" s="146"/>
      <c r="J168" s="146"/>
      <c r="K168" s="146"/>
      <c r="L168" s="146"/>
      <c r="M168" s="146"/>
      <c r="N168" s="146"/>
      <c r="O168" s="146"/>
      <c r="P168" s="146"/>
    </row>
    <row r="169" spans="1:16" s="28" customFormat="1" ht="15" customHeight="1" outlineLevel="1">
      <c r="B169" s="32"/>
    </row>
    <row r="170" spans="1:16" s="28" customFormat="1" ht="15" customHeight="1" outlineLevel="1">
      <c r="B170" s="13" t="s">
        <v>344</v>
      </c>
      <c r="I170" s="274"/>
      <c r="J170" s="276" t="s">
        <v>504</v>
      </c>
      <c r="K170" s="158" t="s">
        <v>505</v>
      </c>
      <c r="L170" s="153"/>
      <c r="M170" s="153"/>
      <c r="N170" s="153"/>
      <c r="O170" s="157"/>
      <c r="P170" s="154" t="s">
        <v>506</v>
      </c>
    </row>
    <row r="171" spans="1:16" s="28" customFormat="1" ht="15" customHeight="1" outlineLevel="1">
      <c r="I171" s="274"/>
      <c r="J171" s="275" t="s">
        <v>170</v>
      </c>
      <c r="K171" s="152" t="s">
        <v>170</v>
      </c>
      <c r="L171" s="152" t="s">
        <v>170</v>
      </c>
      <c r="M171" s="152" t="s">
        <v>170</v>
      </c>
      <c r="N171" s="152" t="s">
        <v>170</v>
      </c>
      <c r="O171" s="155" t="s">
        <v>170</v>
      </c>
      <c r="P171" s="155" t="s">
        <v>170</v>
      </c>
    </row>
    <row r="172" spans="1:16" s="28" customFormat="1" ht="15" customHeight="1" outlineLevel="1">
      <c r="B172" s="94" t="s">
        <v>475</v>
      </c>
      <c r="C172" s="95">
        <f>+$F$69</f>
        <v>0.30026276000000002</v>
      </c>
      <c r="H172" s="128" t="s">
        <v>507</v>
      </c>
      <c r="I172" s="159"/>
      <c r="J172" s="156">
        <f>EOMONTH(K172,-12)</f>
        <v>45291</v>
      </c>
      <c r="K172" s="266">
        <v>45657</v>
      </c>
      <c r="L172" s="129">
        <f t="shared" ref="L172:O173" si="4">EOMONTH(K172,12)</f>
        <v>46022</v>
      </c>
      <c r="M172" s="129">
        <f t="shared" si="4"/>
        <v>46387</v>
      </c>
      <c r="N172" s="129">
        <f t="shared" si="4"/>
        <v>46752</v>
      </c>
      <c r="O172" s="156">
        <f t="shared" si="4"/>
        <v>47118</v>
      </c>
      <c r="P172" s="156">
        <f>O172</f>
        <v>47118</v>
      </c>
    </row>
    <row r="173" spans="1:16" s="28" customFormat="1" ht="15" customHeight="1" outlineLevel="1" thickBot="1">
      <c r="H173" s="128" t="s">
        <v>508</v>
      </c>
      <c r="I173" s="159"/>
      <c r="J173" s="160">
        <f>J172</f>
        <v>45291</v>
      </c>
      <c r="K173" s="267">
        <v>45473</v>
      </c>
      <c r="L173" s="161">
        <f t="shared" si="4"/>
        <v>45838</v>
      </c>
      <c r="M173" s="161">
        <f t="shared" si="4"/>
        <v>46203</v>
      </c>
      <c r="N173" s="161">
        <f t="shared" si="4"/>
        <v>46568</v>
      </c>
      <c r="O173" s="162">
        <f t="shared" si="4"/>
        <v>46934</v>
      </c>
      <c r="P173" s="162">
        <f>O173</f>
        <v>46934</v>
      </c>
    </row>
    <row r="174" spans="1:16" s="28" customFormat="1" ht="15" customHeight="1" outlineLevel="1">
      <c r="B174" s="32"/>
    </row>
    <row r="175" spans="1:16" s="28" customFormat="1" ht="15" customHeight="1" outlineLevel="1">
      <c r="B175" s="32"/>
      <c r="J175" s="31"/>
      <c r="K175" s="8"/>
      <c r="L175" s="8"/>
      <c r="M175" s="8"/>
      <c r="N175" s="8"/>
      <c r="O175" s="8"/>
    </row>
    <row r="176" spans="1:16" s="28" customFormat="1" ht="15" customHeight="1" outlineLevel="1" thickBot="1">
      <c r="J176" s="148">
        <f>Model!J$5</f>
        <v>2024</v>
      </c>
      <c r="K176" s="147">
        <f>Model!K$5</f>
        <v>2025</v>
      </c>
      <c r="L176" s="147">
        <f>Model!L$5</f>
        <v>2026</v>
      </c>
      <c r="M176" s="147">
        <f>Model!M$5</f>
        <v>2027</v>
      </c>
      <c r="N176" s="147">
        <f>Model!N$5</f>
        <v>2028</v>
      </c>
      <c r="O176" s="147">
        <f>Model!O$5</f>
        <v>2029</v>
      </c>
    </row>
    <row r="177" spans="2:16" s="28" customFormat="1" ht="15" customHeight="1" outlineLevel="1">
      <c r="B177" s="36" t="s">
        <v>478</v>
      </c>
      <c r="K177" s="34">
        <f>K105</f>
        <v>50979.083214328086</v>
      </c>
      <c r="L177" s="34">
        <f>L105</f>
        <v>71166.13226849983</v>
      </c>
      <c r="M177" s="34">
        <f>M105</f>
        <v>84111.887889452424</v>
      </c>
      <c r="N177" s="34">
        <f>N105</f>
        <v>98234.66246245979</v>
      </c>
      <c r="O177" s="34">
        <f>O105</f>
        <v>113295.24831546715</v>
      </c>
    </row>
    <row r="178" spans="2:16" s="28" customFormat="1" ht="15" customHeight="1" outlineLevel="1">
      <c r="B178" s="36" t="s">
        <v>509</v>
      </c>
      <c r="J178" s="46"/>
      <c r="K178" s="46"/>
      <c r="L178" s="46"/>
      <c r="M178" s="46"/>
      <c r="N178" s="46"/>
      <c r="O178" s="84">
        <f>O103</f>
        <v>1009308.3429129345</v>
      </c>
    </row>
    <row r="179" spans="2:16" s="28" customFormat="1" ht="15" customHeight="1" outlineLevel="1">
      <c r="B179" s="36" t="s">
        <v>488</v>
      </c>
      <c r="J179" s="130">
        <f>Model!K145</f>
        <v>-17136.360096249999</v>
      </c>
      <c r="K179" s="34">
        <f>SUM(K137:K138)</f>
        <v>50979.083214328086</v>
      </c>
      <c r="L179" s="34">
        <f>SUM(L137:L138)</f>
        <v>71166.13226849983</v>
      </c>
      <c r="M179" s="34">
        <f>SUM(M137:M138)</f>
        <v>84111.887889452424</v>
      </c>
      <c r="N179" s="34">
        <f>SUM(N137:N138)</f>
        <v>98234.66246245979</v>
      </c>
      <c r="O179" s="34">
        <f>SUM(O137:O138)</f>
        <v>1122603.5912284018</v>
      </c>
    </row>
    <row r="180" spans="2:16" s="28" customFormat="1" ht="15" customHeight="1" outlineLevel="1">
      <c r="B180" s="32"/>
      <c r="J180" s="130"/>
      <c r="K180" s="34"/>
      <c r="L180" s="34"/>
      <c r="M180" s="34"/>
      <c r="N180" s="34"/>
      <c r="O180" s="34"/>
    </row>
    <row r="181" spans="2:16" s="28" customFormat="1" ht="15" customHeight="1" outlineLevel="1">
      <c r="B181" s="33" t="s">
        <v>516</v>
      </c>
    </row>
    <row r="182" spans="2:16" s="28" customFormat="1" ht="15" customHeight="1" outlineLevel="1">
      <c r="B182" s="36" t="s">
        <v>517</v>
      </c>
      <c r="H182" s="134">
        <f>IRR(J179:O179)</f>
        <v>3.4093730782384295</v>
      </c>
    </row>
    <row r="183" spans="2:16" s="28" customFormat="1" ht="15" customHeight="1" outlineLevel="1">
      <c r="B183" s="32"/>
    </row>
    <row r="184" spans="2:16" s="28" customFormat="1" ht="15" customHeight="1" outlineLevel="1">
      <c r="B184" s="33" t="s">
        <v>518</v>
      </c>
    </row>
    <row r="185" spans="2:16" s="28" customFormat="1" ht="15" customHeight="1" outlineLevel="1">
      <c r="B185" s="36" t="s">
        <v>517</v>
      </c>
      <c r="H185" s="134">
        <f>XIRR(J179:O179,J172:O172)</f>
        <v>3.3972498655319217</v>
      </c>
    </row>
    <row r="186" spans="2:16" s="28" customFormat="1" ht="15" customHeight="1" outlineLevel="1">
      <c r="B186" s="36"/>
      <c r="H186" s="96"/>
    </row>
    <row r="187" spans="2:16" s="28" customFormat="1" ht="15" customHeight="1" outlineLevel="1">
      <c r="B187" s="33" t="s">
        <v>519</v>
      </c>
      <c r="H187" s="96"/>
    </row>
    <row r="188" spans="2:16" s="28" customFormat="1" ht="15" customHeight="1" outlineLevel="1">
      <c r="B188" s="36" t="s">
        <v>517</v>
      </c>
      <c r="H188" s="134">
        <f>XIRR(J179:O179,J173:O173)</f>
        <v>10.504274845123293</v>
      </c>
    </row>
    <row r="189" spans="2:16" s="28" customFormat="1" ht="15" customHeight="1" outlineLevel="1">
      <c r="B189" s="32"/>
      <c r="P189" s="133" t="s">
        <v>520</v>
      </c>
    </row>
    <row r="190" spans="2:16" s="28" customFormat="1" ht="15" customHeight="1" outlineLevel="1">
      <c r="P190" s="126" t="s">
        <v>521</v>
      </c>
    </row>
    <row r="191" spans="2:16" s="28" customFormat="1" ht="15" customHeight="1" outlineLevel="1">
      <c r="N191" s="126"/>
    </row>
    <row r="192" spans="2:16" s="28" customFormat="1" ht="15" customHeight="1" outlineLevel="1">
      <c r="B192" s="46"/>
      <c r="C192" s="46"/>
      <c r="D192" s="46"/>
      <c r="E192" s="46"/>
      <c r="F192" s="46"/>
      <c r="G192" s="46"/>
      <c r="H192" s="46"/>
      <c r="I192" s="46"/>
      <c r="J192" s="46"/>
      <c r="K192" s="46"/>
      <c r="L192" s="46"/>
      <c r="M192" s="46"/>
      <c r="N192" s="135"/>
    </row>
    <row r="193" spans="1:16" s="28" customFormat="1" ht="15" customHeight="1"/>
    <row r="194" spans="1:16" s="28" customFormat="1" ht="15" customHeight="1">
      <c r="A194" s="28" t="s">
        <v>80</v>
      </c>
      <c r="B194" s="279" t="s">
        <v>522</v>
      </c>
      <c r="C194" s="146"/>
      <c r="D194" s="146"/>
      <c r="E194" s="146"/>
      <c r="F194" s="146"/>
      <c r="G194" s="146"/>
      <c r="H194" s="146"/>
      <c r="I194" s="146"/>
      <c r="J194" s="146"/>
      <c r="K194" s="146"/>
      <c r="L194" s="146"/>
      <c r="M194" s="146"/>
      <c r="N194" s="146"/>
      <c r="O194" s="146"/>
      <c r="P194" s="146"/>
    </row>
    <row r="195" spans="1:16" s="28" customFormat="1" ht="15" customHeight="1" outlineLevel="1"/>
    <row r="196" spans="1:16" s="28" customFormat="1" ht="15" customHeight="1" outlineLevel="1">
      <c r="J196" s="150" t="s">
        <v>523</v>
      </c>
      <c r="K196" s="151"/>
      <c r="L196" s="151"/>
      <c r="M196" s="151"/>
      <c r="N196" s="151"/>
    </row>
    <row r="197" spans="1:16" s="28" customFormat="1" ht="15" customHeight="1" outlineLevel="1">
      <c r="J197" s="136"/>
      <c r="K197" s="137"/>
      <c r="L197" s="137"/>
      <c r="M197" s="137"/>
      <c r="N197" s="137"/>
    </row>
    <row r="198" spans="1:16" s="28" customFormat="1" ht="15" customHeight="1" outlineLevel="1">
      <c r="J198" s="138" t="s">
        <v>524</v>
      </c>
      <c r="K198" s="138"/>
      <c r="L198" s="138"/>
      <c r="M198" s="138"/>
      <c r="N198" s="138"/>
    </row>
    <row r="199" spans="1:16" s="32" customFormat="1" ht="15" customHeight="1" outlineLevel="1">
      <c r="I199" s="139">
        <f>E122</f>
        <v>45.447285617727658</v>
      </c>
      <c r="J199" s="140">
        <f>+K199-0.002</f>
        <v>4.9999999999999996E-2</v>
      </c>
      <c r="K199" s="140">
        <f>+L199-0.002</f>
        <v>5.1999999999999998E-2</v>
      </c>
      <c r="L199" s="269">
        <v>5.3999999999999999E-2</v>
      </c>
      <c r="M199" s="140">
        <f>+L199+0.002</f>
        <v>5.6000000000000001E-2</v>
      </c>
      <c r="N199" s="140">
        <f>+M199+0.002</f>
        <v>5.8000000000000003E-2</v>
      </c>
      <c r="P199"/>
    </row>
    <row r="200" spans="1:16" s="32" customFormat="1" ht="15" customHeight="1" outlineLevel="1">
      <c r="H200" s="1434" t="s">
        <v>475</v>
      </c>
      <c r="I200" s="141">
        <f>+I201+0.02</f>
        <v>0.29000000000000004</v>
      </c>
      <c r="J200" s="142">
        <f t="dataTable" ref="J200:N204" dt2D="1" dtr="1" r1="D76" r2="F69" ca="1"/>
        <v>47.119863718951635</v>
      </c>
      <c r="K200" s="143">
        <v>47.191488722362337</v>
      </c>
      <c r="L200" s="143">
        <v>47.264327708881694</v>
      </c>
      <c r="M200" s="143">
        <v>47.338411806281712</v>
      </c>
      <c r="N200" s="143">
        <v>47.413773215705881</v>
      </c>
    </row>
    <row r="201" spans="1:16" s="32" customFormat="1" ht="15" customHeight="1" outlineLevel="1">
      <c r="H201" s="1434"/>
      <c r="I201" s="141">
        <f>+I202+0.02</f>
        <v>0.27</v>
      </c>
      <c r="J201" s="143">
        <v>50.982469483758265</v>
      </c>
      <c r="K201" s="143">
        <v>51.073276130246498</v>
      </c>
      <c r="L201" s="143">
        <v>51.16576438129934</v>
      </c>
      <c r="M201" s="143">
        <v>51.259981384708311</v>
      </c>
      <c r="N201" s="143">
        <v>51.35597606742688</v>
      </c>
    </row>
    <row r="202" spans="1:16" s="32" customFormat="1" ht="15" customHeight="1" outlineLevel="1">
      <c r="H202" s="1434"/>
      <c r="I202" s="270">
        <v>0.25</v>
      </c>
      <c r="J202" s="143">
        <v>55.399231271479117</v>
      </c>
      <c r="K202" s="143">
        <v>55.516417467716536</v>
      </c>
      <c r="L202" s="132">
        <v>55.635995218979197</v>
      </c>
      <c r="M202" s="143">
        <v>55.758038490886449</v>
      </c>
      <c r="N202" s="143">
        <v>55.882624330958443</v>
      </c>
    </row>
    <row r="203" spans="1:16" s="32" customFormat="1" ht="15" customHeight="1" outlineLevel="1">
      <c r="H203" s="1434"/>
      <c r="I203" s="141">
        <f>+I202-0.02</f>
        <v>0.23</v>
      </c>
      <c r="J203" s="143">
        <v>60.511044125472139</v>
      </c>
      <c r="K203" s="143">
        <v>60.665533545381507</v>
      </c>
      <c r="L203" s="143">
        <v>60.823534088470609</v>
      </c>
      <c r="M203" s="143">
        <v>60.985166827952582</v>
      </c>
      <c r="N203" s="143">
        <v>61.150558468352749</v>
      </c>
    </row>
    <row r="204" spans="1:16" s="32" customFormat="1" ht="15" customHeight="1" outlineLevel="1">
      <c r="H204" s="1434"/>
      <c r="I204" s="141">
        <f>+I203-0.02</f>
        <v>0.21000000000000002</v>
      </c>
      <c r="J204" s="143">
        <v>66.520780713862976</v>
      </c>
      <c r="K204" s="143">
        <v>66.729851400104508</v>
      </c>
      <c r="L204" s="143">
        <v>66.944282873172739</v>
      </c>
      <c r="M204" s="143">
        <v>67.164283994892102</v>
      </c>
      <c r="N204" s="143">
        <v>67.390074619814627</v>
      </c>
    </row>
    <row r="205" spans="1:16" s="32" customFormat="1" ht="15" customHeight="1" outlineLevel="1"/>
    <row r="206" spans="1:16" s="32" customFormat="1" ht="15" customHeight="1" outlineLevel="1"/>
    <row r="207" spans="1:16" s="32" customFormat="1" ht="15" customHeight="1" outlineLevel="1">
      <c r="H207" s="28"/>
      <c r="I207" s="28"/>
      <c r="J207" s="150" t="s">
        <v>523</v>
      </c>
      <c r="K207" s="151"/>
      <c r="L207" s="151"/>
      <c r="M207" s="151"/>
      <c r="N207" s="151"/>
    </row>
    <row r="208" spans="1:16" s="32" customFormat="1" ht="15" customHeight="1" outlineLevel="1">
      <c r="H208" s="28"/>
      <c r="I208" s="28"/>
      <c r="J208" s="136"/>
      <c r="K208" s="137"/>
      <c r="L208" s="137"/>
      <c r="M208" s="137"/>
      <c r="N208" s="137"/>
    </row>
    <row r="209" spans="2:14" s="32" customFormat="1" ht="15" customHeight="1" outlineLevel="1">
      <c r="H209" s="28"/>
      <c r="I209" s="28"/>
      <c r="J209" s="138" t="s">
        <v>482</v>
      </c>
      <c r="K209" s="138"/>
      <c r="L209" s="138"/>
      <c r="M209" s="138"/>
      <c r="N209" s="138"/>
    </row>
    <row r="210" spans="2:14" s="32" customFormat="1" ht="15" customHeight="1" outlineLevel="1">
      <c r="I210" s="139">
        <f>E122</f>
        <v>45.447285617727658</v>
      </c>
      <c r="J210" s="144">
        <f>+K210-1</f>
        <v>6.92</v>
      </c>
      <c r="K210" s="144">
        <f>+L210-1</f>
        <v>7.92</v>
      </c>
      <c r="L210" s="271">
        <v>8.92</v>
      </c>
      <c r="M210" s="144">
        <f>L210+1</f>
        <v>9.92</v>
      </c>
      <c r="N210" s="144">
        <f>M210+1</f>
        <v>10.92</v>
      </c>
    </row>
    <row r="211" spans="2:14" s="32" customFormat="1" ht="15" customHeight="1" outlineLevel="1">
      <c r="H211" s="1434" t="s">
        <v>475</v>
      </c>
      <c r="I211" s="141">
        <f>+I212+0.02</f>
        <v>0.29000000000000004</v>
      </c>
      <c r="J211" s="142">
        <f t="dataTable" ref="J211:N215" dt2D="1" dtr="1" r1="D88" r2="F69" ca="1"/>
        <v>42.451156609603196</v>
      </c>
      <c r="K211" s="143">
        <v>44.857742159242441</v>
      </c>
      <c r="L211" s="143">
        <v>47.264327708881694</v>
      </c>
      <c r="M211" s="143">
        <v>49.670913258520947</v>
      </c>
      <c r="N211" s="143">
        <v>52.077498808160193</v>
      </c>
    </row>
    <row r="212" spans="2:14" s="32" customFormat="1" ht="15" customHeight="1" outlineLevel="1">
      <c r="H212" s="1434"/>
      <c r="I212" s="141">
        <f>+I213+0.02</f>
        <v>0.27</v>
      </c>
      <c r="J212" s="143">
        <v>45.961477279328449</v>
      </c>
      <c r="K212" s="143">
        <v>48.563620830313894</v>
      </c>
      <c r="L212" s="143">
        <v>51.16576438129934</v>
      </c>
      <c r="M212" s="143">
        <v>53.767907932284785</v>
      </c>
      <c r="N212" s="143">
        <v>56.370051483270245</v>
      </c>
    </row>
    <row r="213" spans="2:14" s="32" customFormat="1" ht="15" customHeight="1" outlineLevel="1">
      <c r="H213" s="1434"/>
      <c r="I213" s="270">
        <v>0.25</v>
      </c>
      <c r="J213" s="143">
        <v>50.001827295471998</v>
      </c>
      <c r="K213" s="143">
        <v>52.818911257225587</v>
      </c>
      <c r="L213" s="132">
        <v>55.635995218979197</v>
      </c>
      <c r="M213" s="143">
        <v>58.4530791807328</v>
      </c>
      <c r="N213" s="143">
        <v>61.270163142486396</v>
      </c>
    </row>
    <row r="214" spans="2:14" s="32" customFormat="1" ht="15" customHeight="1" outlineLevel="1">
      <c r="H214" s="1434"/>
      <c r="I214" s="141">
        <f>+I213-0.02</f>
        <v>0.23</v>
      </c>
      <c r="J214" s="143">
        <v>54.71616320033376</v>
      </c>
      <c r="K214" s="143">
        <v>57.769848644402195</v>
      </c>
      <c r="L214" s="143">
        <v>60.823534088470609</v>
      </c>
      <c r="M214" s="143">
        <v>63.877219532539044</v>
      </c>
      <c r="N214" s="143">
        <v>66.930904976607465</v>
      </c>
    </row>
    <row r="215" spans="2:14" s="32" customFormat="1" ht="15" customHeight="1" outlineLevel="1">
      <c r="H215" s="1434"/>
      <c r="I215" s="141">
        <f>+I214-0.02</f>
        <v>0.21000000000000002</v>
      </c>
      <c r="J215" s="143">
        <v>60.315206840374529</v>
      </c>
      <c r="K215" s="143">
        <v>63.629744856773641</v>
      </c>
      <c r="L215" s="143">
        <v>66.944282873172739</v>
      </c>
      <c r="M215" s="143">
        <v>70.258820889571851</v>
      </c>
      <c r="N215" s="143">
        <v>73.573358905970963</v>
      </c>
    </row>
    <row r="216" spans="2:14" s="32" customFormat="1" ht="15" customHeight="1" outlineLevel="1"/>
    <row r="217" spans="2:14" s="32" customFormat="1" ht="15" customHeight="1">
      <c r="B217" s="46"/>
      <c r="C217" s="46"/>
      <c r="D217" s="46"/>
      <c r="E217" s="46"/>
      <c r="F217" s="46"/>
      <c r="G217" s="46"/>
      <c r="H217" s="46"/>
      <c r="I217" s="46"/>
      <c r="J217" s="46"/>
      <c r="K217" s="46"/>
      <c r="L217" s="46"/>
      <c r="M217" s="46"/>
      <c r="N217" s="135"/>
    </row>
    <row r="218" spans="2:14" s="1" customFormat="1" ht="17.399999999999999"/>
    <row r="219" spans="2:14" s="1" customFormat="1" ht="17.399999999999999"/>
    <row r="220" spans="2:14" s="1" customFormat="1" ht="17.399999999999999"/>
    <row r="221" spans="2:14" s="1" customFormat="1" ht="17.399999999999999"/>
    <row r="222" spans="2:14" s="1" customFormat="1" ht="17.399999999999999"/>
    <row r="223" spans="2:14" s="1" customFormat="1" ht="17.399999999999999"/>
    <row r="224" spans="2:14" s="1" customFormat="1" ht="17.399999999999999"/>
    <row r="225" spans="1:16" s="1" customFormat="1" ht="17.399999999999999"/>
    <row r="226" spans="1:16" s="1" customFormat="1" ht="17.399999999999999"/>
    <row r="227" spans="1:16" s="1" customFormat="1" ht="17.399999999999999"/>
    <row r="228" spans="1:16" s="1" customFormat="1" ht="17.399999999999999"/>
    <row r="229" spans="1:16" s="1" customFormat="1" ht="17.399999999999999"/>
    <row r="230" spans="1:16" s="1" customFormat="1" ht="17.399999999999999"/>
    <row r="231" spans="1:16" s="1" customFormat="1" ht="17.399999999999999"/>
    <row r="232" spans="1:16" s="1" customFormat="1" ht="17.399999999999999"/>
    <row r="233" spans="1:16" s="1" customFormat="1" ht="17.399999999999999"/>
    <row r="234" spans="1:16" s="1" customFormat="1" ht="17.399999999999999"/>
    <row r="235" spans="1:16" s="24" customFormat="1" ht="16.5" customHeight="1">
      <c r="A235" s="24" t="s">
        <v>80</v>
      </c>
      <c r="B235" s="4" t="s">
        <v>442</v>
      </c>
      <c r="C235" s="5"/>
      <c r="D235" s="6"/>
      <c r="E235" s="6"/>
      <c r="F235" s="7"/>
      <c r="G235" s="7"/>
      <c r="H235" s="25"/>
      <c r="I235" s="25"/>
      <c r="J235" s="25"/>
      <c r="K235" s="25"/>
      <c r="L235" s="25"/>
      <c r="M235" s="25"/>
      <c r="N235" s="25"/>
      <c r="O235" s="25"/>
      <c r="P235" s="26"/>
    </row>
    <row r="236" spans="1:16" s="1" customFormat="1" ht="17.399999999999999">
      <c r="B236" s="14" t="s">
        <v>429</v>
      </c>
      <c r="D236" s="11"/>
      <c r="F236" s="15"/>
      <c r="J236" s="15"/>
      <c r="K236" s="16"/>
      <c r="L236" s="16"/>
      <c r="M236" s="16"/>
      <c r="N236" s="16"/>
      <c r="O236" s="16"/>
    </row>
    <row r="237" spans="1:16" s="1" customFormat="1" ht="17.399999999999999">
      <c r="B237" s="17" t="s">
        <v>430</v>
      </c>
      <c r="E237" s="18" t="s">
        <v>431</v>
      </c>
      <c r="F237" s="15"/>
      <c r="K237" s="16">
        <f>Model!K127/Model!K106</f>
        <v>0.46971803821757246</v>
      </c>
      <c r="L237" s="16">
        <f>Model!L127/Model!L106</f>
        <v>0.4896781204600858</v>
      </c>
      <c r="M237" s="16">
        <f>Model!M127/Model!M106</f>
        <v>0.50823158604914154</v>
      </c>
      <c r="N237" s="16">
        <f>Model!N127/Model!N106</f>
        <v>0.52884248833546221</v>
      </c>
      <c r="O237" s="16">
        <f>Model!O127/Model!O106</f>
        <v>0.54939136730541471</v>
      </c>
    </row>
    <row r="238" spans="1:16" s="1" customFormat="1" ht="17.399999999999999">
      <c r="B238" s="17" t="s">
        <v>432</v>
      </c>
      <c r="E238" s="18" t="s">
        <v>433</v>
      </c>
      <c r="F238" s="15"/>
      <c r="K238" s="19">
        <f>Model!K106/Model!K178</f>
        <v>1.6118858567729333</v>
      </c>
      <c r="L238" s="19">
        <f>Model!L106/Model!L178</f>
        <v>0.97319726636969583</v>
      </c>
      <c r="M238" s="19">
        <f>Model!M106/Model!M178</f>
        <v>0.70747519775649925</v>
      </c>
      <c r="N238" s="19">
        <f>Model!N106/Model!N178</f>
        <v>0.56094997389556644</v>
      </c>
      <c r="O238" s="19">
        <f>Model!O106/Model!O178</f>
        <v>0.46704707605860835</v>
      </c>
    </row>
    <row r="239" spans="1:16" s="1" customFormat="1" ht="17.399999999999999">
      <c r="B239" s="1" t="s">
        <v>434</v>
      </c>
      <c r="E239" s="18" t="s">
        <v>435</v>
      </c>
      <c r="F239" s="15"/>
      <c r="K239" s="19">
        <f>Model!K178/Model!K194</f>
        <v>1.0307619262087109</v>
      </c>
      <c r="L239" s="19">
        <f>Model!L178/Model!L194</f>
        <v>1.0185284853499079</v>
      </c>
      <c r="M239" s="19">
        <f>Model!M178/Model!M194</f>
        <v>1.0125061921463214</v>
      </c>
      <c r="N239" s="19">
        <f>Model!N178/Model!N194</f>
        <v>1.0083591435624639</v>
      </c>
      <c r="O239" s="19">
        <f>Model!O178/Model!O194</f>
        <v>1.0051117264766514</v>
      </c>
    </row>
    <row r="240" spans="1:16" s="1" customFormat="1" ht="17.399999999999999">
      <c r="B240" s="14" t="s">
        <v>436</v>
      </c>
      <c r="C240" s="2"/>
      <c r="E240" s="20" t="s">
        <v>437</v>
      </c>
      <c r="F240" s="15"/>
      <c r="J240" s="15"/>
      <c r="K240" s="21">
        <f>K237*K238*K239</f>
        <v>0.78042269695772326</v>
      </c>
      <c r="L240" s="21">
        <f>L237*L238*L239</f>
        <v>0.48538322107569637</v>
      </c>
      <c r="M240" s="21">
        <f>M237*M238*M239</f>
        <v>0.3640579838251144</v>
      </c>
      <c r="N240" s="21">
        <f>N237*N238*N239</f>
        <v>0.29913395490589167</v>
      </c>
      <c r="O240" s="21">
        <f>O237*O238*O239</f>
        <v>0.25790325794934343</v>
      </c>
    </row>
    <row r="241" spans="1:15" s="1" customFormat="1" ht="17.399999999999999">
      <c r="B241" s="14"/>
      <c r="C241" s="2"/>
      <c r="D241" s="18"/>
      <c r="F241" s="15"/>
      <c r="J241" s="15"/>
      <c r="K241" s="22"/>
      <c r="L241" s="22"/>
      <c r="M241" s="22"/>
      <c r="N241" s="22"/>
      <c r="O241" s="22"/>
    </row>
    <row r="242" spans="1:15" s="1" customFormat="1" ht="17.399999999999999">
      <c r="B242" s="14" t="s">
        <v>438</v>
      </c>
      <c r="C242" s="2"/>
      <c r="D242" s="18"/>
      <c r="F242" s="15"/>
      <c r="J242" s="15"/>
      <c r="K242" s="23">
        <f>Model!K127/(Model!K178-Model!K188)</f>
        <v>0.78042269695772326</v>
      </c>
      <c r="L242" s="23">
        <f>Model!L127/(Model!L178-Model!L188)</f>
        <v>0.48538322107569642</v>
      </c>
      <c r="M242" s="23">
        <f>Model!M127/(Model!M178-Model!M188)</f>
        <v>0.36405798382511445</v>
      </c>
      <c r="N242" s="23">
        <f>Model!N127/(Model!N178-Model!N188)</f>
        <v>0.29913395490589173</v>
      </c>
      <c r="O242" s="23">
        <f>Model!O127/(Model!O178-Model!O188)</f>
        <v>0.25790325794934343</v>
      </c>
    </row>
    <row r="243" spans="1:15" s="1" customFormat="1" ht="17.399999999999999">
      <c r="F243" s="15"/>
      <c r="J243" s="15"/>
      <c r="K243" s="3"/>
      <c r="L243" s="3"/>
      <c r="M243" s="3"/>
      <c r="N243" s="3"/>
      <c r="O243" s="3"/>
    </row>
    <row r="244" spans="1:15" s="1" customFormat="1" ht="17.399999999999999">
      <c r="B244" s="2" t="s">
        <v>439</v>
      </c>
      <c r="F244" s="15"/>
      <c r="J244" s="15"/>
      <c r="K244" s="3"/>
      <c r="L244" s="3"/>
      <c r="M244" s="3"/>
      <c r="N244" s="3"/>
      <c r="O244" s="3"/>
    </row>
    <row r="245" spans="1:15" s="1" customFormat="1" ht="17.399999999999999">
      <c r="B245" s="1" t="s">
        <v>440</v>
      </c>
      <c r="F245" s="15"/>
      <c r="K245" s="19">
        <f>(Model!K171+Model!K170)/Model!K184</f>
        <v>24.855554795424432</v>
      </c>
      <c r="L245" s="19">
        <f>(Model!L171+Model!L170)/Model!L184</f>
        <v>46.889676891384937</v>
      </c>
      <c r="M245" s="19">
        <f>(Model!M171+Model!M170)/Model!M184</f>
        <v>69.84989982833288</v>
      </c>
      <c r="N245" s="19">
        <f>(Model!N171+Model!N170)/Model!N184</f>
        <v>94.012356536419858</v>
      </c>
      <c r="O245" s="19">
        <f>(Model!O171+Model!O170)/Model!O184</f>
        <v>119.51209779018144</v>
      </c>
    </row>
    <row r="246" spans="1:15" s="1" customFormat="1" ht="17.399999999999999">
      <c r="B246" s="1" t="s">
        <v>441</v>
      </c>
      <c r="F246" s="15"/>
      <c r="K246" s="19">
        <f>Model!K173/Model!K184</f>
        <v>25.569840509710147</v>
      </c>
      <c r="L246" s="19">
        <f>Model!L173/Model!L184</f>
        <v>47.603962605670652</v>
      </c>
      <c r="M246" s="19">
        <f>Model!M173/Model!M184</f>
        <v>70.564185542618603</v>
      </c>
      <c r="N246" s="19">
        <f>Model!N173/Model!N184</f>
        <v>94.726642250705581</v>
      </c>
      <c r="O246" s="19">
        <f>Model!O173/Model!O184</f>
        <v>120.22638350446715</v>
      </c>
    </row>
    <row r="247" spans="1:15" s="1" customFormat="1" ht="17.399999999999999">
      <c r="A247" s="1" t="s">
        <v>80</v>
      </c>
    </row>
  </sheetData>
  <mergeCells count="2">
    <mergeCell ref="H200:H204"/>
    <mergeCell ref="H211:H215"/>
  </mergeCells>
  <conditionalFormatting sqref="K238:O238">
    <cfRule type="aboveAverage" dxfId="3" priority="3"/>
  </conditionalFormatting>
  <conditionalFormatting sqref="K239:O239">
    <cfRule type="aboveAverage" dxfId="2" priority="4"/>
  </conditionalFormatting>
  <conditionalFormatting sqref="K245:O245">
    <cfRule type="aboveAverage" dxfId="1" priority="1" aboveAverage="0" stdDev="1"/>
  </conditionalFormatting>
  <conditionalFormatting sqref="K246:O246">
    <cfRule type="aboveAverage" dxfId="0" priority="5" aboveAverage="0" stdDev="1"/>
  </conditionalFormatting>
  <dataValidations disablePrompts="1" count="3">
    <dataValidation allowBlank="1" showInputMessage="1" showErrorMessage="1" promptTitle="Financial Leverage" prompt="Is the company deploying debt capital to magnify returns" sqref="K239:O239" xr:uid="{A0712B5D-6FE3-4FAC-97A4-9AF33515383C}"/>
    <dataValidation allowBlank="1" showInputMessage="1" showErrorMessage="1" promptTitle="Asset turnover" prompt="Is it utilizing its assets efficiently,generating more sales per KES of assets owned" sqref="K238:O238" xr:uid="{D9546250-AA60-42E3-9C3A-F276A8499F1A}"/>
    <dataValidation allowBlank="1" showInputMessage="1" showErrorMessage="1" promptTitle="Net Profit Margin " prompt="How well is it managing its operating and financial expenses" sqref="K237:O237" xr:uid="{F11710EE-753B-40D6-8E11-652AEA05776C}"/>
  </dataValidations>
  <printOptions horizontalCentered="1"/>
  <pageMargins left="0.118110236220472" right="0.118110236220472" top="0.118110236220472" bottom="0.118110236220472" header="0.118110236220472" footer="0.118110236220472"/>
  <pageSetup scale="73" orientation="landscape" r:id="rId1"/>
  <headerFooter>
    <oddFooter>&amp;L&amp;"Open Sans,Bold"&amp;KC00000Flexxo Labels Financial  Model&amp;C&amp;"Open Sans,Bold"&amp;KC00000Page &amp;P of &amp;N</oddFooter>
  </headerFooter>
  <drawing r:id="rId2"/>
  <legacyDrawing r:id="rId3"/>
  <legacyDrawingHF r:id="rId4"/>
  <extLst>
    <ext xmlns:x14="http://schemas.microsoft.com/office/spreadsheetml/2009/9/main" uri="{78C0D931-6437-407d-A8EE-F0AAD7539E65}">
      <x14:conditionalFormattings>
        <x14:conditionalFormatting xmlns:xm="http://schemas.microsoft.com/office/excel/2006/main">
          <x14:cfRule type="iconSet" priority="2" id="{845086E9-449A-432D-81E1-B03F4C4218F4}">
            <x14:iconSet iconSet="3Triangles">
              <x14:cfvo type="percent">
                <xm:f>0</xm:f>
              </x14:cfvo>
              <x14:cfvo type="percent">
                <xm:f>33</xm:f>
              </x14:cfvo>
              <x14:cfvo type="percent">
                <xm:f>67</xm:f>
              </x14:cfvo>
            </x14:iconSet>
          </x14:cfRule>
          <xm:sqref>K242:O242</xm:sqref>
        </x14:conditionalFormatting>
      </x14:conditionalFormattings>
    </ext>
    <ext xmlns:x14="http://schemas.microsoft.com/office/spreadsheetml/2009/9/main" uri="{05C60535-1F16-4fd2-B633-F4F36F0B64E0}">
      <x14:sparklineGroups xmlns:xm="http://schemas.microsoft.com/office/excel/2006/main">
        <x14:sparklineGroup manualMax="0" manualMin="0" type="column" displayEmptyCellsAs="gap" high="1" negative="1" xr2:uid="{FC786C55-8EAC-4B14-B15D-5614A4AA0A2C}">
          <x14:colorSeries theme="9" tint="0.59999389629810485"/>
          <x14:colorNegative rgb="FFC00000"/>
          <x14:colorAxis rgb="FF000000"/>
          <x14:colorMarkers rgb="FFD00000"/>
          <x14:colorFirst rgb="FFD00000"/>
          <x14:colorLast rgb="FFD00000"/>
          <x14:colorHigh theme="4"/>
          <x14:colorLow rgb="FFD00000"/>
          <x14:sparklines>
            <x14:sparkline>
              <xm:f>'DCF Valuation'!K240:P240</xm:f>
              <xm:sqref>J240</xm:sqref>
            </x14:sparkline>
          </x14:sparklines>
        </x14:sparklineGroup>
        <x14:sparklineGroup manualMax="0" manualMin="0" displayEmptyCellsAs="gap" high="1" low="1" xr2:uid="{0370467E-970F-4B9C-BFAB-47086657F89E}">
          <x14:colorSeries theme="0" tint="-0.34998626667073579"/>
          <x14:colorNegative rgb="FFD00000"/>
          <x14:colorAxis rgb="FF000000"/>
          <x14:colorMarkers rgb="FFD00000"/>
          <x14:colorFirst rgb="FFD00000"/>
          <x14:colorLast rgb="FFD00000"/>
          <x14:colorHigh rgb="FF00B050"/>
          <x14:colorLow rgb="FFC00000"/>
          <x14:sparklines>
            <x14:sparkline>
              <xm:f>'DCF Valuation'!K237:P237</xm:f>
              <xm:sqref>J237</xm:sqref>
            </x14:sparkline>
            <x14:sparkline>
              <xm:f>'DCF Valuation'!K238:P238</xm:f>
              <xm:sqref>J238</xm:sqref>
            </x14:sparkline>
            <x14:sparkline>
              <xm:f>'DCF Valuation'!K239:P239</xm:f>
              <xm:sqref>J239</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0ADD4-9621-43D0-9821-E7C2BAF4573B}">
  <sheetPr>
    <pageSetUpPr autoPageBreaks="0" fitToPage="1"/>
  </sheetPr>
  <dimension ref="A1:Z80"/>
  <sheetViews>
    <sheetView showGridLines="0" zoomScaleNormal="100" zoomScaleSheetLayoutView="85" workbookViewId="0">
      <pane ySplit="1" topLeftCell="A2" activePane="bottomLeft" state="frozen"/>
      <selection activeCell="J31" sqref="J31"/>
      <selection pane="bottomLeft" activeCell="B3" sqref="B3"/>
    </sheetView>
  </sheetViews>
  <sheetFormatPr defaultColWidth="9.109375" defaultRowHeight="15" customHeight="1" outlineLevelRow="1"/>
  <cols>
    <col min="1" max="1" width="9.109375" style="28" customWidth="1"/>
    <col min="2" max="2" width="20.44140625" style="28" customWidth="1"/>
    <col min="3" max="3" width="12.6640625" style="28" customWidth="1"/>
    <col min="4" max="4" width="8.88671875" style="28" customWidth="1"/>
    <col min="5" max="17" width="10.88671875" style="28" customWidth="1"/>
    <col min="18" max="16384" width="9.109375" style="28"/>
  </cols>
  <sheetData>
    <row r="1" spans="1:26" ht="19.2">
      <c r="A1" s="163"/>
      <c r="B1" s="9"/>
      <c r="C1" s="9"/>
      <c r="D1" s="9"/>
      <c r="E1" s="9"/>
      <c r="F1" s="9"/>
      <c r="G1" s="9"/>
      <c r="H1" s="9"/>
      <c r="I1" s="10"/>
      <c r="J1" s="10"/>
      <c r="K1" s="10"/>
      <c r="L1" s="9"/>
      <c r="M1" s="9"/>
      <c r="N1" s="9"/>
      <c r="O1" s="9"/>
      <c r="P1" s="9"/>
      <c r="Q1" s="9"/>
    </row>
    <row r="2" spans="1:26" s="163" customFormat="1" ht="15" customHeight="1">
      <c r="B2" s="164"/>
      <c r="C2" s="12"/>
      <c r="D2" s="165"/>
      <c r="E2" s="166"/>
      <c r="F2" s="130"/>
      <c r="G2" s="130"/>
      <c r="H2" s="130"/>
      <c r="I2" s="167"/>
      <c r="J2" s="167"/>
      <c r="K2" s="167"/>
      <c r="L2" s="167"/>
      <c r="M2" s="167"/>
      <c r="N2" s="168"/>
      <c r="O2" s="168"/>
    </row>
    <row r="3" spans="1:26" ht="15" customHeight="1">
      <c r="A3" s="49" t="s">
        <v>80</v>
      </c>
      <c r="B3" s="146" t="s">
        <v>526</v>
      </c>
      <c r="C3" s="146"/>
      <c r="D3" s="146"/>
      <c r="E3" s="146"/>
      <c r="F3" s="146"/>
      <c r="G3" s="146"/>
      <c r="H3" s="146"/>
      <c r="I3" s="146"/>
      <c r="J3" s="146"/>
      <c r="K3" s="146"/>
      <c r="L3" s="146"/>
      <c r="M3" s="146"/>
      <c r="N3" s="146"/>
      <c r="O3" s="146"/>
      <c r="P3" s="146"/>
      <c r="Q3" s="169"/>
      <c r="S3" s="28" t="s">
        <v>597</v>
      </c>
      <c r="T3" s="28" t="s">
        <v>612</v>
      </c>
    </row>
    <row r="4" spans="1:26" ht="15" customHeight="1" outlineLevel="1">
      <c r="S4" s="28" t="s">
        <v>598</v>
      </c>
      <c r="T4" s="28" t="s">
        <v>613</v>
      </c>
    </row>
    <row r="5" spans="1:26" ht="15" customHeight="1" outlineLevel="1">
      <c r="B5" s="13" t="s">
        <v>344</v>
      </c>
      <c r="S5" s="28" t="s">
        <v>599</v>
      </c>
      <c r="T5" s="28" t="s">
        <v>581</v>
      </c>
    </row>
    <row r="6" spans="1:26" ht="15" customHeight="1" outlineLevel="1">
      <c r="B6" s="13"/>
      <c r="S6" s="28" t="s">
        <v>600</v>
      </c>
      <c r="T6" s="28" t="s">
        <v>581</v>
      </c>
    </row>
    <row r="7" spans="1:26" ht="15" customHeight="1" outlineLevel="1">
      <c r="B7" s="13"/>
      <c r="S7" s="28" t="s">
        <v>601</v>
      </c>
      <c r="T7" s="28" t="s">
        <v>545</v>
      </c>
    </row>
    <row r="8" spans="1:26" s="175" customFormat="1" ht="14.4" customHeight="1" outlineLevel="1">
      <c r="A8" s="170"/>
      <c r="B8" s="171" t="s">
        <v>80</v>
      </c>
      <c r="C8"/>
      <c r="D8" s="171"/>
      <c r="E8" s="172" t="s">
        <v>527</v>
      </c>
      <c r="F8" s="172" t="s">
        <v>528</v>
      </c>
      <c r="G8" s="172" t="s">
        <v>529</v>
      </c>
      <c r="H8" s="172" t="s">
        <v>530</v>
      </c>
      <c r="I8" s="172" t="s">
        <v>531</v>
      </c>
      <c r="J8" s="173" t="s">
        <v>26</v>
      </c>
      <c r="K8" s="174"/>
      <c r="L8" s="173" t="s">
        <v>32</v>
      </c>
      <c r="M8" s="174"/>
      <c r="N8" s="173" t="s">
        <v>532</v>
      </c>
      <c r="O8" s="173"/>
      <c r="P8" s="173" t="s">
        <v>533</v>
      </c>
      <c r="Q8" s="173"/>
      <c r="S8" s="175" t="s">
        <v>602</v>
      </c>
      <c r="T8" s="175" t="s">
        <v>581</v>
      </c>
    </row>
    <row r="9" spans="1:26" s="175" customFormat="1" ht="16.2" outlineLevel="1">
      <c r="B9" s="176" t="s">
        <v>534</v>
      </c>
      <c r="C9" s="177" t="s">
        <v>535</v>
      </c>
      <c r="D9" s="177" t="s">
        <v>536</v>
      </c>
      <c r="E9" s="178" t="s">
        <v>537</v>
      </c>
      <c r="F9" s="178" t="s">
        <v>538</v>
      </c>
      <c r="G9" s="178" t="s">
        <v>539</v>
      </c>
      <c r="H9" s="178" t="s">
        <v>540</v>
      </c>
      <c r="I9" s="178" t="s">
        <v>541</v>
      </c>
      <c r="J9" s="179">
        <v>2023</v>
      </c>
      <c r="K9" s="180">
        <v>2024</v>
      </c>
      <c r="L9" s="179">
        <v>2023</v>
      </c>
      <c r="M9" s="180">
        <v>2024</v>
      </c>
      <c r="N9" s="179">
        <v>2023</v>
      </c>
      <c r="O9" s="180">
        <v>2024</v>
      </c>
      <c r="P9" s="179">
        <v>2023</v>
      </c>
      <c r="Q9" s="180">
        <v>2024</v>
      </c>
      <c r="R9"/>
      <c r="S9" s="175" t="s">
        <v>603</v>
      </c>
      <c r="T9" s="175" t="s">
        <v>581</v>
      </c>
      <c r="Z9" s="181"/>
    </row>
    <row r="10" spans="1:26" s="175" customFormat="1" ht="15" customHeight="1" outlineLevel="1">
      <c r="E10" s="182" t="s">
        <v>580</v>
      </c>
      <c r="F10" s="182" t="s">
        <v>543</v>
      </c>
      <c r="G10" s="183"/>
      <c r="I10" s="183"/>
      <c r="J10" s="183"/>
      <c r="K10" s="183"/>
      <c r="L10" s="183"/>
      <c r="M10" s="183"/>
      <c r="N10" s="184" t="s">
        <v>544</v>
      </c>
      <c r="O10" s="184" t="s">
        <v>544</v>
      </c>
      <c r="P10" s="184" t="s">
        <v>544</v>
      </c>
      <c r="Q10" s="184" t="s">
        <v>544</v>
      </c>
      <c r="S10" t="s">
        <v>604</v>
      </c>
      <c r="T10" s="175" t="s">
        <v>614</v>
      </c>
    </row>
    <row r="11" spans="1:26" s="185" customFormat="1" ht="15" customHeight="1" outlineLevel="1">
      <c r="B11" s="186" t="s">
        <v>597</v>
      </c>
      <c r="C11" s="187" t="s">
        <v>586</v>
      </c>
      <c r="D11" s="188" t="s">
        <v>612</v>
      </c>
      <c r="E11" s="189">
        <v>21.698492861715472</v>
      </c>
      <c r="F11" s="190">
        <v>368.32051197901291</v>
      </c>
      <c r="G11" s="191">
        <f>E11*F11</f>
        <v>7992</v>
      </c>
      <c r="H11" s="192">
        <v>2150</v>
      </c>
      <c r="I11" s="191">
        <f>G11+H11</f>
        <v>10142</v>
      </c>
      <c r="J11" s="193">
        <v>1086</v>
      </c>
      <c r="K11" s="193">
        <v>1096.8599999999999</v>
      </c>
      <c r="L11" s="193">
        <v>553</v>
      </c>
      <c r="M11" s="193">
        <v>586.18000000000006</v>
      </c>
      <c r="N11" s="194">
        <v>6.5</v>
      </c>
      <c r="O11" s="194">
        <f t="shared" ref="O11:O20" si="0">IFERROR($I11/K11,"NA")</f>
        <v>9.2463942526849383</v>
      </c>
      <c r="P11" s="194">
        <v>21.3</v>
      </c>
      <c r="Q11" s="194">
        <f t="shared" ref="Q11:Q20" si="1">IFERROR($G11/M11,"NA")</f>
        <v>13.634037326418504</v>
      </c>
      <c r="S11" t="s">
        <v>605</v>
      </c>
      <c r="T11" t="s">
        <v>615</v>
      </c>
    </row>
    <row r="12" spans="1:26" s="185" customFormat="1" ht="15" customHeight="1" outlineLevel="1">
      <c r="B12" s="186" t="s">
        <v>598</v>
      </c>
      <c r="C12" s="187" t="s">
        <v>582</v>
      </c>
      <c r="D12" s="188" t="s">
        <v>613</v>
      </c>
      <c r="E12" s="189">
        <v>35.877385404688418</v>
      </c>
      <c r="F12" s="190">
        <v>300.91378951458347</v>
      </c>
      <c r="G12" s="191">
        <f t="shared" ref="G12:G20" si="2">E12*F12</f>
        <v>10796</v>
      </c>
      <c r="H12" s="192">
        <v>50</v>
      </c>
      <c r="I12" s="191">
        <f t="shared" ref="I12:I20" si="3">G12+H12</f>
        <v>10846</v>
      </c>
      <c r="J12" s="193">
        <v>2169</v>
      </c>
      <c r="K12" s="193">
        <v>2212.38</v>
      </c>
      <c r="L12" s="193">
        <v>770</v>
      </c>
      <c r="M12" s="193">
        <v>808.5</v>
      </c>
      <c r="N12" s="194">
        <v>5.3</v>
      </c>
      <c r="O12" s="194">
        <f t="shared" si="0"/>
        <v>4.9024127862302134</v>
      </c>
      <c r="P12" s="194">
        <v>18.5</v>
      </c>
      <c r="Q12" s="194">
        <f t="shared" si="1"/>
        <v>13.353123067408781</v>
      </c>
      <c r="R12" s="195"/>
      <c r="S12" t="s">
        <v>606</v>
      </c>
      <c r="T12" t="s">
        <v>581</v>
      </c>
    </row>
    <row r="13" spans="1:26" s="185" customFormat="1" ht="15" customHeight="1" outlineLevel="1">
      <c r="B13" s="186" t="s">
        <v>599</v>
      </c>
      <c r="C13" s="187" t="s">
        <v>582</v>
      </c>
      <c r="D13" s="188" t="s">
        <v>581</v>
      </c>
      <c r="E13" s="189">
        <v>15.374632440897289</v>
      </c>
      <c r="F13" s="190">
        <v>669.99975704126928</v>
      </c>
      <c r="G13" s="191">
        <f t="shared" si="2"/>
        <v>10301</v>
      </c>
      <c r="H13" s="192">
        <v>1283</v>
      </c>
      <c r="I13" s="191">
        <f t="shared" si="3"/>
        <v>11584</v>
      </c>
      <c r="J13" s="193">
        <v>1530</v>
      </c>
      <c r="K13" s="193">
        <v>1575.9</v>
      </c>
      <c r="L13" s="193">
        <v>632</v>
      </c>
      <c r="M13" s="193">
        <v>650.96</v>
      </c>
      <c r="N13" s="194">
        <v>5.8</v>
      </c>
      <c r="O13" s="194">
        <f t="shared" si="0"/>
        <v>7.3507202233644264</v>
      </c>
      <c r="P13" s="194">
        <v>47.5</v>
      </c>
      <c r="Q13" s="194">
        <f t="shared" si="1"/>
        <v>15.824321002826593</v>
      </c>
      <c r="R13" s="195"/>
      <c r="S13" t="s">
        <v>607</v>
      </c>
      <c r="T13" t="s">
        <v>616</v>
      </c>
    </row>
    <row r="14" spans="1:26" s="185" customFormat="1" ht="15" customHeight="1" outlineLevel="1">
      <c r="B14" s="186" t="s">
        <v>600</v>
      </c>
      <c r="C14" s="187" t="s">
        <v>583</v>
      </c>
      <c r="D14" s="188" t="s">
        <v>581</v>
      </c>
      <c r="E14" s="189">
        <v>39.924401838067752</v>
      </c>
      <c r="F14" s="190">
        <v>248.49464345738468</v>
      </c>
      <c r="G14" s="191">
        <f t="shared" si="2"/>
        <v>9921</v>
      </c>
      <c r="H14" s="192">
        <v>2866</v>
      </c>
      <c r="I14" s="191">
        <f t="shared" si="3"/>
        <v>12787</v>
      </c>
      <c r="J14" s="193">
        <v>1142</v>
      </c>
      <c r="K14" s="193">
        <v>1164.8399999999999</v>
      </c>
      <c r="L14" s="193">
        <v>461</v>
      </c>
      <c r="M14" s="193">
        <v>484.05</v>
      </c>
      <c r="N14" s="194"/>
      <c r="O14" s="194">
        <f t="shared" si="0"/>
        <v>10.977473301054223</v>
      </c>
      <c r="Q14" s="194">
        <f t="shared" si="1"/>
        <v>20.495816547877286</v>
      </c>
      <c r="R14" s="195"/>
      <c r="S14" t="s">
        <v>608</v>
      </c>
      <c r="T14" t="s">
        <v>617</v>
      </c>
    </row>
    <row r="15" spans="1:26" s="185" customFormat="1" ht="15" customHeight="1" outlineLevel="1">
      <c r="B15" s="186" t="s">
        <v>601</v>
      </c>
      <c r="C15" s="187" t="s">
        <v>584</v>
      </c>
      <c r="D15" s="188" t="s">
        <v>545</v>
      </c>
      <c r="E15" s="189">
        <v>45.631373013610364</v>
      </c>
      <c r="F15" s="190">
        <v>261.48676254911442</v>
      </c>
      <c r="G15" s="191">
        <f t="shared" si="2"/>
        <v>11932</v>
      </c>
      <c r="H15" s="192">
        <v>396</v>
      </c>
      <c r="I15" s="191">
        <f t="shared" si="3"/>
        <v>12328</v>
      </c>
      <c r="J15" s="193">
        <v>2055</v>
      </c>
      <c r="K15" s="193">
        <v>2096.1</v>
      </c>
      <c r="L15" s="193">
        <v>693</v>
      </c>
      <c r="M15" s="193">
        <v>699.93</v>
      </c>
      <c r="N15" s="194">
        <v>7.2</v>
      </c>
      <c r="O15" s="194">
        <f t="shared" si="0"/>
        <v>5.881398788225753</v>
      </c>
      <c r="P15" s="194">
        <v>36.9</v>
      </c>
      <c r="Q15" s="194">
        <f t="shared" si="1"/>
        <v>17.04741902761705</v>
      </c>
      <c r="R15" s="195"/>
      <c r="S15" t="s">
        <v>609</v>
      </c>
      <c r="T15" s="175" t="s">
        <v>618</v>
      </c>
    </row>
    <row r="16" spans="1:26" s="185" customFormat="1" ht="15" customHeight="1" outlineLevel="1">
      <c r="B16" s="186" t="s">
        <v>602</v>
      </c>
      <c r="C16" s="187" t="s">
        <v>584</v>
      </c>
      <c r="D16" s="188" t="s">
        <v>581</v>
      </c>
      <c r="E16" s="189">
        <v>37.929366506268146</v>
      </c>
      <c r="F16" s="190">
        <v>244.71803393990436</v>
      </c>
      <c r="G16" s="191">
        <f t="shared" si="2"/>
        <v>9282</v>
      </c>
      <c r="H16" s="192">
        <v>1218</v>
      </c>
      <c r="I16" s="191">
        <f t="shared" si="3"/>
        <v>10500</v>
      </c>
      <c r="J16" s="193">
        <v>2625</v>
      </c>
      <c r="K16" s="193">
        <v>2625</v>
      </c>
      <c r="L16" s="193">
        <v>732</v>
      </c>
      <c r="M16" s="193">
        <v>739.32</v>
      </c>
      <c r="N16" s="194">
        <v>6.3</v>
      </c>
      <c r="O16" s="194">
        <f t="shared" si="0"/>
        <v>4</v>
      </c>
      <c r="P16" s="194">
        <v>19.100000000000001</v>
      </c>
      <c r="Q16" s="194">
        <f t="shared" si="1"/>
        <v>12.55478006817075</v>
      </c>
      <c r="R16" s="195"/>
      <c r="S16" t="s">
        <v>610</v>
      </c>
      <c r="T16" s="175" t="s">
        <v>619</v>
      </c>
    </row>
    <row r="17" spans="2:20" s="185" customFormat="1" ht="15" customHeight="1" outlineLevel="1">
      <c r="B17" s="186" t="s">
        <v>603</v>
      </c>
      <c r="C17" s="187" t="s">
        <v>587</v>
      </c>
      <c r="D17" s="188" t="s">
        <v>581</v>
      </c>
      <c r="E17" s="189">
        <v>46.356571433408185</v>
      </c>
      <c r="F17" s="190">
        <v>379</v>
      </c>
      <c r="G17" s="191">
        <f t="shared" si="2"/>
        <v>17569.140573261702</v>
      </c>
      <c r="H17" s="192">
        <v>17199.999999999993</v>
      </c>
      <c r="I17" s="191">
        <f t="shared" si="3"/>
        <v>34769.140573261699</v>
      </c>
      <c r="J17" s="193">
        <v>4688</v>
      </c>
      <c r="K17" s="193">
        <v>4688</v>
      </c>
      <c r="L17" s="193">
        <v>1092</v>
      </c>
      <c r="M17" s="193">
        <v>1168.44</v>
      </c>
      <c r="N17" s="194">
        <v>34.700000000000003</v>
      </c>
      <c r="O17" s="194">
        <f t="shared" si="0"/>
        <v>7.4166255489039461</v>
      </c>
      <c r="Q17" s="194">
        <f t="shared" si="1"/>
        <v>15.036408008337357</v>
      </c>
      <c r="R17" s="195"/>
      <c r="S17" t="s">
        <v>611</v>
      </c>
      <c r="T17" s="175" t="s">
        <v>615</v>
      </c>
    </row>
    <row r="18" spans="2:20" s="185" customFormat="1" ht="15" customHeight="1" outlineLevel="1">
      <c r="B18" s="186" t="s">
        <v>604</v>
      </c>
      <c r="C18" s="187" t="s">
        <v>585</v>
      </c>
      <c r="D18" s="188" t="s">
        <v>614</v>
      </c>
      <c r="E18" s="189">
        <v>40.566817779110671</v>
      </c>
      <c r="F18" s="190">
        <v>122.27974170935197</v>
      </c>
      <c r="G18" s="191">
        <f t="shared" si="2"/>
        <v>4960.5</v>
      </c>
      <c r="H18" s="192">
        <v>1433</v>
      </c>
      <c r="I18" s="191">
        <f t="shared" si="3"/>
        <v>6393.5</v>
      </c>
      <c r="J18" s="193">
        <v>850</v>
      </c>
      <c r="K18" s="193">
        <v>884</v>
      </c>
      <c r="L18" s="193">
        <v>276</v>
      </c>
      <c r="M18" s="193">
        <v>281.52</v>
      </c>
      <c r="N18" s="194">
        <v>12.5</v>
      </c>
      <c r="O18" s="194">
        <f t="shared" si="0"/>
        <v>7.2324660633484159</v>
      </c>
      <c r="P18" s="194">
        <v>10.7</v>
      </c>
      <c r="Q18" s="194">
        <f t="shared" si="1"/>
        <v>17.620417732310315</v>
      </c>
      <c r="R18" s="195"/>
      <c r="S18"/>
      <c r="T18" s="175"/>
    </row>
    <row r="19" spans="2:20" s="185" customFormat="1" ht="15" customHeight="1" outlineLevel="1">
      <c r="B19" s="186" t="s">
        <v>605</v>
      </c>
      <c r="C19" s="187" t="s">
        <v>586</v>
      </c>
      <c r="D19" s="188" t="s">
        <v>615</v>
      </c>
      <c r="E19" s="189">
        <v>18.943668553284319</v>
      </c>
      <c r="F19" s="190">
        <v>48.997901192642821</v>
      </c>
      <c r="G19" s="191">
        <f t="shared" si="2"/>
        <v>928.2</v>
      </c>
      <c r="H19" s="192">
        <v>121.79999999999995</v>
      </c>
      <c r="I19" s="191">
        <f t="shared" si="3"/>
        <v>1050</v>
      </c>
      <c r="J19" s="193">
        <v>252</v>
      </c>
      <c r="K19" s="193">
        <v>257.04000000000002</v>
      </c>
      <c r="L19" s="193">
        <v>74</v>
      </c>
      <c r="M19" s="193">
        <v>76.22</v>
      </c>
      <c r="N19" s="194">
        <v>7.7</v>
      </c>
      <c r="O19" s="194">
        <f t="shared" si="0"/>
        <v>4.0849673202614376</v>
      </c>
      <c r="Q19" s="194">
        <f t="shared" si="1"/>
        <v>12.177906061401208</v>
      </c>
      <c r="R19" s="195"/>
      <c r="S19"/>
      <c r="T19" s="175"/>
    </row>
    <row r="20" spans="2:20" s="185" customFormat="1" ht="15" customHeight="1" outlineLevel="1">
      <c r="B20" s="186" t="s">
        <v>606</v>
      </c>
      <c r="C20" s="187" t="s">
        <v>582</v>
      </c>
      <c r="D20" s="188" t="s">
        <v>581</v>
      </c>
      <c r="E20" s="189">
        <v>15.372458268607836</v>
      </c>
      <c r="F20" s="190">
        <v>96.158986036647022</v>
      </c>
      <c r="G20" s="191">
        <f t="shared" si="2"/>
        <v>1478.2</v>
      </c>
      <c r="H20" s="192">
        <v>121.79999999999995</v>
      </c>
      <c r="I20" s="191">
        <f t="shared" si="3"/>
        <v>1600</v>
      </c>
      <c r="J20" s="193">
        <v>402</v>
      </c>
      <c r="K20" s="193">
        <v>402</v>
      </c>
      <c r="L20" s="193">
        <v>114</v>
      </c>
      <c r="M20" s="193">
        <v>121.98</v>
      </c>
      <c r="N20" s="194"/>
      <c r="O20" s="194">
        <f t="shared" si="0"/>
        <v>3.9800995024875623</v>
      </c>
      <c r="P20" s="194">
        <v>29.4</v>
      </c>
      <c r="Q20" s="194">
        <f t="shared" si="1"/>
        <v>12.118380062305295</v>
      </c>
      <c r="R20" s="195"/>
      <c r="S20"/>
      <c r="T20" s="175"/>
    </row>
    <row r="21" spans="2:20" s="185" customFormat="1" ht="15" customHeight="1" outlineLevel="1">
      <c r="B21" s="186" t="s">
        <v>607</v>
      </c>
      <c r="C21" s="187"/>
      <c r="D21" s="188" t="s">
        <v>616</v>
      </c>
      <c r="E21" s="189"/>
      <c r="F21" s="190"/>
      <c r="G21" s="191"/>
      <c r="H21" s="192"/>
      <c r="I21" s="191"/>
      <c r="J21" s="193"/>
      <c r="K21" s="193"/>
      <c r="L21" s="193"/>
      <c r="M21" s="193"/>
      <c r="N21" s="194">
        <v>9.6999999999999993</v>
      </c>
      <c r="O21" s="194"/>
      <c r="P21" s="194">
        <v>15.1</v>
      </c>
      <c r="Q21" s="194"/>
      <c r="R21" s="195"/>
      <c r="S21"/>
      <c r="T21" s="175"/>
    </row>
    <row r="22" spans="2:20" s="185" customFormat="1" ht="15" customHeight="1" outlineLevel="1">
      <c r="B22" s="186" t="s">
        <v>608</v>
      </c>
      <c r="C22" s="187"/>
      <c r="D22" s="188" t="s">
        <v>617</v>
      </c>
      <c r="E22" s="189"/>
      <c r="F22" s="190"/>
      <c r="G22" s="191"/>
      <c r="H22" s="192"/>
      <c r="I22" s="191"/>
      <c r="J22" s="193"/>
      <c r="K22" s="193"/>
      <c r="L22" s="193"/>
      <c r="M22" s="193"/>
      <c r="N22" s="194">
        <v>12.3</v>
      </c>
      <c r="O22" s="194"/>
      <c r="P22" s="194">
        <v>13.3</v>
      </c>
      <c r="Q22" s="194"/>
      <c r="R22" s="195"/>
      <c r="S22"/>
      <c r="T22" s="175"/>
    </row>
    <row r="23" spans="2:20" s="185" customFormat="1" ht="15" customHeight="1" outlineLevel="1">
      <c r="B23" s="186" t="s">
        <v>609</v>
      </c>
      <c r="C23" s="187"/>
      <c r="D23" s="188" t="s">
        <v>618</v>
      </c>
      <c r="E23" s="189"/>
      <c r="F23" s="190"/>
      <c r="G23" s="191"/>
      <c r="H23" s="192"/>
      <c r="I23" s="191"/>
      <c r="J23" s="193"/>
      <c r="K23" s="193"/>
      <c r="L23" s="193"/>
      <c r="M23" s="193"/>
      <c r="N23" s="194">
        <v>6.9</v>
      </c>
      <c r="O23" s="194"/>
      <c r="P23" s="194">
        <v>70.599999999999994</v>
      </c>
      <c r="Q23" s="194"/>
      <c r="R23" s="195"/>
      <c r="S23"/>
      <c r="T23" s="175"/>
    </row>
    <row r="24" spans="2:20" s="185" customFormat="1" ht="15" customHeight="1" outlineLevel="1">
      <c r="B24" s="186" t="s">
        <v>610</v>
      </c>
      <c r="C24" s="187"/>
      <c r="D24" s="188" t="s">
        <v>619</v>
      </c>
      <c r="E24" s="189"/>
      <c r="F24" s="190"/>
      <c r="G24" s="191"/>
      <c r="H24" s="192"/>
      <c r="I24" s="191"/>
      <c r="J24" s="193"/>
      <c r="K24" s="193"/>
      <c r="L24" s="193"/>
      <c r="M24" s="193"/>
      <c r="N24" s="194">
        <v>11.9</v>
      </c>
      <c r="O24" s="194"/>
      <c r="P24" s="194">
        <v>22.4</v>
      </c>
      <c r="Q24" s="194"/>
      <c r="R24" s="195"/>
      <c r="S24"/>
      <c r="T24" s="175"/>
    </row>
    <row r="25" spans="2:20" s="185" customFormat="1" ht="15" customHeight="1" outlineLevel="1">
      <c r="B25" s="186" t="s">
        <v>611</v>
      </c>
      <c r="C25" s="187"/>
      <c r="D25" s="188" t="s">
        <v>615</v>
      </c>
      <c r="E25" s="189"/>
      <c r="F25" s="190"/>
      <c r="G25" s="191"/>
      <c r="H25" s="192"/>
      <c r="I25" s="191"/>
      <c r="J25" s="193"/>
      <c r="K25" s="193"/>
      <c r="L25" s="193"/>
      <c r="M25" s="193"/>
      <c r="N25" s="194">
        <v>1</v>
      </c>
      <c r="O25" s="194"/>
      <c r="P25" s="194">
        <v>2.8</v>
      </c>
      <c r="Q25" s="194"/>
      <c r="R25" s="195"/>
      <c r="S25"/>
      <c r="T25" s="175"/>
    </row>
    <row r="26" spans="2:20" s="185" customFormat="1" ht="15" customHeight="1" outlineLevel="1">
      <c r="B26" s="186"/>
      <c r="C26" s="186"/>
      <c r="D26" s="186"/>
      <c r="E26" s="193"/>
      <c r="F26" s="193"/>
      <c r="G26" s="193"/>
      <c r="I26" s="193"/>
      <c r="J26" s="193"/>
      <c r="K26" s="193"/>
      <c r="L26" s="193"/>
      <c r="M26" s="196"/>
      <c r="N26" s="196"/>
      <c r="O26" s="196"/>
      <c r="P26" s="196"/>
      <c r="Q26" s="195"/>
      <c r="R26"/>
      <c r="S26" s="175"/>
    </row>
    <row r="27" spans="2:20" s="185" customFormat="1" ht="15" customHeight="1" outlineLevel="1">
      <c r="B27" s="186"/>
      <c r="C27" s="186"/>
      <c r="D27" s="186"/>
      <c r="E27" s="193"/>
      <c r="F27" s="193"/>
      <c r="G27" s="193"/>
      <c r="I27" s="193"/>
      <c r="J27" s="193"/>
      <c r="K27" s="193"/>
      <c r="L27" s="193"/>
      <c r="M27" s="196"/>
      <c r="N27" s="196"/>
      <c r="O27" s="196"/>
      <c r="P27" s="196"/>
      <c r="Q27" s="195"/>
      <c r="R27"/>
      <c r="S27" s="175"/>
    </row>
    <row r="28" spans="2:20" s="185" customFormat="1" ht="15" customHeight="1" outlineLevel="1">
      <c r="B28" s="197" t="s">
        <v>486</v>
      </c>
      <c r="C28" s="198"/>
      <c r="D28" s="198"/>
      <c r="G28" s="199"/>
      <c r="I28" s="199"/>
      <c r="K28" s="191"/>
      <c r="M28" s="193"/>
      <c r="N28" s="194">
        <f>+AVERAGE(N$11:N$25)</f>
        <v>9.8307692307692331</v>
      </c>
      <c r="O28" s="194">
        <f>+AVERAGE(O$11:O$16)</f>
        <v>7.0597332252599259</v>
      </c>
      <c r="P28" s="194">
        <f>+AVERAGE(P$11:P$25)</f>
        <v>25.633333333333329</v>
      </c>
      <c r="Q28" s="194">
        <f>+AVERAGE(Q$11:Q$16)</f>
        <v>15.484916173386495</v>
      </c>
      <c r="R28"/>
      <c r="S28" s="175"/>
    </row>
    <row r="29" spans="2:20" s="185" customFormat="1" ht="15" customHeight="1" outlineLevel="1">
      <c r="B29" s="197" t="s">
        <v>546</v>
      </c>
      <c r="C29" s="197"/>
      <c r="D29" s="197"/>
      <c r="G29" s="199"/>
      <c r="I29" s="199"/>
      <c r="J29" s="200"/>
      <c r="K29" s="193"/>
      <c r="L29" s="191"/>
      <c r="M29" s="191"/>
      <c r="N29" s="194">
        <f>+MEDIAN(N$11:N$25)</f>
        <v>7.2</v>
      </c>
      <c r="O29" s="194">
        <f>+MEDIAN(O$11:O$16)</f>
        <v>6.6160595057950893</v>
      </c>
      <c r="P29" s="194">
        <f>+MEDIAN(P$11:P$25)</f>
        <v>20.200000000000003</v>
      </c>
      <c r="Q29" s="194">
        <f>+MEDIAN(Q$11:Q$16)</f>
        <v>14.729179164622549</v>
      </c>
      <c r="R29" s="175"/>
      <c r="S29" s="175"/>
    </row>
    <row r="30" spans="2:20" s="201" customFormat="1" ht="15" customHeight="1" outlineLevel="1">
      <c r="B30" s="197" t="s">
        <v>240</v>
      </c>
      <c r="C30" s="197"/>
      <c r="D30" s="197"/>
      <c r="G30" s="199"/>
      <c r="I30" s="199"/>
      <c r="J30" s="191"/>
      <c r="L30" s="191"/>
      <c r="M30" s="191"/>
      <c r="N30" s="194">
        <f>+MAX(N$11:N$25)</f>
        <v>34.700000000000003</v>
      </c>
      <c r="O30" s="194">
        <f>+MAX(O$11:O$16)</f>
        <v>10.977473301054223</v>
      </c>
      <c r="P30" s="194">
        <f>+MAX(P$11:P$25)</f>
        <v>70.599999999999994</v>
      </c>
      <c r="Q30" s="194">
        <f>+MAX(Q$11:Q$16)</f>
        <v>20.495816547877286</v>
      </c>
      <c r="R30" s="175"/>
    </row>
    <row r="31" spans="2:20" s="201" customFormat="1" ht="15" customHeight="1" outlineLevel="1">
      <c r="B31" s="197" t="s">
        <v>273</v>
      </c>
      <c r="C31" s="197"/>
      <c r="D31" s="197"/>
      <c r="G31" s="199"/>
      <c r="I31" s="199"/>
      <c r="J31" s="191"/>
      <c r="K31" s="202"/>
      <c r="L31" s="191"/>
      <c r="M31" s="191"/>
      <c r="N31" s="194">
        <f>+MIN(N$11:N$25)</f>
        <v>1</v>
      </c>
      <c r="O31" s="194">
        <f>+MIN(O$11:O$16)</f>
        <v>4</v>
      </c>
      <c r="P31" s="194">
        <f>+MIN(P$11:P$25)</f>
        <v>2.8</v>
      </c>
      <c r="Q31" s="194">
        <f>+MIN(Q$11:Q$16)</f>
        <v>12.55478006817075</v>
      </c>
      <c r="R31" s="175"/>
    </row>
    <row r="32" spans="2:20" s="201" customFormat="1" ht="15" customHeight="1" outlineLevel="1">
      <c r="B32" s="197"/>
      <c r="C32" s="197"/>
      <c r="D32" s="197"/>
      <c r="G32" s="199"/>
      <c r="I32" s="199"/>
      <c r="J32" s="191"/>
      <c r="K32" s="202"/>
      <c r="L32" s="191"/>
      <c r="M32" s="191"/>
      <c r="N32" s="194"/>
      <c r="O32" s="194"/>
      <c r="P32" s="194"/>
      <c r="Q32" s="194"/>
      <c r="R32" s="175"/>
    </row>
    <row r="33" spans="1:19" s="201" customFormat="1" ht="15" customHeight="1" outlineLevel="1">
      <c r="B33" s="197"/>
      <c r="C33" s="197"/>
      <c r="D33" s="197"/>
      <c r="G33" s="199"/>
      <c r="I33" s="199"/>
      <c r="J33" s="191"/>
      <c r="K33" s="202"/>
      <c r="L33" s="191"/>
      <c r="M33" s="191"/>
      <c r="N33" s="194"/>
      <c r="O33" s="194"/>
      <c r="P33" s="194"/>
      <c r="Q33" s="194"/>
      <c r="R33" s="175"/>
    </row>
    <row r="34" spans="1:19" s="185" customFormat="1" outlineLevel="1">
      <c r="B34" s="203" t="s">
        <v>547</v>
      </c>
      <c r="C34" s="175"/>
      <c r="D34" s="175"/>
      <c r="E34" s="193"/>
      <c r="F34" s="193"/>
      <c r="G34" s="193"/>
      <c r="I34" s="193"/>
      <c r="J34" s="193"/>
      <c r="K34" s="193"/>
      <c r="L34" s="193"/>
      <c r="M34" s="196"/>
      <c r="N34" s="196"/>
      <c r="O34" s="196"/>
      <c r="P34" s="196"/>
      <c r="Q34" s="195"/>
      <c r="R34"/>
      <c r="S34" s="175"/>
    </row>
    <row r="35" spans="1:19" s="185" customFormat="1" outlineLevel="1">
      <c r="B35" s="204" t="str">
        <f>$J$9&amp;"A EV/EBITDA"</f>
        <v>2023A EV/EBITDA</v>
      </c>
      <c r="C35" s="175"/>
      <c r="D35" s="175"/>
      <c r="E35" s="205">
        <f>G35/F35</f>
        <v>0.15</v>
      </c>
      <c r="F35" s="206">
        <f>'DCF Valuation'!E121</f>
        <v>10000</v>
      </c>
      <c r="G35" s="191">
        <f>I35-H35</f>
        <v>1500</v>
      </c>
      <c r="H35" s="207">
        <f>'DCF Valuation'!D116</f>
        <v>-1500</v>
      </c>
      <c r="I35" s="191">
        <f>J35*N35</f>
        <v>0</v>
      </c>
      <c r="J35" s="208">
        <f>'DCF Valuation'!J15</f>
        <v>0</v>
      </c>
      <c r="K35" s="193"/>
      <c r="L35" s="193"/>
      <c r="M35" s="196"/>
      <c r="N35" s="196">
        <f>N29</f>
        <v>7.2</v>
      </c>
      <c r="O35" s="196"/>
      <c r="P35" s="196"/>
      <c r="Q35" s="195"/>
      <c r="R35"/>
      <c r="S35" s="175"/>
    </row>
    <row r="36" spans="1:19" s="201" customFormat="1" ht="15" customHeight="1" outlineLevel="1">
      <c r="B36" s="204" t="str">
        <f>$K$9&amp;"F EV/EBITDA"</f>
        <v>2024F EV/EBITDA</v>
      </c>
      <c r="E36" s="205">
        <f>G36/F36</f>
        <v>63.633623668383443</v>
      </c>
      <c r="F36" s="209">
        <f>F35</f>
        <v>10000</v>
      </c>
      <c r="G36" s="191">
        <f>I36-H36</f>
        <v>636336.23668383446</v>
      </c>
      <c r="H36" s="210">
        <f>H35</f>
        <v>-1500</v>
      </c>
      <c r="I36" s="210">
        <f>K36*O36</f>
        <v>634836.23668383446</v>
      </c>
      <c r="K36" s="208">
        <f>'DCF Valuation'!K15</f>
        <v>95953.828125</v>
      </c>
      <c r="N36" s="185"/>
      <c r="O36" s="211">
        <f>O29</f>
        <v>6.6160595057950893</v>
      </c>
    </row>
    <row r="37" spans="1:19" s="201" customFormat="1" ht="15" customHeight="1" outlineLevel="1">
      <c r="B37" s="204" t="str">
        <f>$L$9&amp;"A P/E"</f>
        <v>2023A P/E</v>
      </c>
      <c r="E37" s="205">
        <f>G37/F37</f>
        <v>0</v>
      </c>
      <c r="F37" s="209">
        <f>F36</f>
        <v>10000</v>
      </c>
      <c r="G37" s="191">
        <f>L37*P37</f>
        <v>0</v>
      </c>
      <c r="H37" s="210">
        <f>H36</f>
        <v>-1500</v>
      </c>
      <c r="I37" s="210">
        <f>G37+H37</f>
        <v>-1500</v>
      </c>
      <c r="L37" s="208">
        <f>'DCF Valuation'!J8</f>
        <v>0</v>
      </c>
      <c r="N37" s="185"/>
      <c r="P37" s="211">
        <f>P29</f>
        <v>20.200000000000003</v>
      </c>
    </row>
    <row r="38" spans="1:19" s="201" customFormat="1" ht="15" customHeight="1" outlineLevel="1">
      <c r="B38" s="204" t="str">
        <f>$M$9&amp;"F P/E"</f>
        <v>2024F P/E</v>
      </c>
      <c r="E38" s="205">
        <f>G38/F38</f>
        <v>95.476143756310719</v>
      </c>
      <c r="F38" s="209">
        <f>F37</f>
        <v>10000</v>
      </c>
      <c r="G38" s="191">
        <f>+M38*Q38</f>
        <v>954761.43756310723</v>
      </c>
      <c r="H38" s="210">
        <f>H37</f>
        <v>-1500</v>
      </c>
      <c r="I38" s="210">
        <f>G38+H38</f>
        <v>953261.43756310723</v>
      </c>
      <c r="M38" s="208">
        <f>'DCF Valuation'!K8</f>
        <v>64821.089274024998</v>
      </c>
      <c r="N38" s="185"/>
      <c r="Q38" s="211">
        <f>Q29</f>
        <v>14.729179164622549</v>
      </c>
    </row>
    <row r="39" spans="1:19" s="201" customFormat="1" ht="15" customHeight="1" outlineLevel="1">
      <c r="B39" s="204"/>
      <c r="E39" s="205"/>
      <c r="F39" s="209"/>
      <c r="G39" s="191"/>
      <c r="H39" s="210"/>
      <c r="I39" s="210"/>
      <c r="M39" s="208"/>
      <c r="N39" s="185"/>
      <c r="Q39" s="211"/>
    </row>
    <row r="40" spans="1:19" s="201" customFormat="1" ht="15" customHeight="1" outlineLevel="1">
      <c r="B40" s="204"/>
      <c r="N40" s="185"/>
    </row>
    <row r="41" spans="1:19" s="201" customFormat="1" ht="15" customHeight="1" outlineLevel="1">
      <c r="B41"/>
      <c r="E41" s="193"/>
      <c r="F41" s="193"/>
      <c r="G41" s="193"/>
      <c r="H41" s="191"/>
      <c r="J41" s="191"/>
      <c r="K41" s="212"/>
      <c r="L41" s="212"/>
      <c r="P41"/>
      <c r="Q41" s="213" t="s">
        <v>548</v>
      </c>
    </row>
    <row r="42" spans="1:19" s="201" customFormat="1" ht="15" customHeight="1" outlineLevel="1">
      <c r="E42" s="193"/>
      <c r="F42" s="193"/>
      <c r="G42" s="193"/>
      <c r="H42" s="191"/>
      <c r="J42" s="191"/>
      <c r="K42" s="212"/>
      <c r="L42" s="212"/>
      <c r="Q42" s="214" t="s">
        <v>549</v>
      </c>
    </row>
    <row r="43" spans="1:19" s="201" customFormat="1" ht="15" customHeight="1" outlineLevel="1">
      <c r="E43" s="193"/>
      <c r="F43" s="193"/>
      <c r="G43" s="193"/>
      <c r="H43" s="191"/>
      <c r="J43" s="191"/>
      <c r="K43" s="212"/>
      <c r="L43" s="212"/>
      <c r="Q43" s="215"/>
    </row>
    <row r="44" spans="1:19" s="201" customFormat="1" ht="15" customHeight="1" outlineLevel="1">
      <c r="E44" s="193"/>
      <c r="F44" s="191"/>
      <c r="H44" s="191"/>
      <c r="I44" s="212"/>
      <c r="J44" s="212"/>
      <c r="O44" s="216"/>
    </row>
    <row r="45" spans="1:19" s="201" customFormat="1" ht="15" customHeight="1" outlineLevel="1">
      <c r="B45" s="217"/>
      <c r="C45" s="217"/>
      <c r="D45" s="217"/>
      <c r="E45" s="218"/>
      <c r="F45" s="219"/>
      <c r="G45" s="217"/>
      <c r="H45" s="219"/>
      <c r="I45" s="220"/>
      <c r="J45" s="220"/>
      <c r="K45" s="217"/>
      <c r="L45" s="217"/>
      <c r="M45" s="217"/>
      <c r="N45" s="217"/>
      <c r="O45" s="221"/>
      <c r="P45" s="221"/>
      <c r="Q45" s="221"/>
    </row>
    <row r="47" spans="1:19" ht="15" customHeight="1">
      <c r="A47" s="49" t="s">
        <v>80</v>
      </c>
      <c r="B47" s="146" t="s">
        <v>550</v>
      </c>
      <c r="C47" s="146"/>
      <c r="D47" s="146"/>
      <c r="E47" s="146"/>
      <c r="F47" s="146"/>
      <c r="G47" s="146"/>
      <c r="H47" s="146"/>
      <c r="I47" s="146"/>
      <c r="J47" s="146"/>
      <c r="K47" s="146"/>
      <c r="L47" s="146"/>
      <c r="M47" s="146"/>
      <c r="N47" s="146"/>
      <c r="O47" s="146"/>
      <c r="P47" s="146"/>
      <c r="Q47" s="169"/>
    </row>
    <row r="48" spans="1:19" ht="15" customHeight="1" outlineLevel="1"/>
    <row r="49" spans="2:19" ht="15" customHeight="1" outlineLevel="1">
      <c r="B49" s="222" t="s">
        <v>344</v>
      </c>
    </row>
    <row r="50" spans="2:19" ht="15" customHeight="1" outlineLevel="1"/>
    <row r="51" spans="2:19" ht="15" customHeight="1" outlineLevel="1">
      <c r="B51" s="223"/>
      <c r="C51" s="223"/>
      <c r="D51" s="223"/>
      <c r="E51" s="172" t="s">
        <v>527</v>
      </c>
      <c r="F51" s="172" t="s">
        <v>551</v>
      </c>
      <c r="G51" s="172" t="s">
        <v>552</v>
      </c>
      <c r="H51" s="172" t="s">
        <v>528</v>
      </c>
      <c r="I51" s="172" t="s">
        <v>553</v>
      </c>
      <c r="J51" s="172" t="s">
        <v>530</v>
      </c>
      <c r="K51" s="224" t="s">
        <v>531</v>
      </c>
      <c r="L51" s="225" t="s">
        <v>26</v>
      </c>
      <c r="M51" s="226"/>
      <c r="N51" s="226"/>
      <c r="O51" s="225" t="s">
        <v>532</v>
      </c>
      <c r="P51" s="226"/>
      <c r="Q51" s="226"/>
    </row>
    <row r="52" spans="2:19" ht="15" customHeight="1" outlineLevel="1">
      <c r="B52" s="227" t="s">
        <v>554</v>
      </c>
      <c r="C52" s="227" t="s">
        <v>555</v>
      </c>
      <c r="D52" s="227" t="s">
        <v>556</v>
      </c>
      <c r="E52" s="228" t="s">
        <v>537</v>
      </c>
      <c r="F52" s="228" t="s">
        <v>537</v>
      </c>
      <c r="G52" s="228" t="s">
        <v>557</v>
      </c>
      <c r="H52" s="178" t="s">
        <v>538</v>
      </c>
      <c r="I52" s="178" t="s">
        <v>558</v>
      </c>
      <c r="J52" s="178" t="s">
        <v>540</v>
      </c>
      <c r="K52" s="224" t="s">
        <v>559</v>
      </c>
      <c r="L52" s="179">
        <v>2023</v>
      </c>
      <c r="M52" s="180">
        <v>2024</v>
      </c>
      <c r="N52" s="180">
        <v>2025</v>
      </c>
      <c r="O52" s="179">
        <v>2023</v>
      </c>
      <c r="P52" s="180">
        <v>2024</v>
      </c>
      <c r="Q52" s="180">
        <v>2025</v>
      </c>
    </row>
    <row r="53" spans="2:19" ht="15" customHeight="1" outlineLevel="1">
      <c r="B53" s="229" t="s">
        <v>560</v>
      </c>
      <c r="C53" s="230"/>
      <c r="D53" s="230"/>
      <c r="E53" s="182" t="s">
        <v>542</v>
      </c>
      <c r="F53" s="182" t="s">
        <v>542</v>
      </c>
      <c r="G53" s="230"/>
      <c r="H53" s="182" t="s">
        <v>543</v>
      </c>
      <c r="I53" s="230"/>
      <c r="J53" s="230"/>
      <c r="K53" s="230"/>
      <c r="L53" s="230"/>
      <c r="M53" s="230"/>
      <c r="N53" s="230"/>
      <c r="O53" s="184" t="s">
        <v>544</v>
      </c>
      <c r="P53" s="184" t="s">
        <v>544</v>
      </c>
      <c r="Q53" s="184" t="s">
        <v>544</v>
      </c>
    </row>
    <row r="54" spans="2:19" ht="15" customHeight="1" outlineLevel="1">
      <c r="B54" s="231">
        <v>44631</v>
      </c>
      <c r="C54" s="232" t="s">
        <v>561</v>
      </c>
      <c r="D54" s="232" t="s">
        <v>562</v>
      </c>
      <c r="E54" s="233">
        <v>25.5</v>
      </c>
      <c r="F54" s="233">
        <v>31.11</v>
      </c>
      <c r="G54" s="234">
        <f>F54/E54-1</f>
        <v>0.21999999999999997</v>
      </c>
      <c r="H54" s="235">
        <v>129</v>
      </c>
      <c r="I54" s="236">
        <f>H54*F54</f>
        <v>4013.19</v>
      </c>
      <c r="J54" s="235">
        <v>2528.3096999999998</v>
      </c>
      <c r="K54" s="237">
        <f>I54+J54</f>
        <v>6541.4997000000003</v>
      </c>
      <c r="L54" s="238">
        <v>485</v>
      </c>
      <c r="M54" s="238">
        <v>509.25</v>
      </c>
      <c r="N54" s="238">
        <v>534.71249999999998</v>
      </c>
      <c r="O54" s="194">
        <f t="shared" ref="O54:Q63" si="4">IFERROR($K54/L54,"NA")</f>
        <v>13.487628247422681</v>
      </c>
      <c r="P54" s="194">
        <f t="shared" si="4"/>
        <v>12.845360235640648</v>
      </c>
      <c r="Q54" s="194">
        <f t="shared" si="4"/>
        <v>12.233676414895857</v>
      </c>
      <c r="S54"/>
    </row>
    <row r="55" spans="2:19" ht="15" customHeight="1" outlineLevel="1">
      <c r="B55" s="231">
        <v>44626</v>
      </c>
      <c r="C55" s="232" t="s">
        <v>563</v>
      </c>
      <c r="D55" s="232" t="s">
        <v>564</v>
      </c>
      <c r="E55" s="233">
        <v>37.25</v>
      </c>
      <c r="F55" s="233">
        <v>46.56</v>
      </c>
      <c r="G55" s="234">
        <f>F55/E55-1</f>
        <v>0.24993288590604035</v>
      </c>
      <c r="H55" s="235">
        <v>568</v>
      </c>
      <c r="I55" s="236">
        <f t="shared" ref="I55:I63" si="5">H55*F55</f>
        <v>26446.080000000002</v>
      </c>
      <c r="J55" s="235">
        <v>18247.7952</v>
      </c>
      <c r="K55" s="237">
        <f t="shared" ref="K55:K63" si="6">I55+J55</f>
        <v>44693.875200000002</v>
      </c>
      <c r="L55" s="238">
        <v>4382</v>
      </c>
      <c r="M55" s="238">
        <v>4688.7400000000007</v>
      </c>
      <c r="N55" s="238">
        <v>5063.8392000000013</v>
      </c>
      <c r="O55" s="194">
        <f t="shared" si="4"/>
        <v>10.199423824737563</v>
      </c>
      <c r="P55" s="194">
        <f t="shared" si="4"/>
        <v>9.5321717988201513</v>
      </c>
      <c r="Q55" s="194">
        <f t="shared" si="4"/>
        <v>8.8260849989075467</v>
      </c>
    </row>
    <row r="56" spans="2:19" ht="15" customHeight="1" outlineLevel="1">
      <c r="B56" s="231">
        <v>44456</v>
      </c>
      <c r="C56" s="232" t="s">
        <v>565</v>
      </c>
      <c r="D56" s="232" t="s">
        <v>566</v>
      </c>
      <c r="E56" s="233">
        <v>16.8</v>
      </c>
      <c r="F56" s="233">
        <v>21.17</v>
      </c>
      <c r="G56" s="234">
        <f>F56/E56-1</f>
        <v>0.26011904761904758</v>
      </c>
      <c r="H56" s="235">
        <v>688</v>
      </c>
      <c r="I56" s="236">
        <f t="shared" si="5"/>
        <v>14564.960000000001</v>
      </c>
      <c r="J56" s="235">
        <v>9758.5231999999996</v>
      </c>
      <c r="K56" s="237">
        <f t="shared" si="6"/>
        <v>24323.483200000002</v>
      </c>
      <c r="L56" s="238">
        <v>1622</v>
      </c>
      <c r="M56" s="238">
        <v>1784.2</v>
      </c>
      <c r="N56" s="238">
        <v>1891.2520000000002</v>
      </c>
      <c r="O56" s="194">
        <f t="shared" si="4"/>
        <v>14.995982244143034</v>
      </c>
      <c r="P56" s="194">
        <f t="shared" si="4"/>
        <v>13.632711131039121</v>
      </c>
      <c r="Q56" s="194">
        <f t="shared" si="4"/>
        <v>12.86104823682936</v>
      </c>
    </row>
    <row r="57" spans="2:19" ht="15" customHeight="1" outlineLevel="1">
      <c r="B57" s="231">
        <v>44148</v>
      </c>
      <c r="C57" s="232" t="s">
        <v>567</v>
      </c>
      <c r="D57" s="232" t="s">
        <v>568</v>
      </c>
      <c r="E57" s="233">
        <v>31.11</v>
      </c>
      <c r="F57" s="233">
        <v>37.33</v>
      </c>
      <c r="G57" s="234">
        <f t="shared" ref="G57:G63" si="7">F57/E57-1</f>
        <v>0.19993571198971383</v>
      </c>
      <c r="H57" s="235">
        <v>1429</v>
      </c>
      <c r="I57" s="236">
        <f t="shared" si="5"/>
        <v>53344.57</v>
      </c>
      <c r="J57" s="235">
        <v>34673.970499999996</v>
      </c>
      <c r="K57" s="237">
        <f t="shared" si="6"/>
        <v>88018.540500000003</v>
      </c>
      <c r="L57" s="238">
        <v>8075</v>
      </c>
      <c r="M57" s="238">
        <v>8882.5</v>
      </c>
      <c r="N57" s="238">
        <v>9681.9250000000011</v>
      </c>
      <c r="O57" s="194">
        <f t="shared" si="4"/>
        <v>10.900128854489164</v>
      </c>
      <c r="P57" s="194">
        <f t="shared" si="4"/>
        <v>9.9092080495356036</v>
      </c>
      <c r="Q57" s="194">
        <f t="shared" si="4"/>
        <v>9.0910165592069756</v>
      </c>
    </row>
    <row r="58" spans="2:19" ht="15" customHeight="1" outlineLevel="1">
      <c r="B58" s="231">
        <v>44056</v>
      </c>
      <c r="C58" s="232" t="s">
        <v>569</v>
      </c>
      <c r="D58" s="232" t="s">
        <v>570</v>
      </c>
      <c r="E58" s="233">
        <v>29.29</v>
      </c>
      <c r="F58" s="233">
        <v>37.200000000000003</v>
      </c>
      <c r="G58" s="234">
        <f t="shared" si="7"/>
        <v>0.27005804028678737</v>
      </c>
      <c r="H58" s="235">
        <v>1198</v>
      </c>
      <c r="I58" s="236">
        <f t="shared" si="5"/>
        <v>44565.600000000006</v>
      </c>
      <c r="J58" s="235">
        <v>27630.672000000002</v>
      </c>
      <c r="K58" s="237">
        <f t="shared" si="6"/>
        <v>72196.272000000012</v>
      </c>
      <c r="L58" s="238">
        <v>4512</v>
      </c>
      <c r="M58" s="238">
        <v>4918.08</v>
      </c>
      <c r="N58" s="238">
        <v>5311.5264000000006</v>
      </c>
      <c r="O58" s="194">
        <f t="shared" si="4"/>
        <v>16.000946808510641</v>
      </c>
      <c r="P58" s="194">
        <f t="shared" si="4"/>
        <v>14.679767714229946</v>
      </c>
      <c r="Q58" s="194">
        <f t="shared" si="4"/>
        <v>13.592377513175874</v>
      </c>
    </row>
    <row r="59" spans="2:19" ht="15" customHeight="1" outlineLevel="1">
      <c r="B59" s="231">
        <v>43952</v>
      </c>
      <c r="C59" s="232" t="s">
        <v>571</v>
      </c>
      <c r="D59" s="232" t="s">
        <v>572</v>
      </c>
      <c r="E59" s="233">
        <v>12.34</v>
      </c>
      <c r="F59" s="233">
        <v>15.3</v>
      </c>
      <c r="G59" s="234">
        <f t="shared" si="7"/>
        <v>0.23987034035656407</v>
      </c>
      <c r="H59" s="235">
        <v>934</v>
      </c>
      <c r="I59" s="236">
        <f t="shared" si="5"/>
        <v>14290.2</v>
      </c>
      <c r="J59" s="235">
        <v>9145.728000000001</v>
      </c>
      <c r="K59" s="237">
        <f t="shared" si="6"/>
        <v>23435.928</v>
      </c>
      <c r="L59" s="238">
        <v>2092</v>
      </c>
      <c r="M59" s="238">
        <v>2280.2800000000002</v>
      </c>
      <c r="N59" s="238">
        <v>2485.5052000000005</v>
      </c>
      <c r="O59" s="194">
        <f t="shared" si="4"/>
        <v>11.202642447418738</v>
      </c>
      <c r="P59" s="194">
        <f t="shared" si="4"/>
        <v>10.277653621485079</v>
      </c>
      <c r="Q59" s="194">
        <f t="shared" si="4"/>
        <v>9.4290400197110813</v>
      </c>
    </row>
    <row r="60" spans="2:19" ht="15" customHeight="1" outlineLevel="1">
      <c r="B60" s="231">
        <v>44091</v>
      </c>
      <c r="C60" s="232" t="s">
        <v>573</v>
      </c>
      <c r="D60" s="232" t="s">
        <v>574</v>
      </c>
      <c r="E60" s="233">
        <v>9</v>
      </c>
      <c r="F60" s="233">
        <v>8.75</v>
      </c>
      <c r="G60" s="234">
        <f t="shared" si="7"/>
        <v>-2.777777777777779E-2</v>
      </c>
      <c r="H60" s="235">
        <v>156</v>
      </c>
      <c r="I60" s="236">
        <f t="shared" si="5"/>
        <v>1365</v>
      </c>
      <c r="J60" s="235">
        <v>859.95</v>
      </c>
      <c r="K60" s="237">
        <f t="shared" si="6"/>
        <v>2224.9499999999998</v>
      </c>
      <c r="L60" s="238">
        <v>371</v>
      </c>
      <c r="M60" s="238">
        <v>404.39000000000004</v>
      </c>
      <c r="N60" s="238">
        <v>424.60950000000008</v>
      </c>
      <c r="O60" s="194">
        <f t="shared" si="4"/>
        <v>5.9971698113207541</v>
      </c>
      <c r="P60" s="194">
        <f t="shared" si="4"/>
        <v>5.501990652587847</v>
      </c>
      <c r="Q60" s="194">
        <f t="shared" si="4"/>
        <v>5.2399910977027115</v>
      </c>
    </row>
    <row r="61" spans="2:19" ht="15" customHeight="1" outlineLevel="1">
      <c r="B61" s="231">
        <v>42264</v>
      </c>
      <c r="C61" s="232" t="s">
        <v>573</v>
      </c>
      <c r="D61" s="232" t="s">
        <v>575</v>
      </c>
      <c r="E61" s="233">
        <v>23.82</v>
      </c>
      <c r="F61" s="233">
        <v>30.489599999999999</v>
      </c>
      <c r="G61" s="234">
        <f t="shared" si="7"/>
        <v>0.28000000000000003</v>
      </c>
      <c r="H61" s="235">
        <v>1219</v>
      </c>
      <c r="I61" s="236">
        <f t="shared" si="5"/>
        <v>37166.822399999997</v>
      </c>
      <c r="J61" s="235">
        <v>25273.439231999997</v>
      </c>
      <c r="K61" s="237">
        <f t="shared" si="6"/>
        <v>62440.261631999994</v>
      </c>
      <c r="L61" s="238">
        <v>4995</v>
      </c>
      <c r="M61" s="238">
        <v>5144.8500000000004</v>
      </c>
      <c r="N61" s="238">
        <v>5299.1955000000007</v>
      </c>
      <c r="O61" s="194">
        <f t="shared" si="4"/>
        <v>12.500552879279278</v>
      </c>
      <c r="P61" s="194">
        <f t="shared" si="4"/>
        <v>12.136459106096385</v>
      </c>
      <c r="Q61" s="194">
        <f t="shared" si="4"/>
        <v>11.78297000591882</v>
      </c>
    </row>
    <row r="62" spans="2:19" ht="15" customHeight="1" outlineLevel="1">
      <c r="B62" s="231">
        <v>41956</v>
      </c>
      <c r="C62" s="232" t="s">
        <v>576</v>
      </c>
      <c r="D62" s="232" t="s">
        <v>577</v>
      </c>
      <c r="E62" s="233">
        <v>60</v>
      </c>
      <c r="F62" s="233">
        <v>72.5</v>
      </c>
      <c r="G62" s="234">
        <f t="shared" si="7"/>
        <v>0.20833333333333326</v>
      </c>
      <c r="H62" s="235">
        <v>141</v>
      </c>
      <c r="I62" s="236">
        <f t="shared" si="5"/>
        <v>10222.5</v>
      </c>
      <c r="J62" s="235">
        <v>6337.95</v>
      </c>
      <c r="K62" s="237">
        <f t="shared" si="6"/>
        <v>16560.45</v>
      </c>
      <c r="L62" s="238">
        <v>974</v>
      </c>
      <c r="M62" s="238">
        <v>1071.4000000000001</v>
      </c>
      <c r="N62" s="238">
        <v>1178.5400000000002</v>
      </c>
      <c r="O62" s="194">
        <f t="shared" si="4"/>
        <v>17.00251540041068</v>
      </c>
      <c r="P62" s="194">
        <f t="shared" si="4"/>
        <v>15.456832182191524</v>
      </c>
      <c r="Q62" s="194">
        <f t="shared" si="4"/>
        <v>14.051665620174113</v>
      </c>
    </row>
    <row r="63" spans="2:19" ht="15" customHeight="1" outlineLevel="1">
      <c r="B63" s="231">
        <v>41864</v>
      </c>
      <c r="C63" s="232" t="s">
        <v>578</v>
      </c>
      <c r="D63" s="232" t="s">
        <v>579</v>
      </c>
      <c r="E63" s="233">
        <v>14</v>
      </c>
      <c r="F63" s="233">
        <v>17.36</v>
      </c>
      <c r="G63" s="234">
        <f t="shared" si="7"/>
        <v>0.24</v>
      </c>
      <c r="H63" s="235">
        <v>1377</v>
      </c>
      <c r="I63" s="236">
        <f t="shared" si="5"/>
        <v>23904.719999999998</v>
      </c>
      <c r="J63" s="235">
        <v>14342.831999999999</v>
      </c>
      <c r="K63" s="237">
        <f t="shared" si="6"/>
        <v>38247.551999999996</v>
      </c>
      <c r="L63" s="238">
        <v>2318</v>
      </c>
      <c r="M63" s="238">
        <v>2503.44</v>
      </c>
      <c r="N63" s="238">
        <v>2728.7496000000001</v>
      </c>
      <c r="O63" s="194">
        <f t="shared" si="4"/>
        <v>16.500238136324416</v>
      </c>
      <c r="P63" s="194">
        <f t="shared" si="4"/>
        <v>15.277998274374459</v>
      </c>
      <c r="Q63" s="194">
        <f t="shared" si="4"/>
        <v>14.016512178325192</v>
      </c>
    </row>
    <row r="64" spans="2:19" ht="15" customHeight="1" outlineLevel="1">
      <c r="B64" s="231"/>
      <c r="C64" s="239"/>
      <c r="D64" s="239"/>
      <c r="E64" s="239"/>
      <c r="F64" s="239"/>
      <c r="G64" s="239"/>
      <c r="H64" s="239"/>
      <c r="I64" s="239"/>
      <c r="J64" s="239"/>
      <c r="K64" s="240"/>
      <c r="L64" s="238"/>
      <c r="M64" s="238"/>
      <c r="N64" s="238"/>
      <c r="O64" s="194"/>
      <c r="P64" s="194"/>
      <c r="Q64" s="194"/>
    </row>
    <row r="65" spans="2:17" ht="15" customHeight="1" outlineLevel="1">
      <c r="B65" s="231"/>
      <c r="C65" s="239"/>
      <c r="D65" s="239"/>
      <c r="E65" s="239"/>
      <c r="F65" s="239"/>
      <c r="G65" s="239"/>
      <c r="H65" s="239"/>
      <c r="I65" s="239"/>
      <c r="J65" s="239"/>
      <c r="K65" s="240"/>
      <c r="L65" s="238"/>
      <c r="M65" s="238"/>
      <c r="N65" s="238"/>
      <c r="O65" s="194"/>
      <c r="P65" s="194"/>
      <c r="Q65" s="194"/>
    </row>
    <row r="66" spans="2:17" ht="15" customHeight="1" outlineLevel="1">
      <c r="B66" s="197" t="s">
        <v>486</v>
      </c>
      <c r="C66" s="241"/>
      <c r="D66" s="242"/>
      <c r="E66" s="242"/>
      <c r="F66" s="242"/>
      <c r="G66" s="243"/>
      <c r="H66" s="243"/>
      <c r="I66" s="243"/>
      <c r="J66" s="243"/>
      <c r="K66" s="199"/>
      <c r="M66" s="244"/>
      <c r="N66" s="244"/>
      <c r="O66" s="194">
        <f>+AVERAGE(O$54:O$59)</f>
        <v>12.797792071120305</v>
      </c>
      <c r="P66" s="194">
        <f>+AVERAGE(P$54:P$59)</f>
        <v>11.812812091791757</v>
      </c>
      <c r="Q66" s="194">
        <f>+AVERAGE(Q$54:Q$59)</f>
        <v>11.005540623787782</v>
      </c>
    </row>
    <row r="67" spans="2:17" ht="15" customHeight="1" outlineLevel="1">
      <c r="B67" s="197" t="s">
        <v>546</v>
      </c>
      <c r="C67" s="241"/>
      <c r="D67" s="242"/>
      <c r="E67" s="242"/>
      <c r="F67" s="242"/>
      <c r="G67" s="243"/>
      <c r="H67" s="243"/>
      <c r="I67" s="243"/>
      <c r="J67" s="243"/>
      <c r="K67" s="199"/>
      <c r="L67" s="199"/>
      <c r="M67" s="244"/>
      <c r="N67" s="244"/>
      <c r="O67" s="194">
        <f>+MEDIAN(O$54:O$59)</f>
        <v>12.345135347420708</v>
      </c>
      <c r="P67" s="194">
        <f>+MEDIAN(P$54:P$59)</f>
        <v>11.561506928562864</v>
      </c>
      <c r="Q67" s="194">
        <f>+MEDIAN(Q$54:Q$59)</f>
        <v>10.831358217303469</v>
      </c>
    </row>
    <row r="68" spans="2:17" ht="15" customHeight="1" outlineLevel="1">
      <c r="B68" s="204" t="s">
        <v>240</v>
      </c>
      <c r="C68" s="245"/>
      <c r="D68" s="242"/>
      <c r="E68" s="242"/>
      <c r="F68" s="242"/>
      <c r="G68" s="243"/>
      <c r="H68" s="243"/>
      <c r="I68" s="243"/>
      <c r="J68" s="243"/>
      <c r="K68" s="199"/>
      <c r="L68" s="199"/>
      <c r="M68" s="242"/>
      <c r="N68" s="246"/>
      <c r="O68" s="194">
        <f>+MAX(O$54:O$59)</f>
        <v>16.000946808510641</v>
      </c>
      <c r="P68" s="194">
        <f>+MAX(P$54:P$59)</f>
        <v>14.679767714229946</v>
      </c>
      <c r="Q68" s="194">
        <f>+MAX(Q$54:Q$59)</f>
        <v>13.592377513175874</v>
      </c>
    </row>
    <row r="69" spans="2:17" ht="15" customHeight="1" outlineLevel="1">
      <c r="B69" s="204" t="s">
        <v>273</v>
      </c>
      <c r="C69" s="245"/>
      <c r="D69" s="242"/>
      <c r="E69" s="242"/>
      <c r="F69" s="242"/>
      <c r="G69" s="243"/>
      <c r="H69" s="243"/>
      <c r="I69" s="243"/>
      <c r="J69" s="243"/>
      <c r="K69" s="199"/>
      <c r="L69" s="199"/>
      <c r="M69" s="242"/>
      <c r="N69" s="246"/>
      <c r="O69" s="194">
        <f>+MIN(O$54:O$59)</f>
        <v>10.199423824737563</v>
      </c>
      <c r="P69" s="194">
        <f>+MIN(P$54:P$59)</f>
        <v>9.5321717988201513</v>
      </c>
      <c r="Q69" s="194">
        <f>+MIN(Q$54:Q$59)</f>
        <v>8.8260849989075467</v>
      </c>
    </row>
    <row r="70" spans="2:17" ht="15" customHeight="1" outlineLevel="1">
      <c r="B70" s="231"/>
      <c r="C70" s="239"/>
      <c r="D70" s="239"/>
      <c r="E70" s="239"/>
      <c r="F70" s="239"/>
      <c r="G70" s="239"/>
      <c r="H70" s="239"/>
      <c r="I70" s="239"/>
      <c r="J70" s="239"/>
      <c r="K70" s="240"/>
      <c r="L70" s="238"/>
      <c r="M70" s="238"/>
      <c r="N70" s="238"/>
      <c r="O70" s="194"/>
      <c r="P70" s="194"/>
      <c r="Q70" s="194"/>
    </row>
    <row r="71" spans="2:17" ht="15" customHeight="1" outlineLevel="1">
      <c r="B71" s="193"/>
      <c r="C71" s="193"/>
      <c r="D71" s="193"/>
      <c r="E71" s="193"/>
      <c r="F71" s="193"/>
      <c r="G71" s="193"/>
      <c r="H71" s="193"/>
      <c r="I71" s="193"/>
      <c r="J71" s="193"/>
      <c r="K71" s="193"/>
      <c r="L71" s="193"/>
      <c r="M71" s="193"/>
      <c r="N71" s="196"/>
      <c r="O71" s="196"/>
      <c r="P71" s="196"/>
      <c r="Q71" s="196"/>
    </row>
    <row r="72" spans="2:17" ht="15" customHeight="1" outlineLevel="1">
      <c r="B72" s="203" t="s">
        <v>547</v>
      </c>
      <c r="C72" s="241"/>
      <c r="D72" s="242"/>
      <c r="E72" s="242"/>
      <c r="F72" s="242"/>
      <c r="G72" s="242"/>
      <c r="H72" s="242"/>
      <c r="I72" s="242"/>
      <c r="J72" s="242"/>
      <c r="K72" s="242"/>
      <c r="L72" s="242"/>
      <c r="M72" s="244"/>
      <c r="N72" s="244"/>
      <c r="O72" s="247"/>
      <c r="P72" s="194"/>
      <c r="Q72" s="194"/>
    </row>
    <row r="73" spans="2:17" ht="15" customHeight="1" outlineLevel="1">
      <c r="B73" s="204" t="str">
        <f>$L$52&amp;"A EV/EBITDA"</f>
        <v>2023A EV/EBITDA</v>
      </c>
      <c r="C73" s="241"/>
      <c r="D73" s="242"/>
      <c r="E73" s="248">
        <f>'DCF Valuation'!E123</f>
        <v>1.6737860096249999</v>
      </c>
      <c r="F73" s="249">
        <f>I73/H73</f>
        <v>0.15</v>
      </c>
      <c r="G73" s="250">
        <f>F73/E73-1</f>
        <v>-0.91038280930929372</v>
      </c>
      <c r="H73" s="207">
        <f>'DCF Valuation'!E121</f>
        <v>10000</v>
      </c>
      <c r="I73" s="251">
        <f>K73-J73</f>
        <v>1500</v>
      </c>
      <c r="J73" s="207">
        <f>'DCF Valuation'!D116</f>
        <v>-1500</v>
      </c>
      <c r="K73" s="251">
        <f>L73*O73</f>
        <v>0</v>
      </c>
      <c r="L73" s="208">
        <f>'DCF Valuation'!J15</f>
        <v>0</v>
      </c>
      <c r="O73" s="194">
        <f>O67</f>
        <v>12.345135347420708</v>
      </c>
      <c r="P73" s="194"/>
      <c r="Q73" s="194"/>
    </row>
    <row r="74" spans="2:17" ht="15" customHeight="1" outlineLevel="1">
      <c r="B74" s="204" t="str">
        <f>$M$52&amp;"F EV/EBITDA"</f>
        <v>2024F EV/EBITDA</v>
      </c>
      <c r="C74" s="241"/>
      <c r="D74" s="242"/>
      <c r="E74" s="249">
        <f>E73</f>
        <v>1.6737860096249999</v>
      </c>
      <c r="F74" s="249">
        <f>I74/H74</f>
        <v>111.08708486893177</v>
      </c>
      <c r="G74" s="250">
        <f>F74/E74-1</f>
        <v>65.368749786491563</v>
      </c>
      <c r="H74" s="251">
        <f>H73</f>
        <v>10000</v>
      </c>
      <c r="I74" s="251">
        <f>K74-J74</f>
        <v>1110870.8486893177</v>
      </c>
      <c r="J74" s="251">
        <f>J73</f>
        <v>-1500</v>
      </c>
      <c r="K74" s="251">
        <f>M74*P74</f>
        <v>1109370.8486893177</v>
      </c>
      <c r="L74" s="242"/>
      <c r="M74" s="208">
        <f>'DCF Valuation'!K15</f>
        <v>95953.828125</v>
      </c>
      <c r="N74" s="244"/>
      <c r="O74" s="247"/>
      <c r="P74" s="194">
        <f>P67</f>
        <v>11.561506928562864</v>
      </c>
      <c r="Q74" s="194"/>
    </row>
    <row r="75" spans="2:17" ht="15" customHeight="1" outlineLevel="1">
      <c r="B75" s="204" t="str">
        <f>$N$52&amp;"F EV/EBITDA"</f>
        <v>2025F EV/EBITDA</v>
      </c>
      <c r="C75" s="241"/>
      <c r="D75" s="242"/>
      <c r="E75" s="249">
        <f>E74</f>
        <v>1.6737860096249999</v>
      </c>
      <c r="F75" s="249">
        <f>I75/H75</f>
        <v>123.34501370175032</v>
      </c>
      <c r="G75" s="250">
        <f>F75/E75-1</f>
        <v>72.692224091050264</v>
      </c>
      <c r="H75" s="251">
        <f>H74</f>
        <v>10000</v>
      </c>
      <c r="I75" s="251">
        <f>K75-J75</f>
        <v>1233450.1370175031</v>
      </c>
      <c r="J75" s="251">
        <f>J74</f>
        <v>-1500</v>
      </c>
      <c r="K75" s="251">
        <f>N75*Q75</f>
        <v>1231950.1370175031</v>
      </c>
      <c r="L75" s="242"/>
      <c r="M75" s="244"/>
      <c r="N75" s="208">
        <f>'DCF Valuation'!L15</f>
        <v>113739.2109375</v>
      </c>
      <c r="O75" s="247"/>
      <c r="P75" s="194"/>
      <c r="Q75" s="194">
        <f>Q67</f>
        <v>10.831358217303469</v>
      </c>
    </row>
    <row r="76" spans="2:17" ht="15" customHeight="1" outlineLevel="1"/>
    <row r="77" spans="2:17" ht="15" customHeight="1" outlineLevel="1"/>
    <row r="78" spans="2:17" ht="15" customHeight="1" outlineLevel="1">
      <c r="B78" s="252"/>
      <c r="C78" s="252"/>
      <c r="D78" s="252"/>
      <c r="E78" s="252"/>
      <c r="F78" s="252"/>
      <c r="G78" s="252"/>
      <c r="H78" s="252"/>
      <c r="I78" s="252"/>
      <c r="J78" s="252"/>
      <c r="K78" s="252"/>
      <c r="L78" s="252"/>
      <c r="M78" s="252"/>
      <c r="N78" s="252"/>
      <c r="O78" s="253"/>
      <c r="Q78"/>
    </row>
    <row r="79" spans="2:17" ht="15" customHeight="1" outlineLevel="1">
      <c r="B79" s="245"/>
      <c r="C79" s="245"/>
      <c r="D79" s="245"/>
      <c r="E79" s="245"/>
      <c r="F79" s="245"/>
      <c r="G79" s="245"/>
      <c r="H79" s="245"/>
      <c r="I79" s="245"/>
      <c r="J79" s="245"/>
      <c r="K79" s="245"/>
      <c r="L79" s="245"/>
      <c r="M79" s="211"/>
      <c r="N79" s="245"/>
    </row>
    <row r="80" spans="2:17" ht="15" customHeight="1">
      <c r="B80" s="46"/>
      <c r="C80" s="46"/>
      <c r="D80" s="46"/>
      <c r="E80" s="46"/>
      <c r="F80" s="46"/>
      <c r="G80" s="46"/>
      <c r="H80" s="46"/>
      <c r="I80" s="46"/>
      <c r="J80" s="46"/>
      <c r="K80" s="46"/>
      <c r="L80" s="46"/>
      <c r="M80" s="46"/>
      <c r="N80" s="46"/>
      <c r="O80" s="46"/>
      <c r="P80" s="46"/>
      <c r="Q80" s="46"/>
    </row>
  </sheetData>
  <printOptions horizontalCentered="1"/>
  <pageMargins left="0.118110236220472" right="0.118110236220472" top="0.118110236220472" bottom="0.118110236220472" header="0.118110236220472" footer="0.118110236220472"/>
  <pageSetup scale="71" orientation="landscape" r:id="rId1"/>
  <headerFooter alignWithMargins="0">
    <oddFooter>&amp;L&amp;"Open Sans,Bold"&amp;10&amp;K002060Introduction to Business Valuation&amp;C&amp;"Open Sans,Bold"&amp;10&amp;K002060Page &amp;P of &amp;N&amp;R&amp;G</oddFooter>
  </headerFooter>
  <colBreaks count="2" manualBreakCount="2">
    <brk id="15" max="419" man="1"/>
    <brk id="16" min="46" max="82" man="1"/>
  </colBreak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4F222-B777-4613-8C24-C17837348DB3}">
  <sheetPr>
    <pageSetUpPr fitToPage="1"/>
  </sheetPr>
  <dimension ref="B1:O42"/>
  <sheetViews>
    <sheetView showGridLines="0" zoomScale="85" zoomScaleNormal="85" zoomScaleSheetLayoutView="85" workbookViewId="0">
      <pane ySplit="1" topLeftCell="A2" activePane="bottomLeft" state="frozen"/>
      <selection activeCell="J25" sqref="J25"/>
      <selection pane="bottomLeft" activeCell="J25" sqref="J25"/>
    </sheetView>
  </sheetViews>
  <sheetFormatPr defaultColWidth="8.88671875" defaultRowHeight="15"/>
  <cols>
    <col min="1" max="3" width="8.88671875" style="32"/>
    <col min="4" max="4" width="21.109375" style="32" bestFit="1" customWidth="1"/>
    <col min="5" max="16384" width="8.88671875" style="32"/>
  </cols>
  <sheetData>
    <row r="1" spans="2:15" ht="18.600000000000001">
      <c r="B1" s="9"/>
      <c r="C1" s="9"/>
      <c r="D1" s="9"/>
      <c r="E1" s="9"/>
      <c r="F1" s="9"/>
      <c r="G1" s="9"/>
      <c r="H1" s="10"/>
      <c r="I1" s="10"/>
      <c r="J1" s="10"/>
      <c r="K1" s="9"/>
      <c r="L1" s="9"/>
      <c r="M1" s="9"/>
      <c r="N1" s="9"/>
      <c r="O1" s="9"/>
    </row>
    <row r="3" spans="2:15" ht="22.8">
      <c r="B3" s="146" t="s">
        <v>588</v>
      </c>
      <c r="C3" s="146"/>
      <c r="D3" s="146"/>
      <c r="E3" s="146"/>
      <c r="F3" s="146"/>
      <c r="G3" s="146"/>
      <c r="H3" s="146"/>
      <c r="I3" s="146"/>
      <c r="J3" s="146"/>
      <c r="K3" s="146"/>
      <c r="L3" s="146"/>
      <c r="M3" s="146"/>
      <c r="N3" s="146"/>
      <c r="O3" s="146"/>
    </row>
    <row r="36" spans="4:7">
      <c r="E36" s="254" t="s">
        <v>589</v>
      </c>
      <c r="F36" s="254" t="s">
        <v>590</v>
      </c>
      <c r="G36" s="254" t="s">
        <v>591</v>
      </c>
    </row>
    <row r="37" spans="4:7">
      <c r="D37" s="32" t="s">
        <v>592</v>
      </c>
      <c r="E37" s="255">
        <f>MIN('Relative Valuation'!$E$35:$E$38)</f>
        <v>0</v>
      </c>
      <c r="F37" s="143">
        <f>G37-E37</f>
        <v>95.476143756310719</v>
      </c>
      <c r="G37" s="255">
        <f>MAX('Relative Valuation'!$E$35:$E$38)</f>
        <v>95.476143756310719</v>
      </c>
    </row>
    <row r="38" spans="4:7">
      <c r="D38" s="32" t="s">
        <v>593</v>
      </c>
      <c r="E38" s="255">
        <f>MIN('Relative Valuation'!$F$73:$F$75)</f>
        <v>0.15</v>
      </c>
      <c r="F38" s="143">
        <f>G38-E38</f>
        <v>123.19501370175031</v>
      </c>
      <c r="G38" s="255">
        <f>MAX('Relative Valuation'!$F$73:$F$75)</f>
        <v>123.34501370175032</v>
      </c>
    </row>
    <row r="39" spans="4:7">
      <c r="D39" s="32" t="s">
        <v>594</v>
      </c>
      <c r="E39" s="255">
        <f>'DCF Valuation'!J200</f>
        <v>47.119863718951635</v>
      </c>
      <c r="F39" s="143">
        <f>G39-E39</f>
        <v>20.270210900862992</v>
      </c>
      <c r="G39" s="255">
        <f>'DCF Valuation'!N204</f>
        <v>67.390074619814627</v>
      </c>
    </row>
    <row r="40" spans="4:7">
      <c r="D40" s="32" t="s">
        <v>595</v>
      </c>
      <c r="E40" s="255">
        <f>'DCF Valuation'!J211</f>
        <v>42.451156609603196</v>
      </c>
      <c r="F40" s="143">
        <f>G40-E40</f>
        <v>31.122202296367767</v>
      </c>
      <c r="G40" s="255">
        <f>'DCF Valuation'!N215</f>
        <v>73.573358905970963</v>
      </c>
    </row>
    <row r="41" spans="4:7">
      <c r="D41" s="32" t="s">
        <v>596</v>
      </c>
      <c r="E41" s="256">
        <v>150</v>
      </c>
      <c r="F41" s="143">
        <f>G41-E41</f>
        <v>130</v>
      </c>
      <c r="G41" s="256">
        <v>280</v>
      </c>
    </row>
    <row r="42" spans="4:7">
      <c r="D42" s="258" t="str">
        <f>"Average Valuation: "&amp;TEXT(E42,"0.00")</f>
        <v>Average Valuation: 56.19</v>
      </c>
      <c r="E42" s="257">
        <f>AVERAGE(E37:E40,G37:G40)</f>
        <v>56.188201414050184</v>
      </c>
    </row>
  </sheetData>
  <printOptions horizontalCentered="1"/>
  <pageMargins left="0.11799999999999999" right="0.11799999999999999" top="0.11799999999999999" bottom="0.11799999999999999" header="0.3" footer="0.3"/>
  <pageSetup scale="99" orientation="landscape" r:id="rId1"/>
  <headerFooter>
    <oddFooter>&amp;L&amp;"Open Sans,Bold"&amp;10&amp;KAC0000Closure Caps Finance Model&amp;C&amp;"Open Sans,Bold"&amp;10&amp;KAC0000Page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acheModel xmlns:xsd="http://www.w3.org/2001/XMLSchema" xmlns:xsi="http://www.w3.org/2001/XMLSchema-instance" xmlns="TagniFiModelState">
  <SerializedJson>[]</SerializedJson>
</CacheModel>
</file>

<file path=customXml/itemProps1.xml><?xml version="1.0" encoding="utf-8"?>
<ds:datastoreItem xmlns:ds="http://schemas.openxmlformats.org/officeDocument/2006/customXml" ds:itemID="{C6113C79-0CF4-461A-9222-7B228DF5F868}">
  <ds:schemaRefs>
    <ds:schemaRef ds:uri="http://www.w3.org/2001/XMLSchema"/>
    <ds:schemaRef ds:uri="TagniFiModelState"/>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Cover</vt:lpstr>
      <vt:lpstr>Outputs</vt:lpstr>
      <vt:lpstr>Transaction</vt:lpstr>
      <vt:lpstr>Inputs</vt:lpstr>
      <vt:lpstr>Model</vt:lpstr>
      <vt:lpstr>Machines Set Up Costs</vt:lpstr>
      <vt:lpstr>Detail</vt:lpstr>
      <vt:lpstr>Project Timeline Schedule </vt:lpstr>
      <vt:lpstr>Market Players</vt:lpstr>
      <vt:lpstr>DCF Valuation</vt:lpstr>
      <vt:lpstr>Relative Valuation</vt:lpstr>
      <vt:lpstr>Football Field Chart</vt:lpstr>
      <vt:lpstr>'Project Timeline Schedule '!prevWBS</vt:lpstr>
      <vt:lpstr>Cover!Print_Area</vt:lpstr>
      <vt:lpstr>'DCF Valuation'!Print_Area</vt:lpstr>
      <vt:lpstr>Detail!Print_Area</vt:lpstr>
      <vt:lpstr>'Football Field Chart'!Print_Area</vt:lpstr>
      <vt:lpstr>Inputs!Print_Area</vt:lpstr>
      <vt:lpstr>'Machines Set Up Costs'!Print_Area</vt:lpstr>
      <vt:lpstr>Outputs!Print_Area</vt:lpstr>
      <vt:lpstr>'Project Timeline Schedule '!Print_Area</vt:lpstr>
      <vt:lpstr>'Relative Valuation'!Print_Area</vt:lpstr>
      <vt:lpstr>Transaction!Print_Area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Gerishom Khatete</cp:lastModifiedBy>
  <cp:revision/>
  <cp:lastPrinted>2024-09-16T20:07:37Z</cp:lastPrinted>
  <dcterms:created xsi:type="dcterms:W3CDTF">1899-12-30T06:00:00Z</dcterms:created>
  <dcterms:modified xsi:type="dcterms:W3CDTF">2025-09-07T14:30:28Z</dcterms:modified>
  <cp:category/>
  <cp:contentStatus/>
  <dc:language/>
  <cp:version/>
</cp:coreProperties>
</file>