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2"/>
  </bookViews>
  <sheets>
    <sheet name="Willi Bohl" sheetId="1" r:id="rId1"/>
    <sheet name="T16B" sheetId="2" r:id="rId2"/>
    <sheet name="H.Geljon" sheetId="3" r:id="rId3"/>
  </sheets>
  <definedNames>
    <definedName name="_xlnm.Print_Area" localSheetId="0">'Willi Bohl'!$B$6:$H$31</definedName>
  </definedNames>
  <calcPr calcId="125725"/>
</workbook>
</file>

<file path=xl/calcChain.xml><?xml version="1.0" encoding="utf-8"?>
<calcChain xmlns="http://schemas.openxmlformats.org/spreadsheetml/2006/main">
  <c r="F9" i="3"/>
  <c r="M45" l="1"/>
  <c r="M25"/>
  <c r="M24"/>
  <c r="M27"/>
  <c r="M43" s="1"/>
  <c r="E33"/>
  <c r="E24"/>
  <c r="X12"/>
  <c r="V12"/>
  <c r="AD11"/>
  <c r="X11"/>
  <c r="AD10"/>
  <c r="V10"/>
  <c r="AD9"/>
  <c r="V9"/>
  <c r="X8"/>
  <c r="V8"/>
  <c r="AD7"/>
  <c r="X7"/>
  <c r="AD6"/>
  <c r="X6"/>
  <c r="V6"/>
  <c r="E12"/>
  <c r="G8"/>
  <c r="K9"/>
  <c r="K8"/>
  <c r="J12"/>
  <c r="J9"/>
  <c r="I12"/>
  <c r="I8"/>
  <c r="H12"/>
  <c r="H8"/>
  <c r="G9"/>
  <c r="F12"/>
  <c r="E9"/>
  <c r="E8"/>
  <c r="F31" i="2"/>
  <c r="H25"/>
  <c r="H34" s="1"/>
  <c r="K25"/>
  <c r="K34" s="1"/>
  <c r="L25"/>
  <c r="L34" s="1"/>
  <c r="I24"/>
  <c r="I33" s="1"/>
  <c r="L24"/>
  <c r="L33" s="1"/>
  <c r="F24"/>
  <c r="F33" s="1"/>
  <c r="F22"/>
  <c r="J25" s="1"/>
  <c r="J34" s="1"/>
  <c r="L17"/>
  <c r="K17"/>
  <c r="K26" s="1"/>
  <c r="K35" s="1"/>
  <c r="J17"/>
  <c r="J26" s="1"/>
  <c r="J35" s="1"/>
  <c r="I17"/>
  <c r="I26" s="1"/>
  <c r="I35" s="1"/>
  <c r="H17"/>
  <c r="G17"/>
  <c r="G26" s="1"/>
  <c r="G35" s="1"/>
  <c r="F17"/>
  <c r="F26" s="1"/>
  <c r="F35" s="1"/>
  <c r="P13" i="1"/>
  <c r="P14"/>
  <c r="P15"/>
  <c r="P16"/>
  <c r="P12"/>
  <c r="N16"/>
  <c r="N15"/>
  <c r="N11"/>
  <c r="N12"/>
  <c r="N13"/>
  <c r="O16"/>
  <c r="O15"/>
  <c r="O12"/>
  <c r="O13"/>
  <c r="D28"/>
  <c r="C30"/>
  <c r="C13"/>
  <c r="C14"/>
  <c r="C11"/>
  <c r="C23"/>
  <c r="C24" s="1"/>
  <c r="G17"/>
  <c r="G20" s="1"/>
  <c r="C17"/>
  <c r="C20" s="1"/>
  <c r="M46" i="3" l="1"/>
  <c r="L40"/>
  <c r="M44"/>
  <c r="M32"/>
  <c r="M34" s="1"/>
  <c r="F24"/>
  <c r="G24"/>
  <c r="E25"/>
  <c r="F33"/>
  <c r="G33"/>
  <c r="H24" i="2"/>
  <c r="H33" s="1"/>
  <c r="G25"/>
  <c r="G34" s="1"/>
  <c r="J24"/>
  <c r="J33" s="1"/>
  <c r="F25"/>
  <c r="F34" s="1"/>
  <c r="I25"/>
  <c r="I34" s="1"/>
  <c r="L26"/>
  <c r="L35" s="1"/>
  <c r="H26"/>
  <c r="H35" s="1"/>
  <c r="K24"/>
  <c r="K33" s="1"/>
  <c r="G24"/>
  <c r="G33" s="1"/>
  <c r="C21" i="1"/>
  <c r="G22"/>
  <c r="G28" s="1"/>
  <c r="G21"/>
  <c r="C22"/>
  <c r="M35" i="3" l="1"/>
  <c r="F25"/>
  <c r="G25"/>
  <c r="E26"/>
  <c r="E27" l="1"/>
  <c r="G26"/>
  <c r="F26"/>
  <c r="E28" l="1"/>
  <c r="G27"/>
  <c r="F27"/>
  <c r="E29" l="1"/>
  <c r="G28"/>
  <c r="F28"/>
  <c r="E30" l="1"/>
  <c r="G29"/>
  <c r="F29"/>
  <c r="E31" l="1"/>
  <c r="G30"/>
  <c r="F30"/>
  <c r="E32" l="1"/>
  <c r="G31"/>
  <c r="F31"/>
  <c r="F32" l="1"/>
  <c r="G32"/>
</calcChain>
</file>

<file path=xl/sharedStrings.xml><?xml version="1.0" encoding="utf-8"?>
<sst xmlns="http://schemas.openxmlformats.org/spreadsheetml/2006/main" count="245" uniqueCount="94">
  <si>
    <t>Totaaldruk getal</t>
  </si>
  <si>
    <t>Volume getal</t>
  </si>
  <si>
    <t>Capaciteit</t>
  </si>
  <si>
    <t>[m3/hr]</t>
  </si>
  <si>
    <t>Opvoerdruk</t>
  </si>
  <si>
    <t>[Pa]</t>
  </si>
  <si>
    <t>s.g. lucht</t>
  </si>
  <si>
    <t>[kg/m3]</t>
  </si>
  <si>
    <t>Fan gegevens</t>
  </si>
  <si>
    <t>Diameter</t>
  </si>
  <si>
    <t>Toerental</t>
  </si>
  <si>
    <t>[mm]</t>
  </si>
  <si>
    <t>[rpm]</t>
  </si>
  <si>
    <t>[r/s]</t>
  </si>
  <si>
    <t>omtrek snelheid</t>
  </si>
  <si>
    <t>[m/s]</t>
  </si>
  <si>
    <t>[-]</t>
  </si>
  <si>
    <t>Model</t>
  </si>
  <si>
    <t>Gezocht</t>
  </si>
  <si>
    <t>Rendement</t>
  </si>
  <si>
    <t>As vermogen</t>
  </si>
  <si>
    <t>[kw]</t>
  </si>
  <si>
    <t>[m3/s]</t>
  </si>
  <si>
    <t>[pk]</t>
  </si>
  <si>
    <t>capacity berekend via volume getal</t>
  </si>
  <si>
    <t>Totaldruckzahl</t>
  </si>
  <si>
    <t>[mbar]</t>
  </si>
  <si>
    <t>[kg/hr]</t>
  </si>
  <si>
    <t>Volume zahl</t>
  </si>
  <si>
    <t>eff</t>
  </si>
  <si>
    <t>Total drukzahl</t>
  </si>
  <si>
    <t>m3/s</t>
  </si>
  <si>
    <t>Pa</t>
  </si>
  <si>
    <t>kw</t>
  </si>
  <si>
    <t>Flow</t>
  </si>
  <si>
    <t>P_totaal</t>
  </si>
  <si>
    <t>Kw</t>
  </si>
  <si>
    <t>[kW]</t>
  </si>
  <si>
    <t>[%]</t>
  </si>
  <si>
    <t>kW</t>
  </si>
  <si>
    <t>T16B lijst Geljon</t>
  </si>
  <si>
    <t>Modelregels</t>
  </si>
  <si>
    <t>Volume = M</t>
  </si>
  <si>
    <t>Druk =M2</t>
  </si>
  <si>
    <t>Vermogen= M3</t>
  </si>
  <si>
    <t>T16B T-schetsen orgineel</t>
  </si>
  <si>
    <t>[m3/s]*10/3</t>
  </si>
  <si>
    <t>T16B Diameter is 1000mm</t>
  </si>
  <si>
    <t>T16B n=1480</t>
  </si>
  <si>
    <t>Ventilator grafiek wordt samengevat met</t>
  </si>
  <si>
    <t>A</t>
  </si>
  <si>
    <t>B</t>
  </si>
  <si>
    <t>C</t>
  </si>
  <si>
    <t>E</t>
  </si>
  <si>
    <t>F</t>
  </si>
  <si>
    <t>G</t>
  </si>
  <si>
    <t>q0_min</t>
  </si>
  <si>
    <t>q0_max</t>
  </si>
  <si>
    <t>GW</t>
  </si>
  <si>
    <t>GWA</t>
  </si>
  <si>
    <t>T16B</t>
  </si>
  <si>
    <t>T20B</t>
  </si>
  <si>
    <t>T26</t>
  </si>
  <si>
    <t>T27</t>
  </si>
  <si>
    <t>T36</t>
  </si>
  <si>
    <t>T36A</t>
  </si>
  <si>
    <t>{</t>
  </si>
  <si>
    <t>,</t>
  </si>
  <si>
    <t>}</t>
  </si>
  <si>
    <t>Transposed for VB.net</t>
  </si>
  <si>
    <t>Q=Flow</t>
  </si>
  <si>
    <t>P_tot</t>
  </si>
  <si>
    <t>Power</t>
  </si>
  <si>
    <t>max</t>
  </si>
  <si>
    <t>Min</t>
  </si>
  <si>
    <t>rad/sec</t>
  </si>
  <si>
    <t>[m3/sec]</t>
  </si>
  <si>
    <t>[m]</t>
  </si>
  <si>
    <t>P_tot= A + B*q + C*q^2  [-]</t>
  </si>
  <si>
    <t>Power= E + F*q + G*q^2  [-]</t>
  </si>
  <si>
    <t>Ro</t>
  </si>
  <si>
    <t>Gewenst Debiet</t>
  </si>
  <si>
    <t>Gewenst Motor rpm</t>
  </si>
  <si>
    <t>Gewenste dia. waaier</t>
  </si>
  <si>
    <t>q=Q/(D^3*omega)=</t>
  </si>
  <si>
    <t>Groter Qmin</t>
  </si>
  <si>
    <t>Kleiner Qmax</t>
  </si>
  <si>
    <t>Gewenste T type</t>
  </si>
  <si>
    <t>Po uit grafiek</t>
  </si>
  <si>
    <t>P=</t>
  </si>
  <si>
    <t>P berekend</t>
  </si>
  <si>
    <t>A term</t>
  </si>
  <si>
    <t>B term</t>
  </si>
  <si>
    <t>C term</t>
  </si>
</sst>
</file>

<file path=xl/styles.xml><?xml version="1.0" encoding="utf-8"?>
<styleSheet xmlns="http://schemas.openxmlformats.org/spreadsheetml/2006/main">
  <numFmts count="8">
    <numFmt numFmtId="164" formatCode="0.0"/>
    <numFmt numFmtId="165" formatCode="0.0000"/>
    <numFmt numFmtId="166" formatCode="0.000"/>
    <numFmt numFmtId="167" formatCode="0.0000E+00"/>
    <numFmt numFmtId="168" formatCode="0.00000E+00"/>
    <numFmt numFmtId="169" formatCode="0.000000"/>
    <numFmt numFmtId="170" formatCode="0.00000"/>
    <numFmt numFmtId="171" formatCode="0.000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Univers (W1)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0" xfId="0" applyFont="1"/>
    <xf numFmtId="2" fontId="0" fillId="2" borderId="0" xfId="0" applyNumberFormat="1" applyFill="1"/>
    <xf numFmtId="166" fontId="0" fillId="2" borderId="0" xfId="0" applyNumberFormat="1" applyFill="1"/>
    <xf numFmtId="166" fontId="0" fillId="0" borderId="0" xfId="0" applyNumberFormat="1"/>
    <xf numFmtId="0" fontId="2" fillId="0" borderId="0" xfId="0" applyFont="1"/>
    <xf numFmtId="0" fontId="3" fillId="0" borderId="0" xfId="0" applyFont="1"/>
    <xf numFmtId="1" fontId="0" fillId="0" borderId="0" xfId="0" applyNumberFormat="1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1" fontId="0" fillId="0" borderId="0" xfId="0" applyNumberFormat="1" applyBorder="1"/>
    <xf numFmtId="166" fontId="0" fillId="0" borderId="0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4" xfId="0" applyFill="1" applyBorder="1"/>
    <xf numFmtId="0" fontId="0" fillId="3" borderId="0" xfId="0" applyFill="1" applyBorder="1"/>
    <xf numFmtId="1" fontId="0" fillId="3" borderId="0" xfId="0" applyNumberFormat="1" applyFill="1" applyBorder="1"/>
    <xf numFmtId="166" fontId="0" fillId="3" borderId="0" xfId="0" applyNumberFormat="1" applyFill="1" applyBorder="1"/>
    <xf numFmtId="164" fontId="0" fillId="3" borderId="5" xfId="0" applyNumberFormat="1" applyFill="1" applyBorder="1"/>
    <xf numFmtId="164" fontId="4" fillId="0" borderId="9" xfId="0" applyNumberFormat="1" applyFont="1" applyBorder="1" applyProtection="1"/>
    <xf numFmtId="164" fontId="4" fillId="0" borderId="10" xfId="0" applyNumberFormat="1" applyFont="1" applyBorder="1" applyProtection="1"/>
    <xf numFmtId="164" fontId="4" fillId="0" borderId="11" xfId="0" applyNumberFormat="1" applyFont="1" applyBorder="1" applyProtection="1"/>
    <xf numFmtId="2" fontId="4" fillId="0" borderId="0" xfId="0" applyNumberFormat="1" applyFont="1" applyBorder="1" applyProtection="1"/>
    <xf numFmtId="164" fontId="4" fillId="0" borderId="0" xfId="0" applyNumberFormat="1" applyFont="1" applyBorder="1" applyProtection="1"/>
    <xf numFmtId="0" fontId="0" fillId="0" borderId="0" xfId="0" applyFill="1" applyBorder="1"/>
    <xf numFmtId="0" fontId="2" fillId="0" borderId="1" xfId="0" applyFont="1" applyBorder="1"/>
    <xf numFmtId="164" fontId="0" fillId="0" borderId="0" xfId="0" applyNumberFormat="1" applyBorder="1"/>
    <xf numFmtId="0" fontId="0" fillId="0" borderId="7" xfId="0" applyFill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167" fontId="0" fillId="0" borderId="0" xfId="0" applyNumberFormat="1" applyFont="1"/>
    <xf numFmtId="11" fontId="0" fillId="0" borderId="0" xfId="0" applyNumberFormat="1" applyFont="1"/>
    <xf numFmtId="168" fontId="0" fillId="0" borderId="0" xfId="0" applyNumberFormat="1" applyFont="1"/>
    <xf numFmtId="168" fontId="0" fillId="2" borderId="0" xfId="0" applyNumberFormat="1" applyFont="1" applyFill="1"/>
    <xf numFmtId="0" fontId="0" fillId="0" borderId="1" xfId="0" applyFont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170" fontId="0" fillId="2" borderId="0" xfId="0" applyNumberFormat="1" applyFont="1" applyFill="1" applyBorder="1"/>
    <xf numFmtId="0" fontId="0" fillId="0" borderId="5" xfId="0" applyFont="1" applyBorder="1"/>
    <xf numFmtId="165" fontId="0" fillId="0" borderId="0" xfId="0" applyNumberFormat="1" applyFont="1"/>
    <xf numFmtId="169" fontId="0" fillId="0" borderId="0" xfId="0" applyNumberFormat="1" applyFont="1"/>
    <xf numFmtId="171" fontId="0" fillId="0" borderId="0" xfId="0" applyNumberFormat="1" applyFont="1"/>
    <xf numFmtId="0" fontId="0" fillId="0" borderId="4" xfId="0" quotePrefix="1" applyFont="1" applyBorder="1" applyAlignment="1">
      <alignment horizontal="lef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NumberFormat="1" applyFont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right"/>
    </xf>
    <xf numFmtId="1" fontId="0" fillId="0" borderId="7" xfId="0" applyNumberFormat="1" applyFont="1" applyBorder="1"/>
    <xf numFmtId="1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H.Geljon!$E$23</c:f>
              <c:strCache>
                <c:ptCount val="1"/>
                <c:pt idx="0">
                  <c:v>Q=Flow</c:v>
                </c:pt>
              </c:strCache>
            </c:strRef>
          </c:tx>
          <c:val>
            <c:numRef>
              <c:f>H.Geljon!$E$24:$E$33</c:f>
              <c:numCache>
                <c:formatCode>0.0000</c:formatCode>
                <c:ptCount val="10"/>
                <c:pt idx="0">
                  <c:v>1.48E-3</c:v>
                </c:pt>
                <c:pt idx="1">
                  <c:v>2.003E-3</c:v>
                </c:pt>
                <c:pt idx="2">
                  <c:v>2.526E-3</c:v>
                </c:pt>
                <c:pt idx="3">
                  <c:v>3.0490000000000001E-3</c:v>
                </c:pt>
                <c:pt idx="4">
                  <c:v>3.5720000000000001E-3</c:v>
                </c:pt>
                <c:pt idx="5">
                  <c:v>4.0949999999999997E-3</c:v>
                </c:pt>
                <c:pt idx="6">
                  <c:v>4.6179999999999997E-3</c:v>
                </c:pt>
                <c:pt idx="7">
                  <c:v>5.1409999999999997E-3</c:v>
                </c:pt>
                <c:pt idx="8">
                  <c:v>5.6639999999999998E-3</c:v>
                </c:pt>
                <c:pt idx="9">
                  <c:v>6.7099999999999998E-3</c:v>
                </c:pt>
              </c:numCache>
            </c:numRef>
          </c:val>
        </c:ser>
        <c:ser>
          <c:idx val="1"/>
          <c:order val="1"/>
          <c:tx>
            <c:strRef>
              <c:f>H.Geljon!$F$23</c:f>
              <c:strCache>
                <c:ptCount val="1"/>
                <c:pt idx="0">
                  <c:v>P_tot</c:v>
                </c:pt>
              </c:strCache>
            </c:strRef>
          </c:tx>
          <c:val>
            <c:numRef>
              <c:f>H.Geljon!$F$24:$F$33</c:f>
              <c:numCache>
                <c:formatCode>0.0000</c:formatCode>
                <c:ptCount val="10"/>
                <c:pt idx="0">
                  <c:v>0.14647293201600001</c:v>
                </c:pt>
                <c:pt idx="1">
                  <c:v>0.14573784548485999</c:v>
                </c:pt>
                <c:pt idx="2">
                  <c:v>0.14378311502503999</c:v>
                </c:pt>
                <c:pt idx="3">
                  <c:v>0.14060874063654</c:v>
                </c:pt>
                <c:pt idx="4">
                  <c:v>0.13621472231935999</c:v>
                </c:pt>
                <c:pt idx="5">
                  <c:v>0.13060106007349997</c:v>
                </c:pt>
                <c:pt idx="6">
                  <c:v>0.12376775389895997</c:v>
                </c:pt>
                <c:pt idx="7">
                  <c:v>0.11571480379573998</c:v>
                </c:pt>
                <c:pt idx="8">
                  <c:v>0.10644220976384</c:v>
                </c:pt>
                <c:pt idx="9">
                  <c:v>8.4238089913999975E-2</c:v>
                </c:pt>
              </c:numCache>
            </c:numRef>
          </c:val>
        </c:ser>
        <c:ser>
          <c:idx val="2"/>
          <c:order val="2"/>
          <c:tx>
            <c:strRef>
              <c:f>H.Geljon!$G$23</c:f>
              <c:strCache>
                <c:ptCount val="1"/>
                <c:pt idx="0">
                  <c:v>Power</c:v>
                </c:pt>
              </c:strCache>
            </c:strRef>
          </c:tx>
          <c:val>
            <c:numRef>
              <c:f>H.Geljon!$G$24:$G$33</c:f>
              <c:numCache>
                <c:formatCode>0.000000</c:formatCode>
                <c:ptCount val="10"/>
                <c:pt idx="0">
                  <c:v>4.3801403199999995E-4</c:v>
                </c:pt>
                <c:pt idx="1">
                  <c:v>5.1899984457E-4</c:v>
                </c:pt>
                <c:pt idx="2">
                  <c:v>5.9272619747999993E-4</c:v>
                </c:pt>
                <c:pt idx="3">
                  <c:v>6.5919309072999999E-4</c:v>
                </c:pt>
                <c:pt idx="4">
                  <c:v>7.1840052432000008E-4</c:v>
                </c:pt>
                <c:pt idx="5">
                  <c:v>7.7034849824999998E-4</c:v>
                </c:pt>
                <c:pt idx="6">
                  <c:v>8.1503701252000002E-4</c:v>
                </c:pt>
                <c:pt idx="7">
                  <c:v>8.5246606712999988E-4</c:v>
                </c:pt>
                <c:pt idx="8">
                  <c:v>8.8263566207999998E-4</c:v>
                </c:pt>
                <c:pt idx="9">
                  <c:v>9.2119647299999995E-4</c:v>
                </c:pt>
              </c:numCache>
            </c:numRef>
          </c:val>
        </c:ser>
        <c:marker val="1"/>
        <c:axId val="107132416"/>
        <c:axId val="107133952"/>
      </c:lineChart>
      <c:catAx>
        <c:axId val="107132416"/>
        <c:scaling>
          <c:orientation val="minMax"/>
        </c:scaling>
        <c:axPos val="b"/>
        <c:tickLblPos val="nextTo"/>
        <c:crossAx val="107133952"/>
        <c:crosses val="autoZero"/>
        <c:auto val="1"/>
        <c:lblAlgn val="ctr"/>
        <c:lblOffset val="100"/>
      </c:catAx>
      <c:valAx>
        <c:axId val="107133952"/>
        <c:scaling>
          <c:orientation val="minMax"/>
        </c:scaling>
        <c:axPos val="l"/>
        <c:majorGridlines/>
        <c:numFmt formatCode="0.0000" sourceLinked="1"/>
        <c:tickLblPos val="nextTo"/>
        <c:crossAx val="10713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35</xdr:row>
      <xdr:rowOff>114300</xdr:rowOff>
    </xdr:from>
    <xdr:to>
      <xdr:col>7</xdr:col>
      <xdr:colOff>619125</xdr:colOff>
      <xdr:row>50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P30"/>
  <sheetViews>
    <sheetView topLeftCell="A4" workbookViewId="0">
      <selection activeCell="J21" sqref="J21"/>
    </sheetView>
  </sheetViews>
  <sheetFormatPr defaultRowHeight="15"/>
  <cols>
    <col min="2" max="2" width="23" customWidth="1"/>
    <col min="5" max="5" width="5" customWidth="1"/>
    <col min="6" max="6" width="15.7109375" bestFit="1" customWidth="1"/>
    <col min="11" max="11" width="8.5703125" customWidth="1"/>
    <col min="12" max="12" width="8.42578125" customWidth="1"/>
    <col min="13" max="13" width="7.85546875" customWidth="1"/>
    <col min="15" max="15" width="6.7109375" customWidth="1"/>
  </cols>
  <sheetData>
    <row r="4" spans="2:16">
      <c r="C4" s="2"/>
    </row>
    <row r="8" spans="2:16" ht="19.5" thickBot="1">
      <c r="B8" s="9" t="s">
        <v>17</v>
      </c>
    </row>
    <row r="9" spans="2:16" ht="21">
      <c r="B9" s="5" t="s">
        <v>8</v>
      </c>
      <c r="F9" s="10" t="s">
        <v>18</v>
      </c>
      <c r="K9" s="13"/>
      <c r="L9" s="14"/>
      <c r="M9" s="14"/>
      <c r="N9" s="14"/>
      <c r="O9" s="14"/>
      <c r="P9" s="15"/>
    </row>
    <row r="10" spans="2:16" ht="45">
      <c r="B10" t="s">
        <v>4</v>
      </c>
      <c r="C10" s="3">
        <v>7428</v>
      </c>
      <c r="D10" t="s">
        <v>5</v>
      </c>
      <c r="F10" s="5" t="s">
        <v>8</v>
      </c>
      <c r="K10" s="16" t="s">
        <v>28</v>
      </c>
      <c r="L10" s="17" t="s">
        <v>30</v>
      </c>
      <c r="M10" s="18" t="s">
        <v>29</v>
      </c>
      <c r="N10" s="18" t="s">
        <v>32</v>
      </c>
      <c r="O10" s="18" t="s">
        <v>31</v>
      </c>
      <c r="P10" s="19" t="s">
        <v>33</v>
      </c>
    </row>
    <row r="11" spans="2:16">
      <c r="C11">
        <f>C10/100</f>
        <v>74.28</v>
      </c>
      <c r="D11" t="s">
        <v>26</v>
      </c>
      <c r="F11" t="s">
        <v>4</v>
      </c>
      <c r="G11" s="3">
        <v>10000</v>
      </c>
      <c r="H11" t="s">
        <v>5</v>
      </c>
      <c r="K11" s="20">
        <v>0</v>
      </c>
      <c r="L11" s="18">
        <v>1.4</v>
      </c>
      <c r="M11" s="18">
        <v>0</v>
      </c>
      <c r="N11" s="21">
        <f>L11/L14*N14</f>
        <v>8666</v>
      </c>
      <c r="O11" s="22">
        <v>0</v>
      </c>
      <c r="P11" s="23">
        <v>4</v>
      </c>
    </row>
    <row r="12" spans="2:16">
      <c r="B12" t="s">
        <v>2</v>
      </c>
      <c r="C12" s="7">
        <v>0.67</v>
      </c>
      <c r="D12" t="s">
        <v>22</v>
      </c>
      <c r="F12" t="s">
        <v>2</v>
      </c>
      <c r="G12" s="6">
        <v>2</v>
      </c>
      <c r="H12" t="s">
        <v>22</v>
      </c>
      <c r="K12" s="20">
        <v>0.02</v>
      </c>
      <c r="L12" s="18">
        <v>1.38</v>
      </c>
      <c r="M12" s="18">
        <v>43</v>
      </c>
      <c r="N12" s="21">
        <f>L12/L14*N14</f>
        <v>8542.1999999999989</v>
      </c>
      <c r="O12" s="22">
        <f>K12/K14*O14</f>
        <v>0.25523809523809526</v>
      </c>
      <c r="P12" s="23">
        <f>N12*O12*100/M12/1000</f>
        <v>5.0704531561461792</v>
      </c>
    </row>
    <row r="13" spans="2:16">
      <c r="C13" s="11">
        <f>C12*3600</f>
        <v>2412</v>
      </c>
      <c r="D13" t="s">
        <v>3</v>
      </c>
      <c r="G13" s="6"/>
      <c r="K13" s="20">
        <v>0.04</v>
      </c>
      <c r="L13" s="18">
        <v>1.3</v>
      </c>
      <c r="M13" s="18">
        <v>75</v>
      </c>
      <c r="N13" s="21">
        <f>L13/L14*N14</f>
        <v>8047.0000000000009</v>
      </c>
      <c r="O13" s="22">
        <f>K13/K14*O14</f>
        <v>0.51047619047619053</v>
      </c>
      <c r="P13" s="23">
        <f t="shared" ref="P13:P16" si="0">N13*O13*100/M13/1000</f>
        <v>5.4770692063492072</v>
      </c>
    </row>
    <row r="14" spans="2:16">
      <c r="C14" s="11">
        <f>C12*C18*3600</f>
        <v>2894.4</v>
      </c>
      <c r="D14" t="s">
        <v>27</v>
      </c>
      <c r="G14" s="6"/>
      <c r="K14" s="27">
        <v>5.2499999999999998E-2</v>
      </c>
      <c r="L14" s="28">
        <v>1.2</v>
      </c>
      <c r="M14" s="28">
        <v>81</v>
      </c>
      <c r="N14" s="29">
        <v>7428</v>
      </c>
      <c r="O14" s="30">
        <v>0.67</v>
      </c>
      <c r="P14" s="31">
        <f t="shared" si="0"/>
        <v>6.1441481481481475</v>
      </c>
    </row>
    <row r="15" spans="2:16">
      <c r="B15" t="s">
        <v>9</v>
      </c>
      <c r="C15" s="3">
        <v>400</v>
      </c>
      <c r="D15" t="s">
        <v>11</v>
      </c>
      <c r="F15" t="s">
        <v>9</v>
      </c>
      <c r="G15" s="3">
        <v>630</v>
      </c>
      <c r="H15" t="s">
        <v>11</v>
      </c>
      <c r="K15" s="20">
        <v>0.06</v>
      </c>
      <c r="L15" s="18">
        <v>1.1000000000000001</v>
      </c>
      <c r="M15" s="18">
        <v>79</v>
      </c>
      <c r="N15" s="21">
        <f>L15/L14*N14</f>
        <v>6809.0000000000009</v>
      </c>
      <c r="O15" s="22">
        <f>K15/K14*O14</f>
        <v>0.76571428571428568</v>
      </c>
      <c r="P15" s="23">
        <f t="shared" si="0"/>
        <v>6.5996817359855342</v>
      </c>
    </row>
    <row r="16" spans="2:16">
      <c r="B16" t="s">
        <v>10</v>
      </c>
      <c r="C16" s="3">
        <v>4850</v>
      </c>
      <c r="D16" t="s">
        <v>12</v>
      </c>
      <c r="F16" t="s">
        <v>10</v>
      </c>
      <c r="G16" s="3">
        <v>3573</v>
      </c>
      <c r="H16" t="s">
        <v>12</v>
      </c>
      <c r="K16" s="20">
        <v>0.08</v>
      </c>
      <c r="L16" s="18">
        <v>0.6</v>
      </c>
      <c r="M16" s="18">
        <v>42</v>
      </c>
      <c r="N16" s="21">
        <f>L16/L14*N14</f>
        <v>3714</v>
      </c>
      <c r="O16" s="22">
        <f>K16/K14*O14</f>
        <v>1.0209523809523811</v>
      </c>
      <c r="P16" s="23">
        <f t="shared" si="0"/>
        <v>9.0281360544217701</v>
      </c>
    </row>
    <row r="17" spans="2:16" ht="15.75" thickBot="1">
      <c r="C17" s="1">
        <f>C16/60</f>
        <v>80.833333333333329</v>
      </c>
      <c r="D17" t="s">
        <v>13</v>
      </c>
      <c r="G17">
        <f>G16/60</f>
        <v>59.55</v>
      </c>
      <c r="H17" t="s">
        <v>13</v>
      </c>
      <c r="K17" s="24"/>
      <c r="L17" s="25"/>
      <c r="M17" s="25"/>
      <c r="N17" s="25"/>
      <c r="O17" s="25"/>
      <c r="P17" s="26"/>
    </row>
    <row r="18" spans="2:16">
      <c r="B18" t="s">
        <v>6</v>
      </c>
      <c r="C18" s="3">
        <v>1.2</v>
      </c>
      <c r="D18" t="s">
        <v>7</v>
      </c>
      <c r="F18" t="s">
        <v>6</v>
      </c>
      <c r="G18" s="3">
        <v>1.2</v>
      </c>
      <c r="H18" t="s">
        <v>7</v>
      </c>
    </row>
    <row r="19" spans="2:16">
      <c r="B19" t="s">
        <v>19</v>
      </c>
      <c r="C19" s="3">
        <v>0.81</v>
      </c>
      <c r="D19" t="s">
        <v>16</v>
      </c>
      <c r="G19" s="3"/>
    </row>
    <row r="20" spans="2:16">
      <c r="B20" t="s">
        <v>14</v>
      </c>
      <c r="C20" s="1">
        <f>PI()*C15/1000*C17</f>
        <v>101.57816246606997</v>
      </c>
      <c r="D20" t="s">
        <v>15</v>
      </c>
      <c r="F20" t="s">
        <v>14</v>
      </c>
      <c r="G20" s="1">
        <f>PI()*G15/1000*G17</f>
        <v>117.86156078840148</v>
      </c>
      <c r="H20" t="s">
        <v>15</v>
      </c>
    </row>
    <row r="21" spans="2:16">
      <c r="B21" t="s">
        <v>0</v>
      </c>
      <c r="C21" s="4">
        <f>2*C10/(C20^2*C18)</f>
        <v>1.1998306176457942</v>
      </c>
      <c r="D21" t="s">
        <v>16</v>
      </c>
      <c r="F21" t="s">
        <v>0</v>
      </c>
      <c r="G21" s="4">
        <f>2*G11/(G20^2*G18)</f>
        <v>1.1997876126052882</v>
      </c>
      <c r="H21" t="s">
        <v>16</v>
      </c>
    </row>
    <row r="22" spans="2:16">
      <c r="B22" t="s">
        <v>1</v>
      </c>
      <c r="C22" s="4">
        <f>4*C12/(PI()*(C15/1000)^2*C20)</f>
        <v>5.2488551319870867E-2</v>
      </c>
      <c r="D22" t="s">
        <v>16</v>
      </c>
      <c r="F22" t="s">
        <v>1</v>
      </c>
      <c r="G22" s="4">
        <f>4*G12/(PI()*(G15/1000)^2*G20)</f>
        <v>5.4436077966205636E-2</v>
      </c>
      <c r="H22" t="s">
        <v>16</v>
      </c>
    </row>
    <row r="23" spans="2:16">
      <c r="B23" t="s">
        <v>20</v>
      </c>
      <c r="C23" s="8">
        <f>C10*C12/C19/10^3</f>
        <v>6.1441481481481475</v>
      </c>
      <c r="D23" t="s">
        <v>21</v>
      </c>
    </row>
    <row r="24" spans="2:16">
      <c r="C24" s="2">
        <f>C23/0.735</f>
        <v>8.3593852355757114</v>
      </c>
      <c r="D24" t="s">
        <v>23</v>
      </c>
    </row>
    <row r="28" spans="2:16">
      <c r="B28" t="s">
        <v>24</v>
      </c>
      <c r="D28">
        <f>(C15/1000)^2*PI()*C20*C22/4</f>
        <v>0.67</v>
      </c>
      <c r="E28" t="s">
        <v>3</v>
      </c>
      <c r="G28" s="2">
        <f>(G15/1000)^2*PI()*G20*G22/4</f>
        <v>2</v>
      </c>
    </row>
    <row r="30" spans="2:16">
      <c r="B30" t="s">
        <v>25</v>
      </c>
      <c r="C30">
        <f>2*C10/(C18*C20^2)</f>
        <v>1.1998306176457942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AM36"/>
  <sheetViews>
    <sheetView workbookViewId="0">
      <selection activeCell="L30" sqref="L30"/>
    </sheetView>
  </sheetViews>
  <sheetFormatPr defaultRowHeight="15"/>
  <cols>
    <col min="4" max="4" width="11.42578125" bestFit="1" customWidth="1"/>
    <col min="5" max="5" width="16.85546875" customWidth="1"/>
    <col min="6" max="6" width="7.5703125" bestFit="1" customWidth="1"/>
    <col min="7" max="11" width="9.5703125" bestFit="1" customWidth="1"/>
    <col min="12" max="12" width="9.28515625" bestFit="1" customWidth="1"/>
  </cols>
  <sheetData>
    <row r="3" spans="4:17" ht="18.75">
      <c r="E3" s="9"/>
    </row>
    <row r="4" spans="4:17" ht="18.75">
      <c r="D4" s="9" t="s">
        <v>40</v>
      </c>
    </row>
    <row r="5" spans="4:17">
      <c r="D5" t="s">
        <v>9</v>
      </c>
      <c r="E5" t="s">
        <v>11</v>
      </c>
      <c r="F5">
        <v>1000</v>
      </c>
    </row>
    <row r="6" spans="4:17">
      <c r="D6" t="s">
        <v>10</v>
      </c>
      <c r="E6" t="s">
        <v>12</v>
      </c>
      <c r="F6">
        <v>1480</v>
      </c>
    </row>
    <row r="7" spans="4:17">
      <c r="D7" s="18" t="s">
        <v>34</v>
      </c>
      <c r="E7" s="18" t="s">
        <v>22</v>
      </c>
      <c r="F7" s="35">
        <v>0</v>
      </c>
      <c r="G7" s="35">
        <v>0.23</v>
      </c>
      <c r="H7" s="35">
        <v>0.46</v>
      </c>
      <c r="I7" s="35">
        <v>0.52</v>
      </c>
      <c r="J7" s="35">
        <v>0.59</v>
      </c>
      <c r="K7" s="35">
        <v>0.65</v>
      </c>
      <c r="L7" s="35">
        <v>0.72</v>
      </c>
      <c r="M7" s="35">
        <v>0.8</v>
      </c>
      <c r="N7" s="35">
        <v>0.87</v>
      </c>
      <c r="O7" s="35">
        <v>0.96</v>
      </c>
      <c r="P7" s="35">
        <v>1.04</v>
      </c>
      <c r="Q7" s="35">
        <v>1.34</v>
      </c>
    </row>
    <row r="8" spans="4:17">
      <c r="D8" s="18" t="s">
        <v>35</v>
      </c>
      <c r="E8" s="37" t="s">
        <v>5</v>
      </c>
      <c r="F8" s="36">
        <v>3976.8</v>
      </c>
      <c r="G8" s="36">
        <v>4256.2</v>
      </c>
      <c r="H8" s="36">
        <v>4070.9</v>
      </c>
      <c r="I8" s="36">
        <v>3970.9</v>
      </c>
      <c r="J8" s="36">
        <v>3862.7</v>
      </c>
      <c r="K8" s="36">
        <v>3743.7</v>
      </c>
      <c r="L8" s="36">
        <v>3600.1</v>
      </c>
      <c r="M8" s="36">
        <v>3371.1</v>
      </c>
      <c r="N8" s="36">
        <v>3101.1</v>
      </c>
      <c r="O8" s="36">
        <v>2780</v>
      </c>
      <c r="P8" s="36">
        <v>2418</v>
      </c>
      <c r="Q8" s="36">
        <v>833.5</v>
      </c>
    </row>
    <row r="9" spans="4:17">
      <c r="D9" s="18" t="s">
        <v>36</v>
      </c>
      <c r="E9" s="37" t="s">
        <v>37</v>
      </c>
      <c r="F9" s="36">
        <v>1.1000000000000001</v>
      </c>
      <c r="G9" s="36">
        <v>2</v>
      </c>
      <c r="H9" s="36">
        <v>2.9</v>
      </c>
      <c r="I9" s="36">
        <v>3.1</v>
      </c>
      <c r="J9" s="36">
        <v>3.3</v>
      </c>
      <c r="K9" s="36">
        <v>3.5</v>
      </c>
      <c r="L9" s="36">
        <v>3.7</v>
      </c>
      <c r="M9" s="36">
        <v>3.9</v>
      </c>
      <c r="N9" s="36">
        <v>4</v>
      </c>
      <c r="O9" s="36">
        <v>4.0999999999999996</v>
      </c>
      <c r="P9" s="36">
        <v>4.0999999999999996</v>
      </c>
      <c r="Q9" s="36">
        <v>4</v>
      </c>
    </row>
    <row r="10" spans="4:17">
      <c r="D10" s="18" t="s">
        <v>19</v>
      </c>
      <c r="E10" s="37" t="s">
        <v>38</v>
      </c>
      <c r="F10" s="35">
        <v>0</v>
      </c>
      <c r="G10" s="35">
        <v>48</v>
      </c>
      <c r="H10" s="35">
        <v>64.2</v>
      </c>
      <c r="I10" s="35">
        <v>66.040000000000006</v>
      </c>
      <c r="J10" s="35">
        <v>67.819999999999993</v>
      </c>
      <c r="K10" s="35">
        <v>69.06</v>
      </c>
      <c r="L10" s="35">
        <v>69.900000000000006</v>
      </c>
      <c r="M10" s="35">
        <v>69.239999999999995</v>
      </c>
      <c r="N10" s="35">
        <v>67.86</v>
      </c>
      <c r="O10" s="35">
        <v>65.260000000000005</v>
      </c>
      <c r="P10" s="35">
        <v>60.4</v>
      </c>
      <c r="Q10" s="35">
        <v>20</v>
      </c>
    </row>
    <row r="11" spans="4:17" ht="15.75" thickBot="1"/>
    <row r="12" spans="4:17" ht="18.75">
      <c r="D12" s="38" t="s">
        <v>45</v>
      </c>
      <c r="E12" s="14"/>
      <c r="F12" s="14"/>
      <c r="G12" s="14"/>
      <c r="H12" s="14"/>
      <c r="I12" s="14"/>
      <c r="J12" s="14"/>
      <c r="K12" s="14"/>
      <c r="L12" s="15"/>
    </row>
    <row r="13" spans="4:17">
      <c r="D13" s="20" t="s">
        <v>9</v>
      </c>
      <c r="E13" s="18" t="s">
        <v>11</v>
      </c>
      <c r="F13" s="18">
        <v>300</v>
      </c>
      <c r="G13" s="18"/>
      <c r="H13" s="18"/>
      <c r="I13" s="18"/>
      <c r="J13" s="18"/>
      <c r="K13" s="18"/>
      <c r="L13" s="19"/>
    </row>
    <row r="14" spans="4:17">
      <c r="D14" s="20" t="s">
        <v>10</v>
      </c>
      <c r="E14" s="18" t="s">
        <v>12</v>
      </c>
      <c r="F14" s="18">
        <v>2930</v>
      </c>
      <c r="G14" s="18"/>
      <c r="H14" s="18"/>
      <c r="I14" s="18"/>
      <c r="J14" s="18"/>
      <c r="K14" s="18"/>
      <c r="L14" s="19"/>
    </row>
    <row r="15" spans="4:17">
      <c r="D15" s="20" t="s">
        <v>34</v>
      </c>
      <c r="E15" s="18" t="s">
        <v>22</v>
      </c>
      <c r="F15" s="18">
        <v>0</v>
      </c>
      <c r="G15" s="18">
        <v>0.5</v>
      </c>
      <c r="H15" s="18">
        <v>1</v>
      </c>
      <c r="I15" s="18">
        <v>1.5</v>
      </c>
      <c r="J15" s="18">
        <v>2</v>
      </c>
      <c r="K15" s="18">
        <v>2.5</v>
      </c>
      <c r="L15" s="19">
        <v>3</v>
      </c>
    </row>
    <row r="16" spans="4:17">
      <c r="D16" s="20" t="s">
        <v>35</v>
      </c>
      <c r="E16" s="37" t="s">
        <v>5</v>
      </c>
      <c r="F16" s="18">
        <v>16800</v>
      </c>
      <c r="G16" s="18">
        <v>17950</v>
      </c>
      <c r="H16" s="18">
        <v>17200</v>
      </c>
      <c r="I16" s="18">
        <v>15500</v>
      </c>
      <c r="J16" s="18">
        <v>12350</v>
      </c>
      <c r="K16" s="18">
        <v>7650</v>
      </c>
      <c r="L16" s="19">
        <v>2550</v>
      </c>
    </row>
    <row r="17" spans="1:39">
      <c r="D17" s="20" t="s">
        <v>39</v>
      </c>
      <c r="E17" s="37" t="s">
        <v>37</v>
      </c>
      <c r="F17" s="39">
        <f>14*0.75</f>
        <v>10.5</v>
      </c>
      <c r="G17" s="39">
        <f>24.6*0.75</f>
        <v>18.450000000000003</v>
      </c>
      <c r="H17" s="39">
        <f>35.7*0.75</f>
        <v>26.775000000000002</v>
      </c>
      <c r="I17" s="39">
        <f>44.4*0.75</f>
        <v>33.299999999999997</v>
      </c>
      <c r="J17" s="39">
        <f>49.5*0.75</f>
        <v>37.125</v>
      </c>
      <c r="K17" s="39">
        <f>50.6*0.75</f>
        <v>37.950000000000003</v>
      </c>
      <c r="L17" s="23">
        <f>48.5*0.75</f>
        <v>36.375</v>
      </c>
      <c r="AB17" s="32"/>
      <c r="AC17" s="32"/>
      <c r="AD17" s="32"/>
      <c r="AE17" s="33"/>
      <c r="AF17" s="32"/>
      <c r="AG17" s="32"/>
      <c r="AH17" s="32"/>
      <c r="AI17" s="33"/>
      <c r="AJ17" s="32"/>
      <c r="AK17" s="32"/>
      <c r="AL17" s="32"/>
      <c r="AM17" s="34"/>
    </row>
    <row r="18" spans="1:39" ht="15.75" thickBot="1">
      <c r="D18" s="24" t="s">
        <v>19</v>
      </c>
      <c r="E18" s="40" t="s">
        <v>38</v>
      </c>
      <c r="F18" s="25">
        <v>0</v>
      </c>
      <c r="G18" s="41">
        <v>48.63</v>
      </c>
      <c r="H18" s="41">
        <v>64.23</v>
      </c>
      <c r="I18" s="41">
        <v>69.81</v>
      </c>
      <c r="J18" s="41">
        <v>66.53</v>
      </c>
      <c r="K18" s="41">
        <v>50.39</v>
      </c>
      <c r="L18" s="42">
        <v>20.32</v>
      </c>
    </row>
    <row r="21" spans="1:39" ht="18.75">
      <c r="A21" s="9" t="s">
        <v>41</v>
      </c>
      <c r="D21" s="9" t="s">
        <v>47</v>
      </c>
    </row>
    <row r="22" spans="1:39">
      <c r="A22" t="s">
        <v>42</v>
      </c>
      <c r="D22" t="s">
        <v>9</v>
      </c>
      <c r="E22" t="s">
        <v>11</v>
      </c>
      <c r="F22">
        <f>1000</f>
        <v>1000</v>
      </c>
    </row>
    <row r="23" spans="1:39">
      <c r="A23" t="s">
        <v>43</v>
      </c>
      <c r="D23" t="s">
        <v>10</v>
      </c>
      <c r="E23" t="s">
        <v>12</v>
      </c>
      <c r="F23">
        <v>2930</v>
      </c>
    </row>
    <row r="24" spans="1:39">
      <c r="A24" t="s">
        <v>44</v>
      </c>
      <c r="D24" s="18" t="s">
        <v>34</v>
      </c>
      <c r="E24" s="18" t="s">
        <v>46</v>
      </c>
      <c r="F24" s="2">
        <f t="shared" ref="F24:L24" si="0">F15*$F22/$F13</f>
        <v>0</v>
      </c>
      <c r="G24" s="2">
        <f t="shared" si="0"/>
        <v>1.6666666666666667</v>
      </c>
      <c r="H24" s="2">
        <f t="shared" si="0"/>
        <v>3.3333333333333335</v>
      </c>
      <c r="I24" s="2">
        <f t="shared" si="0"/>
        <v>5</v>
      </c>
      <c r="J24" s="2">
        <f t="shared" si="0"/>
        <v>6.666666666666667</v>
      </c>
      <c r="K24" s="2">
        <f t="shared" si="0"/>
        <v>8.3333333333333339</v>
      </c>
      <c r="L24" s="2">
        <f t="shared" si="0"/>
        <v>10</v>
      </c>
    </row>
    <row r="25" spans="1:39">
      <c r="D25" s="18" t="s">
        <v>35</v>
      </c>
      <c r="E25" s="37" t="s">
        <v>5</v>
      </c>
      <c r="F25" s="12">
        <f t="shared" ref="F25:L25" si="1">F16*($F22/$F13)^2</f>
        <v>186666.66666666669</v>
      </c>
      <c r="G25" s="12">
        <f t="shared" si="1"/>
        <v>199444.44444444447</v>
      </c>
      <c r="H25" s="12">
        <f t="shared" si="1"/>
        <v>191111.11111111112</v>
      </c>
      <c r="I25" s="12">
        <f t="shared" si="1"/>
        <v>172222.22222222225</v>
      </c>
      <c r="J25" s="12">
        <f t="shared" si="1"/>
        <v>137222.22222222225</v>
      </c>
      <c r="K25" s="12">
        <f t="shared" si="1"/>
        <v>85000.000000000015</v>
      </c>
      <c r="L25" s="12">
        <f t="shared" si="1"/>
        <v>28333.333333333336</v>
      </c>
    </row>
    <row r="26" spans="1:39">
      <c r="D26" s="18" t="s">
        <v>39</v>
      </c>
      <c r="E26" s="37" t="s">
        <v>37</v>
      </c>
      <c r="F26" s="1">
        <f t="shared" ref="F26:L26" si="2">F17*($F22/$F13)^3</f>
        <v>388.88888888888897</v>
      </c>
      <c r="G26" s="1">
        <f t="shared" si="2"/>
        <v>683.3333333333336</v>
      </c>
      <c r="H26" s="1">
        <f t="shared" si="2"/>
        <v>991.66666666666697</v>
      </c>
      <c r="I26" s="1">
        <f t="shared" si="2"/>
        <v>1233.3333333333335</v>
      </c>
      <c r="J26" s="1">
        <f t="shared" si="2"/>
        <v>1375.0000000000002</v>
      </c>
      <c r="K26" s="1">
        <f t="shared" si="2"/>
        <v>1405.5555555555559</v>
      </c>
      <c r="L26" s="1">
        <f t="shared" si="2"/>
        <v>1347.2222222222226</v>
      </c>
    </row>
    <row r="27" spans="1:39">
      <c r="D27" s="18" t="s">
        <v>19</v>
      </c>
      <c r="E27" s="37" t="s">
        <v>38</v>
      </c>
      <c r="F27">
        <v>0</v>
      </c>
      <c r="G27" s="1">
        <v>48.63</v>
      </c>
      <c r="H27" s="1">
        <v>64.23</v>
      </c>
      <c r="I27" s="1">
        <v>69.81</v>
      </c>
      <c r="J27" s="1">
        <v>66.53</v>
      </c>
      <c r="K27" s="1">
        <v>50.39</v>
      </c>
      <c r="L27" s="1">
        <v>20.32</v>
      </c>
    </row>
    <row r="30" spans="1:39" ht="18.75">
      <c r="D30" s="9" t="s">
        <v>48</v>
      </c>
    </row>
    <row r="31" spans="1:39">
      <c r="D31" t="s">
        <v>9</v>
      </c>
      <c r="E31" t="s">
        <v>11</v>
      </c>
      <c r="F31">
        <f>1000</f>
        <v>1000</v>
      </c>
    </row>
    <row r="32" spans="1:39">
      <c r="D32" t="s">
        <v>10</v>
      </c>
      <c r="E32" t="s">
        <v>12</v>
      </c>
      <c r="F32">
        <v>1480</v>
      </c>
    </row>
    <row r="33" spans="4:12">
      <c r="D33" s="18" t="s">
        <v>34</v>
      </c>
      <c r="E33" s="18" t="s">
        <v>46</v>
      </c>
      <c r="F33" s="39">
        <f>F24</f>
        <v>0</v>
      </c>
      <c r="G33" s="39">
        <f>G24*$F32/$F23</f>
        <v>0.84186575654152451</v>
      </c>
      <c r="H33" s="39">
        <f t="shared" ref="H33:L33" si="3">H24*$F32/$F23</f>
        <v>1.683731513083049</v>
      </c>
      <c r="I33" s="39">
        <f t="shared" si="3"/>
        <v>2.5255972696245732</v>
      </c>
      <c r="J33" s="39">
        <f t="shared" si="3"/>
        <v>3.3674630261660981</v>
      </c>
      <c r="K33" s="39">
        <f t="shared" si="3"/>
        <v>4.2093287827076225</v>
      </c>
      <c r="L33" s="39">
        <f t="shared" si="3"/>
        <v>5.0511945392491464</v>
      </c>
    </row>
    <row r="34" spans="4:12">
      <c r="D34" s="18" t="s">
        <v>35</v>
      </c>
      <c r="E34" s="37" t="s">
        <v>5</v>
      </c>
      <c r="F34" s="39">
        <f>F25*($F32/$F23)^2</f>
        <v>47627.190376902072</v>
      </c>
      <c r="G34" s="39">
        <f t="shared" ref="G34:L34" si="4">G25*($F32/$F23)^2</f>
        <v>50887.384956273345</v>
      </c>
      <c r="H34" s="39">
        <f t="shared" si="4"/>
        <v>48761.17110016165</v>
      </c>
      <c r="I34" s="39">
        <f t="shared" si="4"/>
        <v>43941.753026308463</v>
      </c>
      <c r="J34" s="39">
        <f t="shared" si="4"/>
        <v>35011.654830639323</v>
      </c>
      <c r="K34" s="39">
        <f t="shared" si="4"/>
        <v>21687.381332339341</v>
      </c>
      <c r="L34" s="39">
        <f t="shared" si="4"/>
        <v>7229.1271107797793</v>
      </c>
    </row>
    <row r="35" spans="4:12">
      <c r="D35" s="18" t="s">
        <v>39</v>
      </c>
      <c r="E35" s="37" t="s">
        <v>37</v>
      </c>
      <c r="F35" s="39">
        <f>F26*($F32/$F23)^3</f>
        <v>50.119625823247347</v>
      </c>
      <c r="G35" s="39">
        <f t="shared" ref="G35:L35" si="5">G26*($F32/$F23)^3</f>
        <v>88.06734251799179</v>
      </c>
      <c r="H35" s="39">
        <f t="shared" si="5"/>
        <v>127.80504584928075</v>
      </c>
      <c r="I35" s="39">
        <f t="shared" si="5"/>
        <v>158.95081332515585</v>
      </c>
      <c r="J35" s="39">
        <f t="shared" si="5"/>
        <v>177.20867701791025</v>
      </c>
      <c r="K35" s="39">
        <f t="shared" si="5"/>
        <v>181.14664761830826</v>
      </c>
      <c r="L35" s="39">
        <f t="shared" si="5"/>
        <v>173.62870374482119</v>
      </c>
    </row>
    <row r="36" spans="4:12">
      <c r="D36" s="18" t="s">
        <v>19</v>
      </c>
      <c r="E36" s="37" t="s">
        <v>38</v>
      </c>
      <c r="F36" s="39">
        <v>0</v>
      </c>
      <c r="G36" s="39">
        <v>48.63</v>
      </c>
      <c r="H36" s="39">
        <v>64.23</v>
      </c>
      <c r="I36" s="39">
        <v>69.81</v>
      </c>
      <c r="J36" s="39">
        <v>66.53</v>
      </c>
      <c r="K36" s="39">
        <v>50.39</v>
      </c>
      <c r="L36" s="39">
        <v>20.32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AI46"/>
  <sheetViews>
    <sheetView tabSelected="1" topLeftCell="A16" zoomScaleNormal="100" workbookViewId="0">
      <selection activeCell="I38" sqref="I38"/>
    </sheetView>
  </sheetViews>
  <sheetFormatPr defaultColWidth="14.7109375" defaultRowHeight="15"/>
  <cols>
    <col min="1" max="16384" width="14.7109375" style="43"/>
  </cols>
  <sheetData>
    <row r="3" spans="4:35">
      <c r="D3" s="43" t="s">
        <v>49</v>
      </c>
    </row>
    <row r="4" spans="4:35">
      <c r="R4" s="43" t="s">
        <v>69</v>
      </c>
    </row>
    <row r="6" spans="4:35">
      <c r="E6" s="44" t="s">
        <v>58</v>
      </c>
      <c r="F6" s="44" t="s">
        <v>59</v>
      </c>
      <c r="G6" s="45" t="s">
        <v>60</v>
      </c>
      <c r="H6" s="44" t="s">
        <v>61</v>
      </c>
      <c r="I6" s="44" t="s">
        <v>62</v>
      </c>
      <c r="J6" s="44" t="s">
        <v>63</v>
      </c>
      <c r="K6" s="44" t="s">
        <v>64</v>
      </c>
      <c r="L6" s="44" t="s">
        <v>65</v>
      </c>
      <c r="R6" s="44" t="s">
        <v>58</v>
      </c>
      <c r="S6" s="44" t="s">
        <v>66</v>
      </c>
      <c r="T6" s="46">
        <v>0.13270000000000001</v>
      </c>
      <c r="U6" s="46" t="s">
        <v>67</v>
      </c>
      <c r="V6" s="47">
        <f>32104/1000</f>
        <v>32.103999999999999</v>
      </c>
      <c r="W6" s="46" t="s">
        <v>67</v>
      </c>
      <c r="X6" s="46">
        <f>-31159</f>
        <v>-31159</v>
      </c>
      <c r="Y6" s="46" t="s">
        <v>67</v>
      </c>
      <c r="Z6" s="46">
        <v>1.4410000000000001E-4</v>
      </c>
      <c r="AA6" s="46" t="s">
        <v>67</v>
      </c>
      <c r="AB6" s="46">
        <v>0.26840999999999998</v>
      </c>
      <c r="AC6" s="46" t="s">
        <v>67</v>
      </c>
      <c r="AD6" s="46">
        <f>-0.23368*100</f>
        <v>-23.367999999999999</v>
      </c>
      <c r="AE6" s="46" t="s">
        <v>67</v>
      </c>
      <c r="AF6" s="46">
        <v>4.8950000000000003E-4</v>
      </c>
      <c r="AG6" s="46" t="s">
        <v>67</v>
      </c>
      <c r="AH6" s="46">
        <v>1.9580000000000001E-3</v>
      </c>
      <c r="AI6" s="43" t="s">
        <v>68</v>
      </c>
    </row>
    <row r="7" spans="4:35">
      <c r="D7" s="43" t="s">
        <v>50</v>
      </c>
      <c r="E7" s="48">
        <v>0.13270000000000001</v>
      </c>
      <c r="F7" s="48">
        <v>0.135134</v>
      </c>
      <c r="G7" s="49">
        <v>0.14194399999999999</v>
      </c>
      <c r="H7" s="48">
        <v>0.15345</v>
      </c>
      <c r="I7" s="48">
        <v>0.14663000000000001</v>
      </c>
      <c r="J7" s="48">
        <v>0.16763</v>
      </c>
      <c r="K7" s="48">
        <v>0.14499000000000001</v>
      </c>
      <c r="L7" s="48">
        <v>0.14412</v>
      </c>
      <c r="R7" s="44" t="s">
        <v>59</v>
      </c>
      <c r="S7" s="44" t="s">
        <v>66</v>
      </c>
      <c r="T7" s="46">
        <v>0.135134</v>
      </c>
      <c r="U7" s="46" t="s">
        <v>67</v>
      </c>
      <c r="V7" s="46">
        <v>25.536999999999999</v>
      </c>
      <c r="W7" s="46" t="s">
        <v>67</v>
      </c>
      <c r="X7" s="46">
        <f>-0.0002800311</f>
        <v>-2.8003110000000001E-4</v>
      </c>
      <c r="Y7" s="46" t="s">
        <v>67</v>
      </c>
      <c r="Z7" s="46">
        <v>6.8100000000000002E-5</v>
      </c>
      <c r="AA7" s="46" t="s">
        <v>67</v>
      </c>
      <c r="AB7" s="46">
        <v>0.21049000000000001</v>
      </c>
      <c r="AC7" s="46" t="s">
        <v>67</v>
      </c>
      <c r="AD7" s="46">
        <f>-33199/1000</f>
        <v>-33.198999999999998</v>
      </c>
      <c r="AE7" s="46" t="s">
        <v>67</v>
      </c>
      <c r="AF7" s="46">
        <v>5.6599999999999999E-4</v>
      </c>
      <c r="AG7" s="46" t="s">
        <v>67</v>
      </c>
      <c r="AH7" s="46">
        <v>1.838E-3</v>
      </c>
      <c r="AI7" s="43" t="s">
        <v>68</v>
      </c>
    </row>
    <row r="8" spans="4:35">
      <c r="D8" s="43" t="s">
        <v>51</v>
      </c>
      <c r="E8" s="48">
        <f>32104/1000</f>
        <v>32.103999999999999</v>
      </c>
      <c r="F8" s="48">
        <v>25.536999999999999</v>
      </c>
      <c r="G8" s="49">
        <f>635969/100000</f>
        <v>6.3596899999999996</v>
      </c>
      <c r="H8" s="48">
        <f>14438810/10000000</f>
        <v>1.443881</v>
      </c>
      <c r="I8" s="48">
        <f>15.415/10</f>
        <v>1.5414999999999999</v>
      </c>
      <c r="J8" s="48">
        <v>0.12792999999999999</v>
      </c>
      <c r="K8" s="48">
        <f>12.327/10</f>
        <v>1.2326999999999999</v>
      </c>
      <c r="L8" s="48">
        <v>1.3974</v>
      </c>
      <c r="R8" s="44" t="s">
        <v>60</v>
      </c>
      <c r="S8" s="44" t="s">
        <v>66</v>
      </c>
      <c r="T8" s="48">
        <v>0.14194399999999999</v>
      </c>
      <c r="U8" s="48" t="s">
        <v>67</v>
      </c>
      <c r="V8" s="48">
        <f>635969/100000</f>
        <v>6.3596899999999996</v>
      </c>
      <c r="W8" s="48" t="s">
        <v>67</v>
      </c>
      <c r="X8" s="48">
        <f>-222946/100</f>
        <v>-2229.46</v>
      </c>
      <c r="Y8" s="48" t="s">
        <v>67</v>
      </c>
      <c r="Z8" s="48">
        <v>1.695E-4</v>
      </c>
      <c r="AA8" s="48" t="s">
        <v>67</v>
      </c>
      <c r="AB8" s="48">
        <v>0.201068</v>
      </c>
      <c r="AC8" s="48" t="s">
        <v>67</v>
      </c>
      <c r="AD8" s="48">
        <v>-13.27</v>
      </c>
      <c r="AE8" s="48" t="s">
        <v>67</v>
      </c>
      <c r="AF8" s="48">
        <v>1.48E-3</v>
      </c>
      <c r="AG8" s="48" t="s">
        <v>67</v>
      </c>
      <c r="AH8" s="48">
        <v>6.7099999999999998E-3</v>
      </c>
      <c r="AI8" s="43" t="s">
        <v>68</v>
      </c>
    </row>
    <row r="9" spans="4:35">
      <c r="D9" s="43" t="s">
        <v>52</v>
      </c>
      <c r="E9" s="48">
        <f>-31159</f>
        <v>-31159</v>
      </c>
      <c r="F9" s="48">
        <f>-28003.11</f>
        <v>-28003.11</v>
      </c>
      <c r="G9" s="49">
        <f>-222946/100</f>
        <v>-2229.46</v>
      </c>
      <c r="H9" s="48">
        <v>-116.84</v>
      </c>
      <c r="I9" s="48">
        <v>-408.8</v>
      </c>
      <c r="J9" s="48">
        <f>-47967/100</f>
        <v>-479.67</v>
      </c>
      <c r="K9" s="48">
        <f>-0.79528*100</f>
        <v>-79.527999999999992</v>
      </c>
      <c r="L9" s="48">
        <v>-98.38</v>
      </c>
      <c r="R9" s="44" t="s">
        <v>61</v>
      </c>
      <c r="S9" s="44" t="s">
        <v>66</v>
      </c>
      <c r="T9" s="48">
        <v>0.15345</v>
      </c>
      <c r="U9" s="48" t="s">
        <v>67</v>
      </c>
      <c r="V9" s="48">
        <f>14438810/10000000</f>
        <v>1.443881</v>
      </c>
      <c r="W9" s="48" t="s">
        <v>67</v>
      </c>
      <c r="X9" s="48">
        <v>-116.84</v>
      </c>
      <c r="Y9" s="48" t="s">
        <v>67</v>
      </c>
      <c r="Z9" s="48">
        <v>1.9665000000000001E-4</v>
      </c>
      <c r="AA9" s="48" t="s">
        <v>67</v>
      </c>
      <c r="AB9" s="48">
        <v>0.22452</v>
      </c>
      <c r="AC9" s="48" t="s">
        <v>67</v>
      </c>
      <c r="AD9" s="48">
        <f>-31.435/10</f>
        <v>-3.1435</v>
      </c>
      <c r="AE9" s="48" t="s">
        <v>67</v>
      </c>
      <c r="AF9" s="48">
        <v>1.0840000000000001E-2</v>
      </c>
      <c r="AG9" s="48" t="s">
        <v>67</v>
      </c>
      <c r="AH9" s="48">
        <v>2.8648E-2</v>
      </c>
      <c r="AI9" s="43" t="s">
        <v>68</v>
      </c>
    </row>
    <row r="10" spans="4:35">
      <c r="D10" s="43" t="s">
        <v>53</v>
      </c>
      <c r="E10" s="48">
        <v>1.4410000000000001E-4</v>
      </c>
      <c r="F10" s="48">
        <v>6.8100000000000002E-5</v>
      </c>
      <c r="G10" s="49">
        <v>1.695E-4</v>
      </c>
      <c r="H10" s="48">
        <v>1.9665000000000001E-4</v>
      </c>
      <c r="I10" s="48">
        <v>3.2836999999999997E-4</v>
      </c>
      <c r="J10" s="48">
        <v>-3.0338999999999999E-5</v>
      </c>
      <c r="K10" s="48">
        <v>6.0039000000000002E-4</v>
      </c>
      <c r="L10" s="48">
        <v>4.0027999999999998E-4</v>
      </c>
      <c r="R10" s="44" t="s">
        <v>62</v>
      </c>
      <c r="S10" s="44" t="s">
        <v>66</v>
      </c>
      <c r="T10" s="48">
        <v>0.14663000000000001</v>
      </c>
      <c r="U10" s="48" t="s">
        <v>67</v>
      </c>
      <c r="V10" s="48">
        <f>15.415/10</f>
        <v>1.5414999999999999</v>
      </c>
      <c r="W10" s="48" t="s">
        <v>67</v>
      </c>
      <c r="X10" s="48">
        <v>-408.8</v>
      </c>
      <c r="Y10" s="48" t="s">
        <v>67</v>
      </c>
      <c r="Z10" s="48">
        <v>3.2836999999999997E-4</v>
      </c>
      <c r="AA10" s="48" t="s">
        <v>67</v>
      </c>
      <c r="AB10" s="48">
        <v>0.16650000000000001</v>
      </c>
      <c r="AC10" s="48" t="s">
        <v>67</v>
      </c>
      <c r="AD10" s="48">
        <f>-43091/10000</f>
        <v>-4.3090999999999999</v>
      </c>
      <c r="AE10" s="48" t="s">
        <v>67</v>
      </c>
      <c r="AF10" s="48">
        <v>2.516E-3</v>
      </c>
      <c r="AG10" s="48" t="s">
        <v>67</v>
      </c>
      <c r="AH10" s="48">
        <v>1.6903999999999999E-2</v>
      </c>
      <c r="AI10" s="43" t="s">
        <v>68</v>
      </c>
    </row>
    <row r="11" spans="4:35">
      <c r="D11" s="43" t="s">
        <v>54</v>
      </c>
      <c r="E11" s="48">
        <v>0.26840999999999998</v>
      </c>
      <c r="F11" s="48">
        <v>0.21049000000000001</v>
      </c>
      <c r="G11" s="49">
        <v>0.201068</v>
      </c>
      <c r="H11" s="48">
        <v>0.22452</v>
      </c>
      <c r="I11" s="48">
        <v>0.16650000000000001</v>
      </c>
      <c r="J11" s="48">
        <v>0.27083000000000002</v>
      </c>
      <c r="K11" s="48">
        <v>0.16925000000000001</v>
      </c>
      <c r="L11" s="48">
        <v>0.19120999999999999</v>
      </c>
      <c r="R11" s="44" t="s">
        <v>63</v>
      </c>
      <c r="S11" s="44" t="s">
        <v>66</v>
      </c>
      <c r="T11" s="48">
        <v>0.16763</v>
      </c>
      <c r="U11" s="48" t="s">
        <v>67</v>
      </c>
      <c r="V11" s="48">
        <v>0.12792999999999999</v>
      </c>
      <c r="W11" s="48" t="s">
        <v>67</v>
      </c>
      <c r="X11" s="48">
        <f>-47967/100</f>
        <v>-479.67</v>
      </c>
      <c r="Y11" s="48" t="s">
        <v>67</v>
      </c>
      <c r="Z11" s="48">
        <v>-3.0338999999999999E-5</v>
      </c>
      <c r="AA11" s="48" t="s">
        <v>67</v>
      </c>
      <c r="AB11" s="48">
        <v>0.27083000000000002</v>
      </c>
      <c r="AC11" s="48" t="s">
        <v>67</v>
      </c>
      <c r="AD11" s="48">
        <f>-99922/10000</f>
        <v>-9.9922000000000004</v>
      </c>
      <c r="AE11" s="48" t="s">
        <v>67</v>
      </c>
      <c r="AF11" s="48">
        <v>4.5166E-3</v>
      </c>
      <c r="AG11" s="48" t="s">
        <v>67</v>
      </c>
      <c r="AH11" s="48">
        <v>1.0324E-2</v>
      </c>
      <c r="AI11" s="43" t="s">
        <v>68</v>
      </c>
    </row>
    <row r="12" spans="4:35">
      <c r="D12" s="43" t="s">
        <v>55</v>
      </c>
      <c r="E12" s="48">
        <f>-0.23368*100</f>
        <v>-23.367999999999999</v>
      </c>
      <c r="F12" s="48">
        <f>-33199/1000</f>
        <v>-33.198999999999998</v>
      </c>
      <c r="G12" s="49">
        <v>-13.27</v>
      </c>
      <c r="H12" s="48">
        <f>-31.435/10</f>
        <v>-3.1435</v>
      </c>
      <c r="I12" s="48">
        <f>-43091/10000</f>
        <v>-4.3090999999999999</v>
      </c>
      <c r="J12" s="48">
        <f>-99922/10000</f>
        <v>-9.9922000000000004</v>
      </c>
      <c r="K12" s="48">
        <v>-1.9817</v>
      </c>
      <c r="L12" s="48">
        <v>-2.6461000000000001</v>
      </c>
      <c r="R12" s="44" t="s">
        <v>64</v>
      </c>
      <c r="S12" s="44" t="s">
        <v>66</v>
      </c>
      <c r="T12" s="48">
        <v>0.14499000000000001</v>
      </c>
      <c r="U12" s="48" t="s">
        <v>67</v>
      </c>
      <c r="V12" s="48">
        <f>12.327/10</f>
        <v>1.2326999999999999</v>
      </c>
      <c r="W12" s="48" t="s">
        <v>67</v>
      </c>
      <c r="X12" s="48">
        <f>-0.79528*100</f>
        <v>-79.527999999999992</v>
      </c>
      <c r="Y12" s="48" t="s">
        <v>67</v>
      </c>
      <c r="Z12" s="48">
        <v>6.0039000000000002E-4</v>
      </c>
      <c r="AA12" s="48" t="s">
        <v>67</v>
      </c>
      <c r="AB12" s="48">
        <v>0.16925000000000001</v>
      </c>
      <c r="AC12" s="48" t="s">
        <v>67</v>
      </c>
      <c r="AD12" s="48">
        <v>-1.9817</v>
      </c>
      <c r="AE12" s="48" t="s">
        <v>67</v>
      </c>
      <c r="AF12" s="48">
        <v>1.039E-2</v>
      </c>
      <c r="AG12" s="48" t="s">
        <v>67</v>
      </c>
      <c r="AH12" s="48">
        <v>3.5619999999999999E-2</v>
      </c>
      <c r="AI12" s="43" t="s">
        <v>68</v>
      </c>
    </row>
    <row r="13" spans="4:35">
      <c r="D13" s="43" t="s">
        <v>56</v>
      </c>
      <c r="E13" s="48">
        <v>4.8950000000000003E-4</v>
      </c>
      <c r="F13" s="48">
        <v>5.6599999999999999E-4</v>
      </c>
      <c r="G13" s="49">
        <v>1.48E-3</v>
      </c>
      <c r="H13" s="48">
        <v>1.0840000000000001E-2</v>
      </c>
      <c r="I13" s="48">
        <v>2.516E-3</v>
      </c>
      <c r="J13" s="48">
        <v>4.5166E-3</v>
      </c>
      <c r="K13" s="48">
        <v>1.039E-2</v>
      </c>
      <c r="L13" s="48">
        <v>9.6780000000000008E-3</v>
      </c>
      <c r="R13" s="44" t="s">
        <v>65</v>
      </c>
      <c r="S13" s="44" t="s">
        <v>66</v>
      </c>
      <c r="T13" s="48">
        <v>0.14412</v>
      </c>
      <c r="U13" s="48" t="s">
        <v>67</v>
      </c>
      <c r="V13" s="48">
        <v>1.3974</v>
      </c>
      <c r="W13" s="48" t="s">
        <v>67</v>
      </c>
      <c r="X13" s="48">
        <v>-98.38</v>
      </c>
      <c r="Y13" s="48" t="s">
        <v>67</v>
      </c>
      <c r="Z13" s="48">
        <v>4.0027999999999998E-4</v>
      </c>
      <c r="AA13" s="48" t="s">
        <v>67</v>
      </c>
      <c r="AB13" s="48">
        <v>0.19120999999999999</v>
      </c>
      <c r="AC13" s="48" t="s">
        <v>67</v>
      </c>
      <c r="AD13" s="48">
        <v>-2.6461000000000001</v>
      </c>
      <c r="AE13" s="48" t="s">
        <v>67</v>
      </c>
      <c r="AF13" s="48">
        <v>9.6780000000000008E-3</v>
      </c>
      <c r="AG13" s="48" t="s">
        <v>67</v>
      </c>
      <c r="AH13" s="48">
        <v>3.2648000000000003E-2</v>
      </c>
      <c r="AI13" s="43" t="s">
        <v>68</v>
      </c>
    </row>
    <row r="14" spans="4:35">
      <c r="D14" s="43" t="s">
        <v>57</v>
      </c>
      <c r="E14" s="48">
        <v>1.9580000000000001E-3</v>
      </c>
      <c r="F14" s="48">
        <v>1.838E-3</v>
      </c>
      <c r="G14" s="49">
        <v>6.7099999999999998E-3</v>
      </c>
      <c r="H14" s="48">
        <v>2.8648E-2</v>
      </c>
      <c r="I14" s="48">
        <v>1.6903999999999999E-2</v>
      </c>
      <c r="J14" s="48">
        <v>1.0324E-2</v>
      </c>
      <c r="K14" s="48">
        <v>3.5619999999999999E-2</v>
      </c>
      <c r="L14" s="48">
        <v>3.2648000000000003E-2</v>
      </c>
    </row>
    <row r="17" spans="4:20">
      <c r="E17" s="47"/>
      <c r="F17" s="47"/>
      <c r="G17" s="47"/>
      <c r="H17" s="47"/>
      <c r="I17" s="47"/>
      <c r="J17" s="47"/>
      <c r="K17" s="47"/>
      <c r="L17" s="47"/>
    </row>
    <row r="19" spans="4:20">
      <c r="D19" s="5" t="s">
        <v>78</v>
      </c>
      <c r="E19" s="5"/>
    </row>
    <row r="21" spans="4:20" ht="15.75" thickBot="1">
      <c r="D21" s="5" t="s">
        <v>79</v>
      </c>
    </row>
    <row r="22" spans="4:20">
      <c r="K22" s="50" t="s">
        <v>87</v>
      </c>
      <c r="L22" s="51"/>
      <c r="M22" s="52" t="s">
        <v>60</v>
      </c>
      <c r="N22" s="53"/>
    </row>
    <row r="23" spans="4:20">
      <c r="E23" s="43" t="s">
        <v>70</v>
      </c>
      <c r="F23" s="43" t="s">
        <v>71</v>
      </c>
      <c r="G23" s="43" t="s">
        <v>72</v>
      </c>
      <c r="K23" s="54" t="s">
        <v>71</v>
      </c>
      <c r="L23" s="55" t="s">
        <v>50</v>
      </c>
      <c r="M23" s="56">
        <v>0.14194399999999999</v>
      </c>
      <c r="N23" s="57"/>
    </row>
    <row r="24" spans="4:20">
      <c r="D24" s="43" t="s">
        <v>74</v>
      </c>
      <c r="E24" s="58">
        <f>G13</f>
        <v>1.48E-3</v>
      </c>
      <c r="F24" s="58">
        <f>G$7+G$8*E24+G$9*E24^2</f>
        <v>0.14647293201600001</v>
      </c>
      <c r="G24" s="59">
        <f t="shared" ref="G24:G33" si="0">G$10+G$11*E24+G$12*E24^2</f>
        <v>4.3801403199999995E-4</v>
      </c>
      <c r="K24" s="54"/>
      <c r="L24" s="55" t="s">
        <v>51</v>
      </c>
      <c r="M24" s="56">
        <f>635969/100000</f>
        <v>6.3596899999999996</v>
      </c>
      <c r="N24" s="57"/>
      <c r="T24" s="60"/>
    </row>
    <row r="25" spans="4:20">
      <c r="E25" s="58">
        <f t="shared" ref="E25:E32" si="1">E24+(E$33-E$24)/10</f>
        <v>2.003E-3</v>
      </c>
      <c r="F25" s="58">
        <f t="shared" ref="F25:F33" si="2">G$7+G$8*E25+G$9*E25^2</f>
        <v>0.14573784548485999</v>
      </c>
      <c r="G25" s="59">
        <f t="shared" si="0"/>
        <v>5.1899984457E-4</v>
      </c>
      <c r="K25" s="54"/>
      <c r="L25" s="55" t="s">
        <v>52</v>
      </c>
      <c r="M25" s="56">
        <f>-222946/100</f>
        <v>-2229.46</v>
      </c>
      <c r="N25" s="57"/>
      <c r="T25" s="60"/>
    </row>
    <row r="26" spans="4:20">
      <c r="E26" s="58">
        <f t="shared" si="1"/>
        <v>2.526E-3</v>
      </c>
      <c r="F26" s="58">
        <f t="shared" si="2"/>
        <v>0.14378311502503999</v>
      </c>
      <c r="G26" s="59">
        <f t="shared" si="0"/>
        <v>5.9272619747999993E-4</v>
      </c>
      <c r="K26" s="54"/>
      <c r="L26" s="55"/>
      <c r="M26" s="55"/>
      <c r="N26" s="57"/>
      <c r="T26" s="60"/>
    </row>
    <row r="27" spans="4:20">
      <c r="E27" s="58">
        <f t="shared" si="1"/>
        <v>3.0490000000000001E-3</v>
      </c>
      <c r="F27" s="58">
        <f t="shared" si="2"/>
        <v>0.14060874063654</v>
      </c>
      <c r="G27" s="59">
        <f t="shared" si="0"/>
        <v>6.5919309072999999E-4</v>
      </c>
      <c r="K27" s="61" t="s">
        <v>82</v>
      </c>
      <c r="L27" s="55">
        <v>4237</v>
      </c>
      <c r="M27" s="62">
        <f>L27*2*PI()/60</f>
        <v>443.69760244199841</v>
      </c>
      <c r="N27" s="57" t="s">
        <v>75</v>
      </c>
      <c r="T27" s="60"/>
    </row>
    <row r="28" spans="4:20">
      <c r="E28" s="58">
        <f t="shared" si="1"/>
        <v>3.5720000000000001E-3</v>
      </c>
      <c r="F28" s="58">
        <f t="shared" si="2"/>
        <v>0.13621472231935999</v>
      </c>
      <c r="G28" s="59">
        <f t="shared" si="0"/>
        <v>7.1840052432000008E-4</v>
      </c>
      <c r="K28" s="54" t="s">
        <v>81</v>
      </c>
      <c r="L28" s="55"/>
      <c r="M28" s="63">
        <v>1.3</v>
      </c>
      <c r="N28" s="57" t="s">
        <v>76</v>
      </c>
    </row>
    <row r="29" spans="4:20">
      <c r="E29" s="58">
        <f t="shared" si="1"/>
        <v>4.0949999999999997E-3</v>
      </c>
      <c r="F29" s="58">
        <f t="shared" si="2"/>
        <v>0.13060106007349997</v>
      </c>
      <c r="G29" s="59">
        <f t="shared" si="0"/>
        <v>7.7034849824999998E-4</v>
      </c>
      <c r="K29" s="54" t="s">
        <v>83</v>
      </c>
      <c r="L29" s="55"/>
      <c r="M29" s="55">
        <v>0.92</v>
      </c>
      <c r="N29" s="57" t="s">
        <v>77</v>
      </c>
    </row>
    <row r="30" spans="4:20">
      <c r="E30" s="58">
        <f t="shared" si="1"/>
        <v>4.6179999999999997E-3</v>
      </c>
      <c r="F30" s="58">
        <f t="shared" si="2"/>
        <v>0.12376775389895997</v>
      </c>
      <c r="G30" s="59">
        <f t="shared" si="0"/>
        <v>8.1503701252000002E-4</v>
      </c>
      <c r="K30" s="54" t="s">
        <v>80</v>
      </c>
      <c r="L30" s="55"/>
      <c r="M30" s="55">
        <v>0.94799999999999995</v>
      </c>
      <c r="N30" s="57" t="s">
        <v>7</v>
      </c>
    </row>
    <row r="31" spans="4:20">
      <c r="E31" s="58">
        <f t="shared" si="1"/>
        <v>5.1409999999999997E-3</v>
      </c>
      <c r="F31" s="58">
        <f t="shared" si="2"/>
        <v>0.11571480379573998</v>
      </c>
      <c r="G31" s="59">
        <f t="shared" si="0"/>
        <v>8.5246606712999988E-4</v>
      </c>
      <c r="K31" s="54"/>
      <c r="L31" s="55"/>
      <c r="M31" s="55"/>
      <c r="N31" s="57"/>
    </row>
    <row r="32" spans="4:20">
      <c r="E32" s="58">
        <f t="shared" si="1"/>
        <v>5.6639999999999998E-3</v>
      </c>
      <c r="F32" s="58">
        <f t="shared" si="2"/>
        <v>0.10644220976384</v>
      </c>
      <c r="G32" s="59">
        <f t="shared" si="0"/>
        <v>8.8263566207999998E-4</v>
      </c>
      <c r="K32" s="54" t="s">
        <v>84</v>
      </c>
      <c r="L32" s="55"/>
      <c r="M32" s="55">
        <f>M28/(M29^3*M27)</f>
        <v>3.7626410413781398E-3</v>
      </c>
      <c r="N32" s="57" t="s">
        <v>16</v>
      </c>
    </row>
    <row r="33" spans="3:14">
      <c r="D33" s="43" t="s">
        <v>73</v>
      </c>
      <c r="E33" s="58">
        <f>G14</f>
        <v>6.7099999999999998E-3</v>
      </c>
      <c r="F33" s="58">
        <f t="shared" si="2"/>
        <v>8.4238089913999975E-2</v>
      </c>
      <c r="G33" s="59">
        <f t="shared" si="0"/>
        <v>9.2119647299999995E-4</v>
      </c>
      <c r="K33" s="54"/>
      <c r="L33" s="55"/>
      <c r="M33" s="55"/>
      <c r="N33" s="57"/>
    </row>
    <row r="34" spans="3:14">
      <c r="G34" s="64"/>
      <c r="K34" s="54" t="s">
        <v>85</v>
      </c>
      <c r="L34" s="55"/>
      <c r="M34" s="55" t="str">
        <f>IF(M32&lt;E33,"OK","NOT OK")</f>
        <v>OK</v>
      </c>
      <c r="N34" s="57"/>
    </row>
    <row r="35" spans="3:14" ht="15.75" thickBot="1">
      <c r="K35" s="65" t="s">
        <v>86</v>
      </c>
      <c r="L35" s="66"/>
      <c r="M35" s="66" t="str">
        <f>IF(M32&gt;E24,"OK","NOT OK")</f>
        <v>OK</v>
      </c>
      <c r="N35" s="67"/>
    </row>
    <row r="38" spans="3:14" ht="15.75" thickBot="1">
      <c r="C38" s="68"/>
    </row>
    <row r="39" spans="3:14">
      <c r="K39" s="50" t="s">
        <v>88</v>
      </c>
      <c r="L39" s="51">
        <v>0.13059999999999999</v>
      </c>
      <c r="M39" s="51"/>
      <c r="N39" s="53"/>
    </row>
    <row r="40" spans="3:14" ht="15.75" thickBot="1">
      <c r="E40" s="58"/>
      <c r="K40" s="65" t="s">
        <v>89</v>
      </c>
      <c r="L40" s="69">
        <f>L39*M30*M29^2*M27^2</f>
        <v>20630.099990082937</v>
      </c>
      <c r="M40" s="66" t="s">
        <v>5</v>
      </c>
      <c r="N40" s="67"/>
    </row>
    <row r="42" spans="3:14" ht="15.75" thickBot="1"/>
    <row r="43" spans="3:14">
      <c r="K43" s="50" t="s">
        <v>90</v>
      </c>
      <c r="L43" s="51" t="s">
        <v>91</v>
      </c>
      <c r="M43" s="70">
        <f>M30*M29^2*M27^2*M23</f>
        <v>22422.043744198563</v>
      </c>
      <c r="N43" s="53" t="s">
        <v>5</v>
      </c>
    </row>
    <row r="44" spans="3:14">
      <c r="K44" s="54"/>
      <c r="L44" s="55" t="s">
        <v>92</v>
      </c>
      <c r="M44" s="62">
        <f>M30*M27/M29*M24*M28</f>
        <v>3779.9572745436003</v>
      </c>
      <c r="N44" s="57" t="s">
        <v>5</v>
      </c>
    </row>
    <row r="45" spans="3:14" ht="15.75" thickBot="1">
      <c r="K45" s="54"/>
      <c r="L45" s="55" t="s">
        <v>93</v>
      </c>
      <c r="M45" s="69">
        <f>M30/M29^4*M25*M28^2</f>
        <v>-4985.8983192687992</v>
      </c>
      <c r="N45" s="57" t="s">
        <v>5</v>
      </c>
    </row>
    <row r="46" spans="3:14" ht="15.75" thickBot="1">
      <c r="K46" s="65"/>
      <c r="L46" s="66"/>
      <c r="M46" s="69">
        <f>SUM(M43:M45)</f>
        <v>21216.102699473366</v>
      </c>
      <c r="N46" s="67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Willi Bohl</vt:lpstr>
      <vt:lpstr>T16B</vt:lpstr>
      <vt:lpstr>H.Geljon</vt:lpstr>
      <vt:lpstr>'Willi Bohl'!Print_Area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GP</cp:lastModifiedBy>
  <cp:lastPrinted>2015-11-21T20:34:01Z</cp:lastPrinted>
  <dcterms:created xsi:type="dcterms:W3CDTF">2015-11-07T09:22:53Z</dcterms:created>
  <dcterms:modified xsi:type="dcterms:W3CDTF">2015-11-28T09:50:34Z</dcterms:modified>
</cp:coreProperties>
</file>