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rojecten\16.0000\P16.0078 Tecnimont India 3698 KIMA Startup blwr\Instruments\Anti_surge_Control_GP\"/>
    </mc:Choice>
  </mc:AlternateContent>
  <bookViews>
    <workbookView xWindow="0" yWindow="75" windowWidth="23955" windowHeight="9270"/>
  </bookViews>
  <sheets>
    <sheet name="Blad1 (2)" sheetId="4" r:id="rId1"/>
    <sheet name="Blad1" sheetId="1" r:id="rId2"/>
    <sheet name="Blad2" sheetId="2" r:id="rId3"/>
    <sheet name="Blad3" sheetId="3" r:id="rId4"/>
  </sheets>
  <definedNames>
    <definedName name="_xlnm.Print_Area" localSheetId="0">'Blad1 (2)'!$A$1:$AG$62</definedName>
  </definedNames>
  <calcPr calcId="171027" iterate="1"/>
</workbook>
</file>

<file path=xl/calcChain.xml><?xml version="1.0" encoding="utf-8"?>
<calcChain xmlns="http://schemas.openxmlformats.org/spreadsheetml/2006/main">
  <c r="L5" i="4" l="1"/>
  <c r="S27" i="4"/>
  <c r="T27" i="4" s="1"/>
  <c r="S39" i="4"/>
  <c r="N36" i="1"/>
  <c r="N27" i="1"/>
  <c r="H49" i="4"/>
  <c r="C54" i="4" s="1"/>
  <c r="V8" i="4"/>
  <c r="T39" i="4" s="1"/>
  <c r="E51" i="4"/>
  <c r="R55" i="4" s="1"/>
  <c r="T55" i="4" s="1"/>
  <c r="D56" i="4" s="1"/>
  <c r="I47" i="4"/>
  <c r="G47" i="4"/>
  <c r="E47" i="4"/>
  <c r="S45" i="4"/>
  <c r="S46" i="4" s="1"/>
  <c r="S47" i="4" s="1"/>
  <c r="U47" i="4" s="1"/>
  <c r="T41" i="4"/>
  <c r="T42" i="4" s="1"/>
  <c r="W40" i="4"/>
  <c r="W39" i="4"/>
  <c r="S36" i="4"/>
  <c r="T37" i="4" s="1"/>
  <c r="T29" i="4"/>
  <c r="T26" i="4"/>
  <c r="I16" i="4"/>
  <c r="J16" i="4" s="1"/>
  <c r="N16" i="4" s="1"/>
  <c r="O16" i="4" s="1"/>
  <c r="I15" i="4"/>
  <c r="J15" i="4" s="1"/>
  <c r="L15" i="4" s="1"/>
  <c r="M15" i="4" s="1"/>
  <c r="I14" i="4"/>
  <c r="J14" i="4" s="1"/>
  <c r="K14" i="4" s="1"/>
  <c r="I13" i="4"/>
  <c r="J13" i="4" s="1"/>
  <c r="K13" i="4" s="1"/>
  <c r="I12" i="4"/>
  <c r="J12" i="4" s="1"/>
  <c r="L12" i="4" s="1"/>
  <c r="M12" i="4" s="1"/>
  <c r="I11" i="4"/>
  <c r="J11" i="4" s="1"/>
  <c r="L11" i="4" s="1"/>
  <c r="M11" i="4" s="1"/>
  <c r="I10" i="4"/>
  <c r="J10" i="4" s="1"/>
  <c r="K10" i="4" s="1"/>
  <c r="I9" i="4"/>
  <c r="J9" i="4" s="1"/>
  <c r="N9" i="4" s="1"/>
  <c r="O9" i="4" s="1"/>
  <c r="I8" i="4"/>
  <c r="J8" i="4" s="1"/>
  <c r="N8" i="4" s="1"/>
  <c r="O8" i="4" s="1"/>
  <c r="F16" i="4"/>
  <c r="G16" i="4" s="1"/>
  <c r="I7" i="4"/>
  <c r="J7" i="4" s="1"/>
  <c r="I7" i="1"/>
  <c r="T7" i="1"/>
  <c r="O40" i="1"/>
  <c r="N40" i="1" s="1"/>
  <c r="O41" i="1"/>
  <c r="O42" i="1" s="1"/>
  <c r="O39" i="1"/>
  <c r="N39" i="1"/>
  <c r="R40" i="1"/>
  <c r="R39" i="1"/>
  <c r="N46" i="1"/>
  <c r="N47" i="1" s="1"/>
  <c r="P47" i="1" s="1"/>
  <c r="H49" i="1"/>
  <c r="L9" i="1" s="1"/>
  <c r="E51" i="1"/>
  <c r="M54" i="1" s="1"/>
  <c r="O54" i="1" s="1"/>
  <c r="N45" i="1"/>
  <c r="J17" i="4" l="1"/>
  <c r="N7" i="4"/>
  <c r="O7" i="4" s="1"/>
  <c r="K7" i="4"/>
  <c r="L7" i="4"/>
  <c r="M9" i="4"/>
  <c r="M56" i="1"/>
  <c r="O56" i="1" s="1"/>
  <c r="D57" i="1" s="1"/>
  <c r="F7" i="1"/>
  <c r="G7" i="1" s="1"/>
  <c r="S28" i="4"/>
  <c r="T28" i="4" s="1"/>
  <c r="L16" i="1"/>
  <c r="L8" i="1"/>
  <c r="K9" i="4"/>
  <c r="L10" i="4"/>
  <c r="M10" i="4" s="1"/>
  <c r="N15" i="4"/>
  <c r="O15" i="4" s="1"/>
  <c r="M55" i="1"/>
  <c r="O55" i="1" s="1"/>
  <c r="M57" i="1"/>
  <c r="O57" i="1" s="1"/>
  <c r="L15" i="1"/>
  <c r="L9" i="4"/>
  <c r="N14" i="4"/>
  <c r="O14" i="4" s="1"/>
  <c r="L12" i="1"/>
  <c r="L14" i="1"/>
  <c r="L16" i="4"/>
  <c r="M16" i="4" s="1"/>
  <c r="L8" i="4"/>
  <c r="M8" i="4" s="1"/>
  <c r="N13" i="4"/>
  <c r="O13" i="4" s="1"/>
  <c r="M7" i="4"/>
  <c r="N12" i="4"/>
  <c r="O12" i="4" s="1"/>
  <c r="L14" i="4"/>
  <c r="M14" i="4" s="1"/>
  <c r="N11" i="4"/>
  <c r="O11" i="4" s="1"/>
  <c r="L13" i="1"/>
  <c r="T40" i="4"/>
  <c r="L11" i="1"/>
  <c r="L13" i="4"/>
  <c r="M13" i="4" s="1"/>
  <c r="N10" i="4"/>
  <c r="O10" i="4" s="1"/>
  <c r="L10" i="1"/>
  <c r="L7" i="1"/>
  <c r="F7" i="4"/>
  <c r="G7" i="4" s="1"/>
  <c r="Q7" i="4" s="1"/>
  <c r="K16" i="4"/>
  <c r="K12" i="4"/>
  <c r="K8" i="4"/>
  <c r="K15" i="4"/>
  <c r="K11" i="4"/>
  <c r="S40" i="4"/>
  <c r="R56" i="4"/>
  <c r="T56" i="4" s="1"/>
  <c r="D57" i="4" s="1"/>
  <c r="F57" i="4" s="1"/>
  <c r="G57" i="4" s="1"/>
  <c r="H57" i="4" s="1"/>
  <c r="I57" i="4" s="1"/>
  <c r="Q16" i="4"/>
  <c r="F56" i="4"/>
  <c r="G56" i="4" s="1"/>
  <c r="H56" i="4" s="1"/>
  <c r="I56" i="4" s="1"/>
  <c r="F54" i="4"/>
  <c r="G54" i="4" s="1"/>
  <c r="H54" i="4" s="1"/>
  <c r="I54" i="4" s="1"/>
  <c r="R54" i="4"/>
  <c r="T54" i="4" s="1"/>
  <c r="R57" i="4"/>
  <c r="T57" i="4" s="1"/>
  <c r="F8" i="4"/>
  <c r="F9" i="4"/>
  <c r="F10" i="4"/>
  <c r="F11" i="4"/>
  <c r="F12" i="4"/>
  <c r="F13" i="4"/>
  <c r="F14" i="4"/>
  <c r="F15" i="4"/>
  <c r="F55" i="4"/>
  <c r="G55" i="4" s="1"/>
  <c r="H55" i="4" s="1"/>
  <c r="I55" i="4" s="1"/>
  <c r="L17" i="4" l="1"/>
  <c r="G12" i="4"/>
  <c r="Q12" i="4" s="1"/>
  <c r="G8" i="4"/>
  <c r="Q8" i="4" s="1"/>
  <c r="G13" i="4"/>
  <c r="Q13" i="4" s="1"/>
  <c r="G9" i="4"/>
  <c r="Q9" i="4" s="1"/>
  <c r="G10" i="4"/>
  <c r="Q10" i="4" s="1"/>
  <c r="G14" i="4"/>
  <c r="Q14" i="4" s="1"/>
  <c r="G15" i="4"/>
  <c r="Q15" i="4" s="1"/>
  <c r="G11" i="4"/>
  <c r="Q11" i="4" s="1"/>
  <c r="I47" i="1"/>
  <c r="G47" i="1"/>
  <c r="E47" i="1"/>
  <c r="D56" i="1"/>
  <c r="J7" i="1"/>
  <c r="I8" i="1"/>
  <c r="I9" i="1"/>
  <c r="I10" i="1"/>
  <c r="F10" i="1" s="1"/>
  <c r="G10" i="1" s="1"/>
  <c r="I11" i="1"/>
  <c r="I12" i="1"/>
  <c r="I13" i="1"/>
  <c r="I14" i="1"/>
  <c r="I15" i="1"/>
  <c r="I16" i="1"/>
  <c r="O29" i="1"/>
  <c r="O26" i="1"/>
  <c r="O27" i="1"/>
  <c r="J13" i="1" l="1"/>
  <c r="F13" i="1"/>
  <c r="G13" i="1" s="1"/>
  <c r="F57" i="1"/>
  <c r="G57" i="1" s="1"/>
  <c r="J8" i="1"/>
  <c r="F8" i="1"/>
  <c r="G8" i="1" s="1"/>
  <c r="J15" i="1"/>
  <c r="F15" i="1"/>
  <c r="G15" i="1" s="1"/>
  <c r="J12" i="1"/>
  <c r="F12" i="1"/>
  <c r="G12" i="1" s="1"/>
  <c r="J11" i="1"/>
  <c r="F11" i="1"/>
  <c r="G11" i="1" s="1"/>
  <c r="J14" i="1"/>
  <c r="F14" i="1"/>
  <c r="G14" i="1" s="1"/>
  <c r="J16" i="1"/>
  <c r="F16" i="1"/>
  <c r="G16" i="1" s="1"/>
  <c r="J10" i="1"/>
  <c r="J9" i="1"/>
  <c r="F9" i="1"/>
  <c r="G9" i="1" s="1"/>
  <c r="F55" i="1"/>
  <c r="G55" i="1" s="1"/>
  <c r="H55" i="1" s="1"/>
  <c r="I55" i="1" s="1"/>
  <c r="N28" i="1"/>
  <c r="O28" i="1" s="1"/>
  <c r="C54" i="1"/>
  <c r="F54" i="1" s="1"/>
  <c r="F56" i="1"/>
  <c r="G56" i="1" s="1"/>
  <c r="H56" i="1" s="1"/>
  <c r="I56" i="1" s="1"/>
  <c r="I57" i="1" l="1"/>
  <c r="H57" i="1"/>
  <c r="G54" i="1"/>
  <c r="H54" i="1" s="1"/>
  <c r="I54" i="1" s="1"/>
</calcChain>
</file>

<file path=xl/sharedStrings.xml><?xml version="1.0" encoding="utf-8"?>
<sst xmlns="http://schemas.openxmlformats.org/spreadsheetml/2006/main" count="280" uniqueCount="102">
  <si>
    <t>suction</t>
  </si>
  <si>
    <t>discharge</t>
  </si>
  <si>
    <t>Shaft</t>
  </si>
  <si>
    <t>Discharge</t>
  </si>
  <si>
    <t>vol.flow</t>
  </si>
  <si>
    <t>pressure</t>
  </si>
  <si>
    <t>power</t>
  </si>
  <si>
    <t>temp.</t>
  </si>
  <si>
    <t>am3/s</t>
  </si>
  <si>
    <t>am3/h</t>
  </si>
  <si>
    <t>mbar+</t>
  </si>
  <si>
    <t>kW</t>
  </si>
  <si>
    <t>Inlet pressure (bat. limit)</t>
  </si>
  <si>
    <t>Pa (g)</t>
  </si>
  <si>
    <t>Pa</t>
  </si>
  <si>
    <t>Inlet blower</t>
  </si>
  <si>
    <t>Pressure</t>
  </si>
  <si>
    <t>Density</t>
  </si>
  <si>
    <t>kg/Am³</t>
  </si>
  <si>
    <t>Flow</t>
  </si>
  <si>
    <t>Am³/h</t>
  </si>
  <si>
    <t>Outlet blower</t>
  </si>
  <si>
    <t>Pressure upst. Valve</t>
  </si>
  <si>
    <t>Outlet pressure (bat. limit)</t>
  </si>
  <si>
    <t>Current - Normal Case</t>
  </si>
  <si>
    <t>Dp inlet accessories</t>
  </si>
  <si>
    <t>Dp inlet control valve</t>
  </si>
  <si>
    <t>Dp outlet accessories</t>
  </si>
  <si>
    <t>Dp outlet control valve</t>
  </si>
  <si>
    <t>Δp</t>
  </si>
  <si>
    <r>
      <t>ρ</t>
    </r>
    <r>
      <rPr>
        <vertAlign val="subscript"/>
        <sz val="11"/>
        <color theme="1"/>
        <rFont val="Calibri"/>
        <family val="2"/>
      </rPr>
      <t>in</t>
    </r>
    <r>
      <rPr>
        <sz val="11"/>
        <color theme="1"/>
        <rFont val="Calibri"/>
        <family val="2"/>
      </rPr>
      <t>·qv</t>
    </r>
    <r>
      <rPr>
        <vertAlign val="subscript"/>
        <sz val="11"/>
        <color theme="1"/>
        <rFont val="Calibri"/>
        <family val="2"/>
      </rPr>
      <t>in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/Δp</t>
    </r>
  </si>
  <si>
    <t>margin 1</t>
  </si>
  <si>
    <t>margin 2</t>
  </si>
  <si>
    <t>SLV2=SLV1*(1+margin1)</t>
  </si>
  <si>
    <t>SLV3=SLV2*(1+margin1)</t>
  </si>
  <si>
    <t>SLV1</t>
  </si>
  <si>
    <t>&lt;--</t>
  </si>
  <si>
    <t>design point</t>
  </si>
  <si>
    <t>m4</t>
  </si>
  <si>
    <t>Am3/h</t>
  </si>
  <si>
    <t>kg/m3</t>
  </si>
  <si>
    <t>System curve</t>
  </si>
  <si>
    <t>kg/Am3</t>
  </si>
  <si>
    <t>Fan curve</t>
  </si>
  <si>
    <t>Δp=</t>
  </si>
  <si>
    <t>Q^2 +</t>
  </si>
  <si>
    <t>Q+</t>
  </si>
  <si>
    <t>Q^2</t>
  </si>
  <si>
    <t>Δp/ρ=</t>
  </si>
  <si>
    <t>1/(Ksystem+Kbypass)^2</t>
  </si>
  <si>
    <t>=</t>
  </si>
  <si>
    <t>Ksystem</t>
  </si>
  <si>
    <t>Ksystem=</t>
  </si>
  <si>
    <r>
      <t>Q/(</t>
    </r>
    <r>
      <rPr>
        <sz val="11"/>
        <color theme="1"/>
        <rFont val="Calibri"/>
        <family val="2"/>
      </rPr>
      <t>Δp/ρ)^0,5</t>
    </r>
  </si>
  <si>
    <t>Bypass</t>
  </si>
  <si>
    <t>Kbypass=</t>
  </si>
  <si>
    <t>Kbypass</t>
  </si>
  <si>
    <t>--&gt;</t>
  </si>
  <si>
    <t>Q</t>
  </si>
  <si>
    <t>a</t>
  </si>
  <si>
    <t>Operating point</t>
  </si>
  <si>
    <t>Δp/ρ</t>
  </si>
  <si>
    <t>output ASC</t>
  </si>
  <si>
    <t>Kbypass_new</t>
  </si>
  <si>
    <t>dashed lines in graph</t>
  </si>
  <si>
    <t>Step</t>
  </si>
  <si>
    <t>valve</t>
  </si>
  <si>
    <t>stroke</t>
  </si>
  <si>
    <t>Kv waarden Blow Off Valve (Masoneilan 35002 series)</t>
  </si>
  <si>
    <t>Diameter</t>
  </si>
  <si>
    <t>[Inch]</t>
  </si>
  <si>
    <t>[mm]</t>
  </si>
  <si>
    <t>Orifice</t>
  </si>
  <si>
    <t>Cv bij opening</t>
  </si>
  <si>
    <t>Valve stroke</t>
  </si>
  <si>
    <t>%stroke=</t>
  </si>
  <si>
    <t>valve K*</t>
  </si>
  <si>
    <t>mA +</t>
  </si>
  <si>
    <t>4-20mA</t>
  </si>
  <si>
    <t>NB</t>
  </si>
  <si>
    <t>The flow resistance of the bypass has been assumed to equal the flow resistance of the blow off valve.</t>
  </si>
  <si>
    <t>mass flow</t>
  </si>
  <si>
    <t>kg/s</t>
  </si>
  <si>
    <t>density</t>
  </si>
  <si>
    <t>C</t>
  </si>
  <si>
    <t>Tin</t>
  </si>
  <si>
    <t>Temperature</t>
  </si>
  <si>
    <t>Pa(a)</t>
  </si>
  <si>
    <t>Pa(g)</t>
  </si>
  <si>
    <t>System</t>
  </si>
  <si>
    <t>curve</t>
  </si>
  <si>
    <r>
      <t>Qout/(</t>
    </r>
    <r>
      <rPr>
        <sz val="11"/>
        <color theme="1"/>
        <rFont val="Calibri"/>
        <family val="2"/>
      </rPr>
      <t>Δp/ρout)^0,5</t>
    </r>
  </si>
  <si>
    <t>R</t>
  </si>
  <si>
    <t>qvin/qvout</t>
  </si>
  <si>
    <t>DEV</t>
  </si>
  <si>
    <t>SLV3-R</t>
  </si>
  <si>
    <t>SLV3</t>
  </si>
  <si>
    <t>DEV*</t>
  </si>
  <si>
    <t>DEV**</t>
  </si>
  <si>
    <t>Note: SLV's in software defined in terms of R, not as qvin</t>
  </si>
  <si>
    <t>R^(X)</t>
  </si>
  <si>
    <t>(1000/R)^X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</si>
</sst>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#,##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4"/>
      <name val="Helv"/>
    </font>
    <font>
      <b/>
      <sz val="10"/>
      <color indexed="8"/>
      <name val="Arial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</cellStyleXfs>
  <cellXfs count="1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5" xfId="0" applyBorder="1"/>
    <xf numFmtId="11" fontId="0" fillId="0" borderId="4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11" fontId="0" fillId="0" borderId="6" xfId="0" applyNumberFormat="1" applyBorder="1"/>
    <xf numFmtId="1" fontId="0" fillId="0" borderId="7" xfId="0" applyNumberFormat="1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2" fillId="2" borderId="1" xfId="1" applyFont="1" applyFill="1" applyBorder="1" applyProtection="1"/>
    <xf numFmtId="0" fontId="2" fillId="2" borderId="2" xfId="1" applyFont="1" applyFill="1" applyBorder="1" applyProtection="1"/>
    <xf numFmtId="0" fontId="2" fillId="2" borderId="2" xfId="2" applyFont="1" applyFill="1" applyBorder="1" applyAlignment="1" applyProtection="1">
      <alignment horizontal="right"/>
    </xf>
    <xf numFmtId="0" fontId="1" fillId="2" borderId="4" xfId="1" applyFont="1" applyFill="1" applyBorder="1" applyProtection="1"/>
    <xf numFmtId="0" fontId="3" fillId="2" borderId="0" xfId="3" applyFont="1" applyFill="1" applyBorder="1" applyAlignment="1" applyProtection="1">
      <alignment horizontal="left" vertical="center"/>
    </xf>
    <xf numFmtId="1" fontId="4" fillId="2" borderId="0" xfId="3" applyNumberFormat="1" applyFont="1" applyFill="1" applyBorder="1" applyAlignment="1" applyProtection="1">
      <alignment horizontal="right" vertical="center"/>
    </xf>
    <xf numFmtId="0" fontId="1" fillId="2" borderId="4" xfId="3" applyFont="1" applyFill="1" applyBorder="1" applyAlignment="1" applyProtection="1">
      <alignment horizontal="left" vertical="center"/>
    </xf>
    <xf numFmtId="0" fontId="1" fillId="2" borderId="0" xfId="1" applyFont="1" applyFill="1" applyBorder="1"/>
    <xf numFmtId="3" fontId="4" fillId="2" borderId="0" xfId="1" applyNumberFormat="1" applyFont="1" applyFill="1" applyBorder="1" applyAlignment="1" applyProtection="1">
      <alignment vertical="center"/>
    </xf>
    <xf numFmtId="0" fontId="1" fillId="2" borderId="5" xfId="1" applyFont="1" applyFill="1" applyBorder="1"/>
    <xf numFmtId="0" fontId="1" fillId="2" borderId="1" xfId="3" applyFont="1" applyFill="1" applyBorder="1" applyAlignment="1" applyProtection="1">
      <alignment horizontal="left" vertical="center"/>
    </xf>
    <xf numFmtId="0" fontId="1" fillId="2" borderId="2" xfId="1" applyFont="1" applyFill="1" applyBorder="1"/>
    <xf numFmtId="3" fontId="6" fillId="2" borderId="2" xfId="1" applyNumberFormat="1" applyFont="1" applyFill="1" applyBorder="1" applyAlignment="1" applyProtection="1">
      <alignment vertical="center"/>
    </xf>
    <xf numFmtId="0" fontId="1" fillId="2" borderId="3" xfId="1" applyFont="1" applyFill="1" applyBorder="1"/>
    <xf numFmtId="166" fontId="4" fillId="2" borderId="0" xfId="1" applyNumberFormat="1" applyFont="1" applyFill="1" applyBorder="1" applyAlignment="1" applyProtection="1">
      <alignment vertical="center"/>
    </xf>
    <xf numFmtId="0" fontId="1" fillId="2" borderId="6" xfId="3" applyFont="1" applyFill="1" applyBorder="1" applyAlignment="1" applyProtection="1">
      <alignment horizontal="left" vertical="center"/>
    </xf>
    <xf numFmtId="0" fontId="1" fillId="2" borderId="7" xfId="1" applyFont="1" applyFill="1" applyBorder="1"/>
    <xf numFmtId="3" fontId="4" fillId="2" borderId="7" xfId="1" applyNumberFormat="1" applyFont="1" applyFill="1" applyBorder="1" applyAlignment="1" applyProtection="1">
      <alignment vertical="center"/>
    </xf>
    <xf numFmtId="0" fontId="1" fillId="2" borderId="8" xfId="1" applyFont="1" applyFill="1" applyBorder="1"/>
    <xf numFmtId="3" fontId="4" fillId="2" borderId="2" xfId="1" applyNumberFormat="1" applyFont="1" applyFill="1" applyBorder="1" applyAlignment="1" applyProtection="1">
      <alignment vertical="center"/>
    </xf>
    <xf numFmtId="0" fontId="1" fillId="2" borderId="4" xfId="1" applyFont="1" applyFill="1" applyBorder="1"/>
    <xf numFmtId="0" fontId="1" fillId="2" borderId="0" xfId="1" applyFill="1" applyBorder="1"/>
    <xf numFmtId="3" fontId="6" fillId="2" borderId="0" xfId="1" applyNumberFormat="1" applyFont="1" applyFill="1" applyBorder="1" applyAlignment="1">
      <alignment vertical="center"/>
    </xf>
    <xf numFmtId="3" fontId="2" fillId="2" borderId="7" xfId="1" applyNumberFormat="1" applyFont="1" applyFill="1" applyBorder="1" applyAlignment="1">
      <alignment vertical="center"/>
    </xf>
    <xf numFmtId="0" fontId="1" fillId="2" borderId="6" xfId="1" applyFont="1" applyFill="1" applyBorder="1"/>
    <xf numFmtId="0" fontId="1" fillId="2" borderId="7" xfId="1" applyFill="1" applyBorder="1"/>
    <xf numFmtId="3" fontId="4" fillId="2" borderId="7" xfId="1" applyNumberFormat="1" applyFont="1" applyFill="1" applyBorder="1" applyAlignment="1">
      <alignment horizontal="right" vertical="center"/>
    </xf>
    <xf numFmtId="0" fontId="0" fillId="0" borderId="0" xfId="0" quotePrefix="1"/>
    <xf numFmtId="0" fontId="0" fillId="0" borderId="0" xfId="0" applyAlignment="1">
      <alignment horizontal="right"/>
    </xf>
    <xf numFmtId="0" fontId="7" fillId="0" borderId="0" xfId="0" applyFont="1" applyBorder="1"/>
    <xf numFmtId="0" fontId="1" fillId="2" borderId="2" xfId="2" applyFont="1" applyFill="1" applyBorder="1" applyAlignment="1" applyProtection="1">
      <alignment horizontal="left" indent="1"/>
    </xf>
    <xf numFmtId="0" fontId="1" fillId="2" borderId="2" xfId="2" applyFont="1" applyFill="1" applyBorder="1" applyProtection="1"/>
    <xf numFmtId="0" fontId="1" fillId="2" borderId="3" xfId="2" applyFont="1" applyFill="1" applyBorder="1" applyProtection="1"/>
    <xf numFmtId="2" fontId="1" fillId="2" borderId="7" xfId="1" applyNumberFormat="1" applyFont="1" applyFill="1" applyBorder="1" applyAlignment="1">
      <alignment vertical="center"/>
    </xf>
    <xf numFmtId="0" fontId="1" fillId="2" borderId="0" xfId="4" applyFont="1" applyFill="1" applyBorder="1" applyAlignment="1" applyProtection="1">
      <alignment horizontal="left" vertical="center"/>
    </xf>
    <xf numFmtId="0" fontId="1" fillId="2" borderId="5" xfId="4" applyFont="1" applyFill="1" applyBorder="1" applyAlignment="1" applyProtection="1">
      <alignment horizontal="left" vertical="center"/>
    </xf>
    <xf numFmtId="2" fontId="1" fillId="3" borderId="0" xfId="4" applyNumberFormat="1" applyFont="1" applyFill="1" applyBorder="1" applyAlignment="1" applyProtection="1">
      <alignment horizontal="right" vertical="center"/>
    </xf>
    <xf numFmtId="2" fontId="1" fillId="2" borderId="0" xfId="4" applyNumberFormat="1" applyFont="1" applyFill="1" applyBorder="1" applyAlignment="1" applyProtection="1">
      <alignment horizontal="right" vertical="center"/>
    </xf>
    <xf numFmtId="0" fontId="1" fillId="2" borderId="7" xfId="4" applyFont="1" applyFill="1" applyBorder="1" applyAlignment="1" applyProtection="1">
      <alignment horizontal="left" vertical="center"/>
    </xf>
    <xf numFmtId="0" fontId="1" fillId="2" borderId="8" xfId="4" applyFont="1" applyFill="1" applyBorder="1" applyAlignment="1" applyProtection="1">
      <alignment horizontal="left" vertical="center"/>
    </xf>
    <xf numFmtId="0" fontId="0" fillId="0" borderId="6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0" fillId="0" borderId="4" xfId="0" applyBorder="1"/>
    <xf numFmtId="1" fontId="0" fillId="0" borderId="0" xfId="0" applyNumberFormat="1"/>
    <xf numFmtId="0" fontId="0" fillId="0" borderId="0" xfId="0" quotePrefix="1" applyAlignment="1">
      <alignment horizontal="center"/>
    </xf>
    <xf numFmtId="0" fontId="10" fillId="0" borderId="1" xfId="0" applyFont="1" applyBorder="1" applyAlignment="1">
      <alignment horizontal="left"/>
    </xf>
    <xf numFmtId="9" fontId="0" fillId="3" borderId="2" xfId="0" applyNumberFormat="1" applyFill="1" applyBorder="1"/>
    <xf numFmtId="9" fontId="0" fillId="3" borderId="0" xfId="0" applyNumberFormat="1" applyFill="1" applyBorder="1"/>
    <xf numFmtId="0" fontId="0" fillId="0" borderId="0" xfId="0" quotePrefix="1" applyBorder="1"/>
    <xf numFmtId="0" fontId="0" fillId="0" borderId="7" xfId="0" quotePrefix="1" applyBorder="1"/>
    <xf numFmtId="0" fontId="7" fillId="0" borderId="0" xfId="0" applyFont="1" applyAlignment="1">
      <alignment horizontal="right"/>
    </xf>
    <xf numFmtId="0" fontId="11" fillId="4" borderId="9" xfId="5" applyFont="1" applyFill="1" applyBorder="1"/>
    <xf numFmtId="0" fontId="11" fillId="4" borderId="10" xfId="5" applyFont="1" applyFill="1" applyBorder="1"/>
    <xf numFmtId="0" fontId="1" fillId="0" borderId="4" xfId="5" applyFont="1" applyBorder="1"/>
    <xf numFmtId="0" fontId="1" fillId="0" borderId="0" xfId="5" applyFont="1" applyBorder="1"/>
    <xf numFmtId="0" fontId="1" fillId="0" borderId="11" xfId="5" applyBorder="1" applyAlignment="1">
      <alignment horizontal="center"/>
    </xf>
    <xf numFmtId="0" fontId="1" fillId="0" borderId="12" xfId="5" applyBorder="1" applyAlignment="1">
      <alignment horizontal="center"/>
    </xf>
    <xf numFmtId="0" fontId="1" fillId="0" borderId="13" xfId="5" applyBorder="1" applyAlignment="1">
      <alignment horizontal="center"/>
    </xf>
    <xf numFmtId="0" fontId="1" fillId="0" borderId="4" xfId="5" applyBorder="1"/>
    <xf numFmtId="0" fontId="1" fillId="0" borderId="6" xfId="5" applyFont="1" applyBorder="1"/>
    <xf numFmtId="0" fontId="1" fillId="0" borderId="7" xfId="5" applyFont="1" applyBorder="1"/>
    <xf numFmtId="164" fontId="1" fillId="0" borderId="14" xfId="5" applyNumberFormat="1" applyBorder="1" applyAlignment="1">
      <alignment horizontal="center"/>
    </xf>
    <xf numFmtId="164" fontId="1" fillId="0" borderId="15" xfId="5" applyNumberFormat="1" applyBorder="1" applyAlignment="1">
      <alignment horizontal="center"/>
    </xf>
    <xf numFmtId="164" fontId="1" fillId="0" borderId="16" xfId="5" applyNumberFormat="1" applyBorder="1" applyAlignment="1">
      <alignment horizontal="center"/>
    </xf>
    <xf numFmtId="9" fontId="1" fillId="0" borderId="0" xfId="5" applyNumberFormat="1" applyBorder="1"/>
    <xf numFmtId="164" fontId="1" fillId="0" borderId="11" xfId="5" applyNumberFormat="1" applyBorder="1" applyAlignment="1">
      <alignment horizontal="center"/>
    </xf>
    <xf numFmtId="164" fontId="1" fillId="0" borderId="12" xfId="5" applyNumberFormat="1" applyBorder="1" applyAlignment="1">
      <alignment horizontal="center"/>
    </xf>
    <xf numFmtId="164" fontId="1" fillId="0" borderId="13" xfId="5" applyNumberFormat="1" applyBorder="1" applyAlignment="1">
      <alignment horizontal="center"/>
    </xf>
    <xf numFmtId="0" fontId="1" fillId="0" borderId="6" xfId="5" applyBorder="1"/>
    <xf numFmtId="9" fontId="1" fillId="0" borderId="7" xfId="5" applyNumberFormat="1" applyBorder="1"/>
    <xf numFmtId="1" fontId="1" fillId="2" borderId="0" xfId="3" applyNumberFormat="1" applyFont="1" applyFill="1" applyBorder="1" applyAlignment="1" applyProtection="1">
      <alignment horizontal="right" vertical="center"/>
    </xf>
    <xf numFmtId="1" fontId="1" fillId="2" borderId="0" xfId="1" applyNumberFormat="1" applyFont="1" applyFill="1" applyBorder="1" applyAlignment="1" applyProtection="1">
      <alignment vertical="center"/>
    </xf>
    <xf numFmtId="1" fontId="1" fillId="2" borderId="2" xfId="1" applyNumberFormat="1" applyFont="1" applyFill="1" applyBorder="1" applyAlignment="1" applyProtection="1">
      <alignment vertical="center"/>
    </xf>
    <xf numFmtId="1" fontId="1" fillId="2" borderId="7" xfId="4" applyNumberFormat="1" applyFont="1" applyFill="1" applyBorder="1" applyAlignment="1" applyProtection="1">
      <alignment horizontal="right" vertical="center"/>
    </xf>
    <xf numFmtId="1" fontId="1" fillId="2" borderId="2" xfId="1" applyNumberFormat="1" applyFont="1" applyFill="1" applyBorder="1" applyAlignment="1" applyProtection="1">
      <alignment horizontal="right" vertical="center"/>
    </xf>
    <xf numFmtId="1" fontId="1" fillId="2" borderId="0" xfId="1" applyNumberFormat="1" applyFont="1" applyFill="1" applyBorder="1" applyAlignment="1" applyProtection="1">
      <alignment horizontal="right" vertical="center"/>
    </xf>
    <xf numFmtId="1" fontId="1" fillId="2" borderId="0" xfId="1" applyNumberFormat="1" applyFont="1" applyFill="1" applyBorder="1" applyAlignment="1">
      <alignment vertical="center"/>
    </xf>
    <xf numFmtId="1" fontId="1" fillId="2" borderId="7" xfId="1" applyNumberFormat="1" applyFont="1" applyFill="1" applyBorder="1" applyAlignment="1">
      <alignment horizontal="right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0" xfId="0" applyFill="1"/>
    <xf numFmtId="0" fontId="0" fillId="0" borderId="2" xfId="0" applyFill="1" applyBorder="1"/>
    <xf numFmtId="0" fontId="0" fillId="0" borderId="5" xfId="0" applyBorder="1" applyAlignment="1">
      <alignment horizontal="left"/>
    </xf>
    <xf numFmtId="164" fontId="0" fillId="0" borderId="5" xfId="0" applyNumberFormat="1" applyBorder="1"/>
    <xf numFmtId="164" fontId="0" fillId="0" borderId="8" xfId="0" applyNumberFormat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1" fontId="0" fillId="2" borderId="0" xfId="0" applyNumberFormat="1" applyFill="1" applyBorder="1"/>
    <xf numFmtId="0" fontId="0" fillId="0" borderId="17" xfId="0" applyFill="1" applyBorder="1"/>
    <xf numFmtId="0" fontId="7" fillId="0" borderId="18" xfId="0" applyFont="1" applyFill="1" applyBorder="1"/>
    <xf numFmtId="1" fontId="0" fillId="0" borderId="18" xfId="0" applyNumberFormat="1" applyBorder="1"/>
    <xf numFmtId="1" fontId="0" fillId="0" borderId="19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/>
    <xf numFmtId="0" fontId="0" fillId="0" borderId="8" xfId="0" applyBorder="1" applyAlignment="1">
      <alignment horizontal="center"/>
    </xf>
    <xf numFmtId="11" fontId="0" fillId="0" borderId="1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4" xfId="0" applyFont="1" applyBorder="1"/>
    <xf numFmtId="0" fontId="7" fillId="0" borderId="5" xfId="0" applyFont="1" applyFill="1" applyBorder="1"/>
    <xf numFmtId="0" fontId="7" fillId="0" borderId="5" xfId="0" applyFont="1" applyBorder="1"/>
    <xf numFmtId="0" fontId="7" fillId="3" borderId="0" xfId="0" applyFont="1" applyFill="1" applyBorder="1"/>
    <xf numFmtId="0" fontId="0" fillId="0" borderId="0" xfId="0" applyFill="1"/>
    <xf numFmtId="0" fontId="7" fillId="3" borderId="4" xfId="0" applyFont="1" applyFill="1" applyBorder="1"/>
    <xf numFmtId="0" fontId="0" fillId="0" borderId="0" xfId="0" applyAlignment="1">
      <alignment horizontal="center"/>
    </xf>
  </cellXfs>
  <cellStyles count="6">
    <cellStyle name="Normal_T1B gegevens" xfId="1"/>
    <cellStyle name="Standaard" xfId="0" builtinId="0"/>
    <cellStyle name="Standaard_011100-D01" xfId="3"/>
    <cellStyle name="Standaard_Cases 2009" xfId="5"/>
    <cellStyle name="Standaard_Dekblad ABB LHT" xfId="4"/>
    <cellStyle name="Standaard_Fancurve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7332544414607"/>
          <c:y val="7.4759945130315503E-2"/>
          <c:w val="0.76584421867440933"/>
          <c:h val="0.7626901266971271"/>
        </c:manualLayout>
      </c:layout>
      <c:scatterChart>
        <c:scatterStyle val="lineMarker"/>
        <c:varyColors val="0"/>
        <c:ser>
          <c:idx val="2"/>
          <c:order val="0"/>
          <c:tx>
            <c:v>design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'Blad1 (2)'!$S$29:$T$29</c:f>
              <c:numCache>
                <c:formatCode>General</c:formatCode>
                <c:ptCount val="2"/>
                <c:pt idx="0">
                  <c:v>7794</c:v>
                </c:pt>
                <c:pt idx="1">
                  <c:v>7794</c:v>
                </c:pt>
              </c:numCache>
            </c:numRef>
          </c:xVal>
          <c:yVal>
            <c:numRef>
              <c:f>'Blad1 (2)'!$S$25:$T$25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6-45A9-8332-F93FA9F7CED9}"/>
            </c:ext>
          </c:extLst>
        </c:ser>
        <c:ser>
          <c:idx val="7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5.472850575758955E-2"/>
                  <c:y val="3.6598079561042531E-2"/>
                </c:manualLayout>
              </c:layout>
              <c:numFmt formatCode="0.000E+00" sourceLinked="0"/>
            </c:trendlineLbl>
          </c:trendline>
          <c:xVal>
            <c:numRef>
              <c:f>'Blad1 (2)'!$G$7:$G$16</c:f>
              <c:numCache>
                <c:formatCode>0</c:formatCode>
                <c:ptCount val="10"/>
                <c:pt idx="0">
                  <c:v>2679.7089469204871</c:v>
                </c:pt>
                <c:pt idx="1">
                  <c:v>3628.7375750060669</c:v>
                </c:pt>
                <c:pt idx="2">
                  <c:v>4592.2608083227105</c:v>
                </c:pt>
                <c:pt idx="3">
                  <c:v>5583.8878367724083</c:v>
                </c:pt>
                <c:pt idx="4">
                  <c:v>6619.0527100855252</c:v>
                </c:pt>
                <c:pt idx="5">
                  <c:v>7716.3581676939502</c:v>
                </c:pt>
                <c:pt idx="6">
                  <c:v>8899.4022580566689</c:v>
                </c:pt>
                <c:pt idx="7">
                  <c:v>10199.578265119162</c:v>
                </c:pt>
                <c:pt idx="8">
                  <c:v>11660.679379791818</c:v>
                </c:pt>
                <c:pt idx="9">
                  <c:v>11660.679379791818</c:v>
                </c:pt>
              </c:numCache>
            </c:numRef>
          </c:xVal>
          <c:yVal>
            <c:numRef>
              <c:f>'Blad1 (2)'!$I$7:$I$16</c:f>
              <c:numCache>
                <c:formatCode>0</c:formatCode>
                <c:ptCount val="10"/>
                <c:pt idx="0">
                  <c:v>185286.60913438571</c:v>
                </c:pt>
                <c:pt idx="1">
                  <c:v>184337.73600766389</c:v>
                </c:pt>
                <c:pt idx="2">
                  <c:v>180377.41658413952</c:v>
                </c:pt>
                <c:pt idx="3">
                  <c:v>173616.17977163161</c:v>
                </c:pt>
                <c:pt idx="4">
                  <c:v>164070.28378697415</c:v>
                </c:pt>
                <c:pt idx="5">
                  <c:v>151664.9251358303</c:v>
                </c:pt>
                <c:pt idx="6">
                  <c:v>136260.09315796109</c:v>
                </c:pt>
                <c:pt idx="7">
                  <c:v>117652.1965605946</c:v>
                </c:pt>
                <c:pt idx="8">
                  <c:v>95563.17817981611</c:v>
                </c:pt>
                <c:pt idx="9">
                  <c:v>95563.17817981611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6-45A9-8332-F93FA9F7CED9}"/>
            </c:ext>
          </c:extLst>
        </c:ser>
        <c:ser>
          <c:idx val="9"/>
          <c:order val="2"/>
          <c:tx>
            <c:v>SLV1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'Blad1 (2)'!$S$26:$T$26</c:f>
              <c:numCache>
                <c:formatCode>General</c:formatCode>
                <c:ptCount val="2"/>
                <c:pt idx="0">
                  <c:v>4294</c:v>
                </c:pt>
                <c:pt idx="1">
                  <c:v>4294</c:v>
                </c:pt>
              </c:numCache>
            </c:numRef>
          </c:xVal>
          <c:yVal>
            <c:numRef>
              <c:f>'Blad1 (2)'!$S$25:$T$25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36-45A9-8332-F93FA9F7CED9}"/>
            </c:ext>
          </c:extLst>
        </c:ser>
        <c:ser>
          <c:idx val="0"/>
          <c:order val="3"/>
          <c:tx>
            <c:v>SLV2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t" anchorCtr="0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'Blad1 (2)'!$S$27:$T$27</c:f>
              <c:numCache>
                <c:formatCode>General</c:formatCode>
                <c:ptCount val="2"/>
                <c:pt idx="0">
                  <c:v>4938.0999999999995</c:v>
                </c:pt>
                <c:pt idx="1">
                  <c:v>4938.0999999999995</c:v>
                </c:pt>
              </c:numCache>
            </c:numRef>
          </c:xVal>
          <c:yVal>
            <c:numRef>
              <c:f>'Blad1 (2)'!$S$25:$T$25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36-45A9-8332-F93FA9F7CED9}"/>
            </c:ext>
          </c:extLst>
        </c:ser>
        <c:ser>
          <c:idx val="1"/>
          <c:order val="4"/>
          <c:tx>
            <c:v>SLV3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'Blad1 (2)'!$S$28:$T$28</c:f>
              <c:numCache>
                <c:formatCode>General</c:formatCode>
                <c:ptCount val="2"/>
                <c:pt idx="0">
                  <c:v>5678.8149999999987</c:v>
                </c:pt>
                <c:pt idx="1">
                  <c:v>5678.8149999999987</c:v>
                </c:pt>
              </c:numCache>
            </c:numRef>
          </c:xVal>
          <c:yVal>
            <c:numRef>
              <c:f>'Blad1 (2)'!$S$25:$T$25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36-45A9-8332-F93FA9F7CED9}"/>
            </c:ext>
          </c:extLst>
        </c:ser>
        <c:ser>
          <c:idx val="3"/>
          <c:order val="5"/>
          <c:tx>
            <c:v>system pressure</c:v>
          </c:tx>
          <c:spPr>
            <a:ln w="9525">
              <a:solidFill>
                <a:srgbClr val="000000"/>
              </a:solidFill>
              <a:prstDash val="dash"/>
            </a:ln>
          </c:spPr>
          <c:xVal>
            <c:numRef>
              <c:f>'Blad1 (2)'!$G$7:$G$16</c:f>
              <c:numCache>
                <c:formatCode>0</c:formatCode>
                <c:ptCount val="10"/>
                <c:pt idx="0">
                  <c:v>2679.7089469204871</c:v>
                </c:pt>
                <c:pt idx="1">
                  <c:v>3628.7375750060669</c:v>
                </c:pt>
                <c:pt idx="2">
                  <c:v>4592.2608083227105</c:v>
                </c:pt>
                <c:pt idx="3">
                  <c:v>5583.8878367724083</c:v>
                </c:pt>
                <c:pt idx="4">
                  <c:v>6619.0527100855252</c:v>
                </c:pt>
                <c:pt idx="5">
                  <c:v>7716.3581676939502</c:v>
                </c:pt>
                <c:pt idx="6">
                  <c:v>8899.4022580566689</c:v>
                </c:pt>
                <c:pt idx="7">
                  <c:v>10199.578265119162</c:v>
                </c:pt>
                <c:pt idx="8">
                  <c:v>11660.679379791818</c:v>
                </c:pt>
                <c:pt idx="9">
                  <c:v>11660.679379791818</c:v>
                </c:pt>
              </c:numCache>
            </c:numRef>
          </c:xVal>
          <c:yVal>
            <c:numRef>
              <c:f>'Blad1 (2)'!$Q$7:$Q$16</c:f>
              <c:numCache>
                <c:formatCode>0</c:formatCode>
                <c:ptCount val="10"/>
                <c:pt idx="0">
                  <c:v>26765.601288040292</c:v>
                </c:pt>
                <c:pt idx="1">
                  <c:v>50475.96480725021</c:v>
                </c:pt>
                <c:pt idx="2">
                  <c:v>81888.619250720352</c:v>
                </c:pt>
                <c:pt idx="3">
                  <c:v>121470.15005837867</c:v>
                </c:pt>
                <c:pt idx="4">
                  <c:v>169947.48763056778</c:v>
                </c:pt>
                <c:pt idx="5">
                  <c:v>228383.46487260322</c:v>
                </c:pt>
                <c:pt idx="6">
                  <c:v>298300.17891335743</c:v>
                </c:pt>
                <c:pt idx="7">
                  <c:v>381881.77630835224</c:v>
                </c:pt>
                <c:pt idx="8">
                  <c:v>482317.77218273171</c:v>
                </c:pt>
                <c:pt idx="9">
                  <c:v>482317.77218273171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36-45A9-8332-F93FA9F7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01088"/>
        <c:axId val="153803008"/>
      </c:scatterChart>
      <c:valAx>
        <c:axId val="153801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discharge volume flow rate [Am³/h] </a:t>
                </a:r>
              </a:p>
            </c:rich>
          </c:tx>
          <c:layout>
            <c:manualLayout>
              <c:xMode val="edge"/>
              <c:yMode val="edge"/>
              <c:x val="0.36236933533597376"/>
              <c:y val="0.92044068565503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3803008"/>
        <c:crosses val="autoZero"/>
        <c:crossBetween val="midCat"/>
      </c:valAx>
      <c:valAx>
        <c:axId val="153803008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blower</a:t>
                </a:r>
                <a:r>
                  <a:rPr lang="nl-NL" baseline="0"/>
                  <a:t> diff. p</a:t>
                </a:r>
                <a:r>
                  <a:rPr lang="nl-NL"/>
                  <a:t>ressure [Pa]</a:t>
                </a:r>
              </a:p>
            </c:rich>
          </c:tx>
          <c:layout>
            <c:manualLayout>
              <c:xMode val="edge"/>
              <c:yMode val="edge"/>
              <c:x val="1.1127237542331882E-2"/>
              <c:y val="0.19273019884860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3801088"/>
        <c:crosses val="autoZero"/>
        <c:crossBetween val="midCat"/>
        <c:majorUnit val="25000"/>
        <c:minorUnit val="5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(2)'!$J$7:$J$16</c:f>
              <c:numCache>
                <c:formatCode>General</c:formatCode>
                <c:ptCount val="10"/>
                <c:pt idx="0">
                  <c:v>214.87970114707085</c:v>
                </c:pt>
                <c:pt idx="1">
                  <c:v>418.89439927985518</c:v>
                </c:pt>
                <c:pt idx="2">
                  <c:v>703.5136255064416</c:v>
                </c:pt>
                <c:pt idx="3">
                  <c:v>1087.7678957049234</c:v>
                </c:pt>
                <c:pt idx="4">
                  <c:v>1603.4984995874734</c:v>
                </c:pt>
                <c:pt idx="5">
                  <c:v>2305.0485274288949</c:v>
                </c:pt>
                <c:pt idx="6">
                  <c:v>3290.6170217694771</c:v>
                </c:pt>
                <c:pt idx="7">
                  <c:v>4755.0388262469951</c:v>
                </c:pt>
                <c:pt idx="8">
                  <c:v>7144.7807352993195</c:v>
                </c:pt>
                <c:pt idx="9">
                  <c:v>7144.7807352993195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B1-4BB9-A886-C6AE85C48370}"/>
            </c:ext>
          </c:extLst>
        </c:ser>
        <c:ser>
          <c:idx val="1"/>
          <c:order val="1"/>
          <c:tx>
            <c:v>DEV</c:v>
          </c:tx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(2)'!$K$7:$K$16</c:f>
              <c:numCache>
                <c:formatCode>General</c:formatCode>
                <c:ptCount val="10"/>
                <c:pt idx="0">
                  <c:v>385.12029885292918</c:v>
                </c:pt>
                <c:pt idx="1">
                  <c:v>181.10560072014482</c:v>
                </c:pt>
                <c:pt idx="2">
                  <c:v>-103.5136255064416</c:v>
                </c:pt>
                <c:pt idx="3">
                  <c:v>-487.76789570492338</c:v>
                </c:pt>
                <c:pt idx="4">
                  <c:v>-1003.4984995874734</c:v>
                </c:pt>
                <c:pt idx="5">
                  <c:v>-1705.0485274288949</c:v>
                </c:pt>
                <c:pt idx="6">
                  <c:v>-2690.6170217694771</c:v>
                </c:pt>
                <c:pt idx="7">
                  <c:v>-4155.0388262469951</c:v>
                </c:pt>
                <c:pt idx="8">
                  <c:v>-6544.7807352993195</c:v>
                </c:pt>
                <c:pt idx="9">
                  <c:v>-6544.7807352993195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B1-4BB9-A886-C6AE85C4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0064"/>
        <c:axId val="154441984"/>
      </c:scatterChart>
      <c:valAx>
        <c:axId val="15444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qvin [m3/h]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4441984"/>
        <c:crosses val="autoZero"/>
        <c:crossBetween val="midCat"/>
      </c:valAx>
      <c:valAx>
        <c:axId val="1544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 [m4]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9214785651793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4440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(2)'!$N$7:$N$16</c:f>
              <c:numCache>
                <c:formatCode>General</c:formatCode>
                <c:ptCount val="10"/>
                <c:pt idx="0">
                  <c:v>2.1572590736126629</c:v>
                </c:pt>
                <c:pt idx="1">
                  <c:v>1.5450684453898835</c:v>
                </c:pt>
                <c:pt idx="2">
                  <c:v>1.1922401508959206</c:v>
                </c:pt>
                <c:pt idx="3">
                  <c:v>0.95880851337734108</c:v>
                </c:pt>
                <c:pt idx="4">
                  <c:v>0.78970651525622304</c:v>
                </c:pt>
                <c:pt idx="5">
                  <c:v>0.65865798857425539</c:v>
                </c:pt>
                <c:pt idx="6">
                  <c:v>0.5512661553451822</c:v>
                </c:pt>
                <c:pt idx="7">
                  <c:v>0.45858829571453341</c:v>
                </c:pt>
                <c:pt idx="8">
                  <c:v>0.37411536688402708</c:v>
                </c:pt>
                <c:pt idx="9">
                  <c:v>0.37411536688402708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1-4436-9858-A8DCE5BE3565}"/>
            </c:ext>
          </c:extLst>
        </c:ser>
        <c:ser>
          <c:idx val="1"/>
          <c:order val="1"/>
          <c:tx>
            <c:v>DEV**</c:v>
          </c:tx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(2)'!$O$7:$O$16</c:f>
              <c:numCache>
                <c:formatCode>General</c:formatCode>
                <c:ptCount val="10"/>
                <c:pt idx="0">
                  <c:v>0.86626462487685729</c:v>
                </c:pt>
                <c:pt idx="1">
                  <c:v>0.25407399665407793</c:v>
                </c:pt>
                <c:pt idx="2">
                  <c:v>-9.8754297839884986E-2</c:v>
                </c:pt>
                <c:pt idx="3">
                  <c:v>-0.33218593535846452</c:v>
                </c:pt>
                <c:pt idx="4">
                  <c:v>-0.50128793347958256</c:v>
                </c:pt>
                <c:pt idx="5">
                  <c:v>-0.63233646016155021</c:v>
                </c:pt>
                <c:pt idx="6">
                  <c:v>-0.7397282933906234</c:v>
                </c:pt>
                <c:pt idx="7">
                  <c:v>-0.83240615302127219</c:v>
                </c:pt>
                <c:pt idx="8">
                  <c:v>-0.91687908185177847</c:v>
                </c:pt>
                <c:pt idx="9">
                  <c:v>-0.91687908185177847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1-4436-9858-A8DCE5BE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22752"/>
        <c:axId val="166019840"/>
      </c:scatterChart>
      <c:valAx>
        <c:axId val="1657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qvin [m3/h]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6019840"/>
        <c:crosses val="autoZero"/>
        <c:crossBetween val="midCat"/>
      </c:valAx>
      <c:valAx>
        <c:axId val="166019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1/R [m-4]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9214785651793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7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(2)'!$L$7:$L$16</c:f>
              <c:numCache>
                <c:formatCode>General</c:formatCode>
                <c:ptCount val="10"/>
                <c:pt idx="0">
                  <c:v>5.9896088769552831</c:v>
                </c:pt>
                <c:pt idx="1">
                  <c:v>7.4822954201842879</c:v>
                </c:pt>
                <c:pt idx="2">
                  <c:v>8.8938712403290339</c:v>
                </c:pt>
                <c:pt idx="3">
                  <c:v>10.284394931327618</c:v>
                </c:pt>
                <c:pt idx="4">
                  <c:v>11.704589476146978</c:v>
                </c:pt>
                <c:pt idx="5">
                  <c:v>13.209712257281668</c:v>
                </c:pt>
                <c:pt idx="6">
                  <c:v>14.873931599304603</c:v>
                </c:pt>
                <c:pt idx="7">
                  <c:v>16.81581893690327</c:v>
                </c:pt>
                <c:pt idx="8">
                  <c:v>19.260296496701816</c:v>
                </c:pt>
                <c:pt idx="9">
                  <c:v>19.260296496701816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C3-4E24-9D10-245E51DD8A57}"/>
            </c:ext>
          </c:extLst>
        </c:ser>
        <c:ser>
          <c:idx val="1"/>
          <c:order val="1"/>
          <c:tx>
            <c:v>DEV*</c:v>
          </c:tx>
          <c:xVal>
            <c:numRef>
              <c:f>'Blad1 (2)'!$C$7:$C$16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'Blad1 (2)'!$M$7:$M$16</c:f>
              <c:numCache>
                <c:formatCode>General</c:formatCode>
                <c:ptCount val="10"/>
                <c:pt idx="0">
                  <c:v>2.4447177760622099</c:v>
                </c:pt>
                <c:pt idx="1">
                  <c:v>0.95203123283320501</c:v>
                </c:pt>
                <c:pt idx="2">
                  <c:v>-0.45954458731154091</c:v>
                </c:pt>
                <c:pt idx="3">
                  <c:v>-1.8500682783101254</c:v>
                </c:pt>
                <c:pt idx="4">
                  <c:v>-3.2702628231294852</c:v>
                </c:pt>
                <c:pt idx="5">
                  <c:v>-4.7753856042641747</c:v>
                </c:pt>
                <c:pt idx="6">
                  <c:v>-6.4396049462871101</c:v>
                </c:pt>
                <c:pt idx="7">
                  <c:v>-8.3814922838857768</c:v>
                </c:pt>
                <c:pt idx="8">
                  <c:v>-10.825969843684323</c:v>
                </c:pt>
                <c:pt idx="9">
                  <c:v>-10.825969843684323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3-4E24-9D10-245E51DD8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968"/>
        <c:axId val="165719040"/>
      </c:scatterChart>
      <c:valAx>
        <c:axId val="16571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qvin [m3/h]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5719040"/>
        <c:crosses val="autoZero"/>
        <c:crossBetween val="midCat"/>
      </c:valAx>
      <c:valAx>
        <c:axId val="16571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R^(X) [m^(4X)]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99214785651793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715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7332544414607"/>
          <c:y val="7.4759945130315503E-2"/>
          <c:w val="0.76584421867440866"/>
          <c:h val="0.76269012669712666"/>
        </c:manualLayout>
      </c:layout>
      <c:scatterChart>
        <c:scatterStyle val="lineMarker"/>
        <c:varyColors val="0"/>
        <c:ser>
          <c:idx val="2"/>
          <c:order val="0"/>
          <c:tx>
            <c:v>design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Blad1!$N$29:$O$29</c:f>
              <c:numCache>
                <c:formatCode>General</c:formatCode>
                <c:ptCount val="2"/>
                <c:pt idx="0">
                  <c:v>7794</c:v>
                </c:pt>
                <c:pt idx="1">
                  <c:v>7794</c:v>
                </c:pt>
              </c:numCache>
            </c:numRef>
          </c:xVal>
          <c:yVal>
            <c:numRef>
              <c:f>Blad1!$N$25:$O$25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59-41E2-B9EA-5C67E9E0E5B5}"/>
            </c:ext>
          </c:extLst>
        </c:ser>
        <c:ser>
          <c:idx val="7"/>
          <c:order val="1"/>
          <c:spPr>
            <a:ln w="28575">
              <a:noFill/>
            </a:ln>
          </c:spPr>
          <c:marker>
            <c:symbol val="square"/>
            <c:size val="5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5.472850575758955E-2"/>
                  <c:y val="3.6598079561042531E-2"/>
                </c:manualLayout>
              </c:layout>
              <c:numFmt formatCode="0.000E+00" sourceLinked="0"/>
            </c:trendlineLbl>
          </c:trendline>
          <c:xVal>
            <c:numRef>
              <c:f>Blad1!$C$7:$C$16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Blad1!$I$7:$I$16</c:f>
              <c:numCache>
                <c:formatCode>0</c:formatCode>
                <c:ptCount val="10"/>
                <c:pt idx="0">
                  <c:v>185286.60913438571</c:v>
                </c:pt>
                <c:pt idx="1">
                  <c:v>184337.73600766389</c:v>
                </c:pt>
                <c:pt idx="2">
                  <c:v>180377.41658413952</c:v>
                </c:pt>
                <c:pt idx="3">
                  <c:v>173616.17977163161</c:v>
                </c:pt>
                <c:pt idx="4">
                  <c:v>164070.28378697415</c:v>
                </c:pt>
                <c:pt idx="5">
                  <c:v>151664.9251358303</c:v>
                </c:pt>
                <c:pt idx="6">
                  <c:v>136260.09315796109</c:v>
                </c:pt>
                <c:pt idx="7">
                  <c:v>117652.1965605946</c:v>
                </c:pt>
                <c:pt idx="8">
                  <c:v>95563.17817981611</c:v>
                </c:pt>
                <c:pt idx="9">
                  <c:v>95563.17817981611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59-41E2-B9EA-5C67E9E0E5B5}"/>
            </c:ext>
          </c:extLst>
        </c:ser>
        <c:ser>
          <c:idx val="9"/>
          <c:order val="3"/>
          <c:tx>
            <c:v>SLV1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Blad1!$N$26:$O$26</c:f>
              <c:numCache>
                <c:formatCode>General</c:formatCode>
                <c:ptCount val="2"/>
                <c:pt idx="0">
                  <c:v>4294</c:v>
                </c:pt>
                <c:pt idx="1">
                  <c:v>4294</c:v>
                </c:pt>
              </c:numCache>
            </c:numRef>
          </c:xVal>
          <c:yVal>
            <c:numRef>
              <c:f>Blad1!$N$25:$O$25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59-41E2-B9EA-5C67E9E0E5B5}"/>
            </c:ext>
          </c:extLst>
        </c:ser>
        <c:ser>
          <c:idx val="0"/>
          <c:order val="4"/>
          <c:tx>
            <c:v>SLV2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t" anchorCtr="0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Blad1!$N$27:$O$27</c:f>
              <c:numCache>
                <c:formatCode>General</c:formatCode>
                <c:ptCount val="2"/>
                <c:pt idx="0">
                  <c:v>4938.0999999999995</c:v>
                </c:pt>
                <c:pt idx="1">
                  <c:v>4938.0999999999995</c:v>
                </c:pt>
              </c:numCache>
            </c:numRef>
          </c:xVal>
          <c:yVal>
            <c:numRef>
              <c:f>Blad1!$N$25:$O$25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9-41E2-B9EA-5C67E9E0E5B5}"/>
            </c:ext>
          </c:extLst>
        </c:ser>
        <c:ser>
          <c:idx val="1"/>
          <c:order val="5"/>
          <c:tx>
            <c:v>SLV3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-5400000" vert="horz" anchor="ctr" anchorCtr="0"/>
              <a:lstStyle/>
              <a:p>
                <a:pPr>
                  <a:defRPr/>
                </a:pPr>
                <a:endParaRPr lang="nl-NL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Blad1!$N$28:$O$28</c:f>
              <c:numCache>
                <c:formatCode>General</c:formatCode>
                <c:ptCount val="2"/>
                <c:pt idx="0">
                  <c:v>5678.8149999999987</c:v>
                </c:pt>
                <c:pt idx="1">
                  <c:v>5678.8149999999987</c:v>
                </c:pt>
              </c:numCache>
            </c:numRef>
          </c:xVal>
          <c:yVal>
            <c:numRef>
              <c:f>Blad1!$N$25:$O$25</c:f>
              <c:numCache>
                <c:formatCode>General</c:formatCode>
                <c:ptCount val="2"/>
                <c:pt idx="0">
                  <c:v>-100</c:v>
                </c:pt>
                <c:pt idx="1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59-41E2-B9EA-5C67E9E0E5B5}"/>
            </c:ext>
          </c:extLst>
        </c:ser>
        <c:ser>
          <c:idx val="3"/>
          <c:order val="6"/>
          <c:tx>
            <c:v>system pressure</c:v>
          </c:tx>
          <c:spPr>
            <a:ln w="9525">
              <a:solidFill>
                <a:srgbClr val="000000"/>
              </a:solidFill>
              <a:prstDash val="dash"/>
            </a:ln>
          </c:spPr>
          <c:xVal>
            <c:numRef>
              <c:f>Blad1!$C$7:$C$16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Blad1!$L$7:$L$16</c:f>
              <c:numCache>
                <c:formatCode>0</c:formatCode>
                <c:ptCount val="10"/>
                <c:pt idx="0">
                  <c:v>25690.978448381855</c:v>
                </c:pt>
                <c:pt idx="1">
                  <c:v>49826.458843608911</c:v>
                </c:pt>
                <c:pt idx="2">
                  <c:v>81883.405349098757</c:v>
                </c:pt>
                <c:pt idx="3">
                  <c:v>121861.81796485136</c:v>
                </c:pt>
                <c:pt idx="4">
                  <c:v>169761.69669086684</c:v>
                </c:pt>
                <c:pt idx="5">
                  <c:v>225583.04152714496</c:v>
                </c:pt>
                <c:pt idx="6">
                  <c:v>289325.85247368598</c:v>
                </c:pt>
                <c:pt idx="7">
                  <c:v>360990.12953048979</c:v>
                </c:pt>
                <c:pt idx="8">
                  <c:v>440575.87269755639</c:v>
                </c:pt>
                <c:pt idx="9">
                  <c:v>440575.87269755639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59-41E2-B9EA-5C67E9E0E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18592"/>
        <c:axId val="154720512"/>
      </c:scatterChart>
      <c:scatterChart>
        <c:scatterStyle val="lineMarker"/>
        <c:varyColors val="0"/>
        <c:ser>
          <c:idx val="8"/>
          <c:order val="2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dLbls>
            <c:delete val="1"/>
          </c:dLbls>
          <c:trendline>
            <c:trendlineType val="poly"/>
            <c:order val="5"/>
            <c:dispRSqr val="0"/>
            <c:dispEq val="0"/>
          </c:trendline>
          <c:xVal>
            <c:numRef>
              <c:f>Blad1!$C$7:$C$16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Blad1!$J$7:$J$16</c:f>
              <c:numCache>
                <c:formatCode>General</c:formatCode>
                <c:ptCount val="10"/>
                <c:pt idx="0">
                  <c:v>214.87970114707085</c:v>
                </c:pt>
                <c:pt idx="1">
                  <c:v>418.89439927985518</c:v>
                </c:pt>
                <c:pt idx="2">
                  <c:v>703.5136255064416</c:v>
                </c:pt>
                <c:pt idx="3">
                  <c:v>1087.7678957049234</c:v>
                </c:pt>
                <c:pt idx="4">
                  <c:v>1603.4984995874734</c:v>
                </c:pt>
                <c:pt idx="5">
                  <c:v>2305.0485274288949</c:v>
                </c:pt>
                <c:pt idx="6">
                  <c:v>3290.6170217694771</c:v>
                </c:pt>
                <c:pt idx="7">
                  <c:v>4755.0388262469951</c:v>
                </c:pt>
                <c:pt idx="8">
                  <c:v>7144.7807352993195</c:v>
                </c:pt>
                <c:pt idx="9">
                  <c:v>7144.7807352993195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859-41E2-B9EA-5C67E9E0E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4726784"/>
        <c:axId val="154728320"/>
      </c:scatterChart>
      <c:valAx>
        <c:axId val="154718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Suction volume flow rate [Am³/h] </a:t>
                </a:r>
              </a:p>
            </c:rich>
          </c:tx>
          <c:layout>
            <c:manualLayout>
              <c:xMode val="edge"/>
              <c:yMode val="edge"/>
              <c:x val="0.36236933533597354"/>
              <c:y val="0.92044068565503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4720512"/>
        <c:crosses val="autoZero"/>
        <c:crossBetween val="midCat"/>
      </c:valAx>
      <c:valAx>
        <c:axId val="154720512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blower</a:t>
                </a:r>
                <a:r>
                  <a:rPr lang="nl-NL" baseline="0"/>
                  <a:t> diff. p</a:t>
                </a:r>
                <a:r>
                  <a:rPr lang="nl-NL"/>
                  <a:t>ressure [Pa]</a:t>
                </a:r>
              </a:p>
            </c:rich>
          </c:tx>
          <c:layout>
            <c:manualLayout>
              <c:xMode val="edge"/>
              <c:yMode val="edge"/>
              <c:x val="1.1127237542331882E-2"/>
              <c:y val="0.19273019884860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4718592"/>
        <c:crosses val="autoZero"/>
        <c:crossBetween val="midCat"/>
        <c:majorUnit val="25000"/>
        <c:minorUnit val="5000"/>
      </c:valAx>
      <c:valAx>
        <c:axId val="1547267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154728320"/>
        <c:crosses val="autoZero"/>
        <c:crossBetween val="midCat"/>
      </c:valAx>
      <c:valAx>
        <c:axId val="154728320"/>
        <c:scaling>
          <c:orientation val="minMax"/>
          <c:max val="50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l-GR"/>
                  <a:t>ρ</a:t>
                </a:r>
                <a:r>
                  <a:rPr lang="nl-NL"/>
                  <a:t>·qv^2/</a:t>
                </a:r>
                <a:r>
                  <a:rPr lang="el-GR"/>
                  <a:t>Δ</a:t>
                </a:r>
                <a:r>
                  <a:rPr lang="nl-NL"/>
                  <a:t>p  </a:t>
                </a:r>
              </a:p>
            </c:rich>
          </c:tx>
          <c:layout>
            <c:manualLayout>
              <c:xMode val="edge"/>
              <c:yMode val="edge"/>
              <c:x val="0.95694242864054313"/>
              <c:y val="0.292181718025987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4726784"/>
        <c:crosses val="max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000000000000433" r="0.75000000000000433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7332544414607"/>
          <c:y val="7.4759945130315503E-2"/>
          <c:w val="0.76584421867440933"/>
          <c:h val="0.7626901266971271"/>
        </c:manualLayout>
      </c:layout>
      <c:scatterChart>
        <c:scatterStyle val="lineMarker"/>
        <c:varyColors val="0"/>
        <c:ser>
          <c:idx val="8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1"/>
              </a:solidFill>
            </c:spPr>
          </c:marker>
          <c:dLbls>
            <c:delete val="1"/>
          </c:dLbls>
          <c:trendline>
            <c:trendlineType val="log"/>
            <c:dispRSqr val="0"/>
            <c:dispEq val="1"/>
            <c:trendlineLbl>
              <c:layout>
                <c:manualLayout>
                  <c:x val="-0.14167778532633921"/>
                  <c:y val="4.4118034628387523E-2"/>
                </c:manualLayout>
              </c:layout>
              <c:numFmt formatCode="General" sourceLinked="0"/>
            </c:trendlineLbl>
          </c:trendline>
          <c:xVal>
            <c:numRef>
              <c:f>Blad1!$C$7:$C$16</c:f>
              <c:numCache>
                <c:formatCode>0</c:formatCode>
                <c:ptCount val="10"/>
                <c:pt idx="0">
                  <c:v>3099.2206988581934</c:v>
                </c:pt>
                <c:pt idx="1">
                  <c:v>4316.1069041906521</c:v>
                </c:pt>
                <c:pt idx="2">
                  <c:v>5532.9931095231113</c:v>
                </c:pt>
                <c:pt idx="3">
                  <c:v>6749.8793148555696</c:v>
                </c:pt>
                <c:pt idx="4">
                  <c:v>7966.7655201880298</c:v>
                </c:pt>
                <c:pt idx="5">
                  <c:v>9183.6517255204872</c:v>
                </c:pt>
                <c:pt idx="6">
                  <c:v>10400.537930852946</c:v>
                </c:pt>
                <c:pt idx="7">
                  <c:v>11617.424136185406</c:v>
                </c:pt>
                <c:pt idx="8">
                  <c:v>12834.310341517865</c:v>
                </c:pt>
                <c:pt idx="9">
                  <c:v>12834.310341517865</c:v>
                </c:pt>
              </c:numCache>
            </c:numRef>
          </c:xVal>
          <c:yVal>
            <c:numRef>
              <c:f>Blad1!$H$7:$H$16</c:f>
              <c:numCache>
                <c:formatCode>0.0</c:formatCode>
                <c:ptCount val="10"/>
                <c:pt idx="0">
                  <c:v>120.53655675584054</c:v>
                </c:pt>
                <c:pt idx="1">
                  <c:v>109.02272679957207</c:v>
                </c:pt>
                <c:pt idx="2">
                  <c:v>101.51848138375664</c:v>
                </c:pt>
                <c:pt idx="3">
                  <c:v>95.847976035050806</c:v>
                </c:pt>
                <c:pt idx="4">
                  <c:v>91.143498598623466</c:v>
                </c:pt>
                <c:pt idx="5">
                  <c:v>86.983675984210038</c:v>
                </c:pt>
                <c:pt idx="6">
                  <c:v>83.131663085828393</c:v>
                </c:pt>
                <c:pt idx="7">
                  <c:v>79.43567114478617</c:v>
                </c:pt>
                <c:pt idx="8">
                  <c:v>75.784004982497493</c:v>
                </c:pt>
                <c:pt idx="9">
                  <c:v>75.784004982497493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7-4A1A-B0EF-5B30A1E156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55064192"/>
        <c:axId val="155066368"/>
      </c:scatterChart>
      <c:valAx>
        <c:axId val="155064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/>
                  <a:t>Suction volume flow rate [Am³/h] </a:t>
                </a:r>
              </a:p>
            </c:rich>
          </c:tx>
          <c:layout>
            <c:manualLayout>
              <c:xMode val="edge"/>
              <c:yMode val="edge"/>
              <c:x val="0.36236933533597376"/>
              <c:y val="0.920440685655033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5066368"/>
        <c:crosses val="autoZero"/>
        <c:crossBetween val="midCat"/>
      </c:valAx>
      <c:valAx>
        <c:axId val="1550663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nl-NL" baseline="0"/>
                  <a:t>discharge temperature</a:t>
                </a:r>
                <a:endParaRPr lang="nl-NL"/>
              </a:p>
            </c:rich>
          </c:tx>
          <c:layout>
            <c:manualLayout>
              <c:xMode val="edge"/>
              <c:yMode val="edge"/>
              <c:x val="1.1127237542331882E-2"/>
              <c:y val="0.192730198848600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NL"/>
          </a:p>
        </c:txPr>
        <c:crossAx val="15506419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solidFill>
        <a:srgbClr val="000000"/>
      </a:solidFill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NL"/>
    </a:p>
  </c:txPr>
  <c:printSettings>
    <c:headerFooter alignWithMargins="0"/>
    <c:pageMargins b="1" l="0.75000000000000455" r="0.7500000000000045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Blad2!$C$7:$C$16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Blad2!$I$7:$I$16</c:f>
              <c:numCache>
                <c:formatCode>0.0</c:formatCode>
                <c:ptCount val="10"/>
                <c:pt idx="0">
                  <c:v>21.2</c:v>
                </c:pt>
                <c:pt idx="1">
                  <c:v>44.9</c:v>
                </c:pt>
                <c:pt idx="2">
                  <c:v>72.7</c:v>
                </c:pt>
                <c:pt idx="3">
                  <c:v>102</c:v>
                </c:pt>
                <c:pt idx="4">
                  <c:v>139</c:v>
                </c:pt>
                <c:pt idx="5">
                  <c:v>177</c:v>
                </c:pt>
                <c:pt idx="6">
                  <c:v>216</c:v>
                </c:pt>
                <c:pt idx="7">
                  <c:v>252</c:v>
                </c:pt>
                <c:pt idx="8">
                  <c:v>281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AE7-8739-0BCD60B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76864"/>
        <c:axId val="155283456"/>
      </c:scatterChart>
      <c:valAx>
        <c:axId val="1550768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155283456"/>
        <c:crosses val="autoZero"/>
        <c:crossBetween val="midCat"/>
      </c:valAx>
      <c:valAx>
        <c:axId val="155283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55076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16</xdr:col>
      <xdr:colOff>466725</xdr:colOff>
      <xdr:row>42</xdr:row>
      <xdr:rowOff>57150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361950</xdr:colOff>
      <xdr:row>0</xdr:row>
      <xdr:rowOff>95250</xdr:rowOff>
    </xdr:from>
    <xdr:to>
      <xdr:col>32</xdr:col>
      <xdr:colOff>28575</xdr:colOff>
      <xdr:row>14</xdr:row>
      <xdr:rowOff>123825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14</xdr:row>
      <xdr:rowOff>152400</xdr:rowOff>
    </xdr:from>
    <xdr:to>
      <xdr:col>32</xdr:col>
      <xdr:colOff>28575</xdr:colOff>
      <xdr:row>29</xdr:row>
      <xdr:rowOff>38100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352425</xdr:colOff>
      <xdr:row>29</xdr:row>
      <xdr:rowOff>66675</xdr:rowOff>
    </xdr:from>
    <xdr:to>
      <xdr:col>32</xdr:col>
      <xdr:colOff>19050</xdr:colOff>
      <xdr:row>43</xdr:row>
      <xdr:rowOff>142875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11</xdr:col>
      <xdr:colOff>466725</xdr:colOff>
      <xdr:row>42</xdr:row>
      <xdr:rowOff>57150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123825</xdr:colOff>
      <xdr:row>2</xdr:row>
      <xdr:rowOff>95250</xdr:rowOff>
    </xdr:from>
    <xdr:to>
      <xdr:col>33</xdr:col>
      <xdr:colOff>152400</xdr:colOff>
      <xdr:row>26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7</xdr:row>
      <xdr:rowOff>28575</xdr:rowOff>
    </xdr:from>
    <xdr:to>
      <xdr:col>20</xdr:col>
      <xdr:colOff>161925</xdr:colOff>
      <xdr:row>21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F60"/>
  <sheetViews>
    <sheetView tabSelected="1" topLeftCell="U45" workbookViewId="0">
      <selection activeCell="AG62" sqref="A1:AG62"/>
    </sheetView>
  </sheetViews>
  <sheetFormatPr defaultRowHeight="15" x14ac:dyDescent="0.25"/>
  <cols>
    <col min="5" max="6" width="9.5703125" bestFit="1" customWidth="1"/>
    <col min="14" max="14" width="11" customWidth="1"/>
    <col min="16" max="16" width="10.85546875" bestFit="1" customWidth="1"/>
    <col min="19" max="19" width="9.5703125" bestFit="1" customWidth="1"/>
    <col min="20" max="20" width="13.140625" bestFit="1" customWidth="1"/>
    <col min="22" max="22" width="9.5703125" bestFit="1" customWidth="1"/>
    <col min="23" max="23" width="11" bestFit="1" customWidth="1"/>
    <col min="25" max="25" width="9.5703125" bestFit="1" customWidth="1"/>
  </cols>
  <sheetData>
    <row r="2" spans="2:32" x14ac:dyDescent="0.25">
      <c r="L2" s="103">
        <v>600</v>
      </c>
      <c r="M2" s="133"/>
    </row>
    <row r="3" spans="2:32" x14ac:dyDescent="0.25">
      <c r="S3" s="18"/>
      <c r="T3" s="19"/>
      <c r="U3" s="20"/>
      <c r="V3" s="48" t="s">
        <v>24</v>
      </c>
      <c r="W3" s="49"/>
      <c r="X3" s="50"/>
    </row>
    <row r="4" spans="2:32" x14ac:dyDescent="0.25">
      <c r="B4" s="1" t="s">
        <v>0</v>
      </c>
      <c r="C4" s="2" t="s">
        <v>0</v>
      </c>
      <c r="D4" s="2"/>
      <c r="E4" s="2" t="s">
        <v>1</v>
      </c>
      <c r="F4" s="2" t="s">
        <v>1</v>
      </c>
      <c r="G4" s="104" t="s">
        <v>1</v>
      </c>
      <c r="H4" s="2" t="s">
        <v>3</v>
      </c>
      <c r="I4" s="2"/>
      <c r="J4" s="1" t="s">
        <v>92</v>
      </c>
      <c r="K4" s="3" t="s">
        <v>94</v>
      </c>
      <c r="L4" s="2" t="s">
        <v>100</v>
      </c>
      <c r="M4" s="2" t="s">
        <v>97</v>
      </c>
      <c r="N4" s="1" t="s">
        <v>101</v>
      </c>
      <c r="O4" s="3" t="s">
        <v>98</v>
      </c>
      <c r="P4" s="3" t="s">
        <v>2</v>
      </c>
      <c r="Q4" s="112" t="s">
        <v>89</v>
      </c>
      <c r="S4" s="21" t="s">
        <v>12</v>
      </c>
      <c r="T4" s="22"/>
      <c r="U4" s="23"/>
      <c r="V4" s="92">
        <v>298675</v>
      </c>
      <c r="W4" s="52" t="s">
        <v>13</v>
      </c>
      <c r="X4" s="53"/>
      <c r="AC4" s="5"/>
      <c r="AD4" s="5"/>
      <c r="AE4" s="5"/>
      <c r="AF4" s="5"/>
    </row>
    <row r="5" spans="2:32" ht="18.75" x14ac:dyDescent="0.35">
      <c r="B5" s="4" t="s">
        <v>4</v>
      </c>
      <c r="C5" s="6" t="s">
        <v>4</v>
      </c>
      <c r="D5" s="5" t="s">
        <v>81</v>
      </c>
      <c r="E5" s="5" t="s">
        <v>5</v>
      </c>
      <c r="F5" s="59" t="s">
        <v>83</v>
      </c>
      <c r="G5" s="59" t="s">
        <v>4</v>
      </c>
      <c r="H5" s="5" t="s">
        <v>7</v>
      </c>
      <c r="I5" s="47" t="s">
        <v>29</v>
      </c>
      <c r="J5" s="129" t="s">
        <v>30</v>
      </c>
      <c r="K5" s="130" t="s">
        <v>95</v>
      </c>
      <c r="L5" s="132">
        <f>1/3</f>
        <v>0.33333333333333331</v>
      </c>
      <c r="M5" s="47"/>
      <c r="N5" s="134">
        <v>0.5</v>
      </c>
      <c r="O5" s="131"/>
      <c r="P5" s="105" t="s">
        <v>6</v>
      </c>
      <c r="Q5" s="113" t="s">
        <v>90</v>
      </c>
      <c r="S5" s="24" t="s">
        <v>25</v>
      </c>
      <c r="T5" s="25"/>
      <c r="U5" s="26"/>
      <c r="V5" s="93">
        <v>3849.3514239600299</v>
      </c>
      <c r="W5" s="25" t="s">
        <v>14</v>
      </c>
      <c r="X5" s="27"/>
      <c r="AC5" s="5"/>
      <c r="AD5" s="5"/>
      <c r="AE5" s="5"/>
      <c r="AF5" s="5"/>
    </row>
    <row r="6" spans="2:32" x14ac:dyDescent="0.25">
      <c r="B6" s="126" t="s">
        <v>8</v>
      </c>
      <c r="C6" s="127" t="s">
        <v>9</v>
      </c>
      <c r="D6" s="5" t="s">
        <v>82</v>
      </c>
      <c r="E6" s="5" t="s">
        <v>10</v>
      </c>
      <c r="F6" s="59" t="s">
        <v>42</v>
      </c>
      <c r="G6" s="59" t="s">
        <v>9</v>
      </c>
      <c r="H6" s="5"/>
      <c r="I6" s="5" t="s">
        <v>14</v>
      </c>
      <c r="J6" s="64" t="s">
        <v>38</v>
      </c>
      <c r="K6" s="7"/>
      <c r="L6" s="5"/>
      <c r="M6" s="5"/>
      <c r="N6" s="64"/>
      <c r="O6" s="7"/>
      <c r="P6" s="128" t="s">
        <v>11</v>
      </c>
      <c r="Q6" s="102"/>
      <c r="S6" s="24" t="s">
        <v>26</v>
      </c>
      <c r="T6" s="25"/>
      <c r="U6" s="23"/>
      <c r="V6" s="92">
        <v>8195.5</v>
      </c>
      <c r="W6" s="25" t="s">
        <v>14</v>
      </c>
      <c r="X6" s="27"/>
      <c r="AC6" s="5"/>
      <c r="AD6" s="5"/>
      <c r="AE6" s="5"/>
      <c r="AF6" s="5"/>
    </row>
    <row r="7" spans="2:32" x14ac:dyDescent="0.25">
      <c r="B7" s="120">
        <v>0.86089463857172033</v>
      </c>
      <c r="C7" s="121">
        <v>3099.2206988581934</v>
      </c>
      <c r="D7" s="2">
        <v>3.5684894747196014</v>
      </c>
      <c r="E7" s="121">
        <v>471916.60913438571</v>
      </c>
      <c r="F7" s="2">
        <f t="shared" ref="F7:F16" si="0">$V$10*($V$9+273.14)/(H7+273.14)*($V$8+I7)/$V$8</f>
        <v>4.79401396325291</v>
      </c>
      <c r="G7" s="121">
        <f t="shared" ref="G7:G16" si="1">C7*$V$10/F7</f>
        <v>2679.7089469204871</v>
      </c>
      <c r="H7" s="122">
        <v>120.53655675584054</v>
      </c>
      <c r="I7" s="121">
        <f t="shared" ref="I7:I16" si="2">(E7-$V$7)</f>
        <v>185286.60913438571</v>
      </c>
      <c r="J7" s="1">
        <f t="shared" ref="J7:J16" si="3">$V$10*C7^2/I7</f>
        <v>214.87970114707085</v>
      </c>
      <c r="K7" s="2">
        <f>$L$2-J7</f>
        <v>385.12029885292918</v>
      </c>
      <c r="L7" s="1">
        <f>J7^($L$5)</f>
        <v>5.9896088769552831</v>
      </c>
      <c r="M7" s="2">
        <f>$L$2^($L$5)-L7</f>
        <v>2.4447177760622099</v>
      </c>
      <c r="N7" s="1">
        <f>(1000/J7)^$N$5</f>
        <v>2.1572590736126629</v>
      </c>
      <c r="O7" s="3">
        <f>N7-(1000/$L$2)^$N$5</f>
        <v>0.86626462487685729</v>
      </c>
      <c r="P7" s="123">
        <v>317.77525914884393</v>
      </c>
      <c r="Q7" s="124">
        <f>F7*(G7/$H$49)^2</f>
        <v>26765.601288040292</v>
      </c>
      <c r="S7" s="28" t="s">
        <v>15</v>
      </c>
      <c r="T7" s="29" t="s">
        <v>16</v>
      </c>
      <c r="U7" s="30"/>
      <c r="V7" s="94">
        <v>286630</v>
      </c>
      <c r="W7" s="29" t="s">
        <v>88</v>
      </c>
      <c r="X7" s="31"/>
      <c r="AC7" s="5"/>
      <c r="AD7" s="5"/>
      <c r="AE7" s="12"/>
      <c r="AF7" s="5"/>
    </row>
    <row r="8" spans="2:32" x14ac:dyDescent="0.25">
      <c r="B8" s="8">
        <v>1.1989185844974033</v>
      </c>
      <c r="C8" s="9">
        <v>4316.1069041906521</v>
      </c>
      <c r="D8" s="5">
        <v>4.9696306123159619</v>
      </c>
      <c r="E8" s="9">
        <v>470967.73600766389</v>
      </c>
      <c r="F8" s="5">
        <f t="shared" si="0"/>
        <v>4.930273913320268</v>
      </c>
      <c r="G8" s="9">
        <f t="shared" si="1"/>
        <v>3628.7375750060669</v>
      </c>
      <c r="H8" s="11">
        <v>109.02272679957207</v>
      </c>
      <c r="I8" s="9">
        <f t="shared" si="2"/>
        <v>184337.73600766389</v>
      </c>
      <c r="J8" s="64">
        <f t="shared" si="3"/>
        <v>418.89439927985518</v>
      </c>
      <c r="K8" s="5">
        <f t="shared" ref="K8:K16" si="4">$L$2-J8</f>
        <v>181.10560072014482</v>
      </c>
      <c r="L8" s="64">
        <f t="shared" ref="L8:L16" si="5">J8^($L$5)</f>
        <v>7.4822954201842879</v>
      </c>
      <c r="M8" s="5">
        <f t="shared" ref="M8:M16" si="6">$L$2^($L$5)-L8</f>
        <v>0.95203123283320501</v>
      </c>
      <c r="N8" s="64">
        <f t="shared" ref="N8:N16" si="7">(1000/J8)^$N$5</f>
        <v>1.5450684453898835</v>
      </c>
      <c r="O8" s="7">
        <f t="shared" ref="O8:O16" si="8">N8-(1000/$L$2)^$N$5</f>
        <v>0.25407399665407793</v>
      </c>
      <c r="P8" s="106">
        <v>383.26475788846625</v>
      </c>
      <c r="Q8" s="124">
        <f t="shared" ref="Q8:Q16" si="9">F8*(G8/$H$49)^2</f>
        <v>50475.96480725021</v>
      </c>
      <c r="S8" s="108"/>
      <c r="T8" s="109" t="s">
        <v>16</v>
      </c>
      <c r="U8" s="109"/>
      <c r="V8" s="111">
        <f>V7+101325</f>
        <v>387955</v>
      </c>
      <c r="W8" s="25" t="s">
        <v>87</v>
      </c>
      <c r="X8" s="110"/>
      <c r="AC8" s="5"/>
      <c r="AD8" s="5"/>
      <c r="AE8" s="10"/>
      <c r="AF8" s="5"/>
    </row>
    <row r="9" spans="2:32" x14ac:dyDescent="0.25">
      <c r="B9" s="8">
        <v>1.5369425304230864</v>
      </c>
      <c r="C9" s="9">
        <v>5532.9931095231113</v>
      </c>
      <c r="D9" s="5">
        <v>6.370771749912322</v>
      </c>
      <c r="E9" s="9">
        <v>467007.41658413952</v>
      </c>
      <c r="F9" s="5">
        <f t="shared" si="0"/>
        <v>4.9942238163213384</v>
      </c>
      <c r="G9" s="9">
        <f t="shared" si="1"/>
        <v>4592.2608083227105</v>
      </c>
      <c r="H9" s="11">
        <v>101.51848138375664</v>
      </c>
      <c r="I9" s="9">
        <f t="shared" si="2"/>
        <v>180377.41658413952</v>
      </c>
      <c r="J9" s="64">
        <f t="shared" si="3"/>
        <v>703.5136255064416</v>
      </c>
      <c r="K9" s="5">
        <f t="shared" si="4"/>
        <v>-103.5136255064416</v>
      </c>
      <c r="L9" s="64">
        <f t="shared" si="5"/>
        <v>8.8938712403290339</v>
      </c>
      <c r="M9" s="5">
        <f t="shared" si="6"/>
        <v>-0.45954458731154091</v>
      </c>
      <c r="N9" s="64">
        <f t="shared" si="7"/>
        <v>1.1922401508959206</v>
      </c>
      <c r="O9" s="7">
        <f t="shared" si="8"/>
        <v>-9.8754297839884986E-2</v>
      </c>
      <c r="P9" s="106">
        <v>442.00522902538813</v>
      </c>
      <c r="Q9" s="124">
        <f t="shared" si="9"/>
        <v>81888.619250720352</v>
      </c>
      <c r="S9" s="108"/>
      <c r="T9" s="109" t="s">
        <v>86</v>
      </c>
      <c r="U9" s="109"/>
      <c r="V9" s="109">
        <v>35</v>
      </c>
      <c r="W9" s="109" t="s">
        <v>84</v>
      </c>
      <c r="X9" s="110"/>
      <c r="AC9" s="5"/>
      <c r="AD9" s="5"/>
      <c r="AE9" s="12"/>
      <c r="AF9" s="5"/>
    </row>
    <row r="10" spans="2:32" x14ac:dyDescent="0.25">
      <c r="B10" s="8">
        <v>1.8749664763487695</v>
      </c>
      <c r="C10" s="9">
        <v>6749.8793148555696</v>
      </c>
      <c r="D10" s="5">
        <v>7.771912887508682</v>
      </c>
      <c r="E10" s="9">
        <v>460246.17977163161</v>
      </c>
      <c r="F10" s="5">
        <f t="shared" si="0"/>
        <v>5.0106462043842868</v>
      </c>
      <c r="G10" s="9">
        <f t="shared" si="1"/>
        <v>5583.8878367724083</v>
      </c>
      <c r="H10" s="11">
        <v>95.847976035050806</v>
      </c>
      <c r="I10" s="9">
        <f t="shared" si="2"/>
        <v>173616.17977163161</v>
      </c>
      <c r="J10" s="64">
        <f t="shared" si="3"/>
        <v>1087.7678957049234</v>
      </c>
      <c r="K10" s="5">
        <f t="shared" si="4"/>
        <v>-487.76789570492338</v>
      </c>
      <c r="L10" s="64">
        <f t="shared" si="5"/>
        <v>10.284394931327618</v>
      </c>
      <c r="M10" s="5">
        <f t="shared" si="6"/>
        <v>-1.8500682783101254</v>
      </c>
      <c r="N10" s="64">
        <f t="shared" si="7"/>
        <v>0.95880851337734108</v>
      </c>
      <c r="O10" s="7">
        <f t="shared" si="8"/>
        <v>-0.33218593535846452</v>
      </c>
      <c r="P10" s="106">
        <v>494.01697030245674</v>
      </c>
      <c r="Q10" s="124">
        <f t="shared" si="9"/>
        <v>121470.15005837867</v>
      </c>
      <c r="S10" s="24"/>
      <c r="T10" s="25" t="s">
        <v>17</v>
      </c>
      <c r="U10" s="32"/>
      <c r="V10" s="55">
        <v>4.1450943179759552</v>
      </c>
      <c r="W10" s="25" t="s">
        <v>18</v>
      </c>
      <c r="X10" s="27"/>
      <c r="AC10" s="5"/>
      <c r="AD10" s="5"/>
      <c r="AE10" s="10"/>
      <c r="AF10" s="5"/>
    </row>
    <row r="11" spans="2:32" x14ac:dyDescent="0.25">
      <c r="B11" s="8">
        <v>2.2129904222744528</v>
      </c>
      <c r="C11" s="9">
        <v>7966.7655201880298</v>
      </c>
      <c r="D11" s="5">
        <v>9.1730540251050439</v>
      </c>
      <c r="E11" s="9">
        <v>450700.28378697415</v>
      </c>
      <c r="F11" s="5">
        <f t="shared" si="0"/>
        <v>4.989081661196118</v>
      </c>
      <c r="G11" s="9">
        <f t="shared" si="1"/>
        <v>6619.0527100855252</v>
      </c>
      <c r="H11" s="11">
        <v>91.143498598623466</v>
      </c>
      <c r="I11" s="9">
        <f t="shared" si="2"/>
        <v>164070.28378697415</v>
      </c>
      <c r="J11" s="64">
        <f t="shared" si="3"/>
        <v>1603.4984995874734</v>
      </c>
      <c r="K11" s="5">
        <f t="shared" si="4"/>
        <v>-1003.4984995874734</v>
      </c>
      <c r="L11" s="64">
        <f t="shared" si="5"/>
        <v>11.704589476146978</v>
      </c>
      <c r="M11" s="5">
        <f t="shared" si="6"/>
        <v>-3.2702628231294852</v>
      </c>
      <c r="N11" s="64">
        <f t="shared" si="7"/>
        <v>0.78970651525622304</v>
      </c>
      <c r="O11" s="7">
        <f t="shared" si="8"/>
        <v>-0.50128793347958256</v>
      </c>
      <c r="P11" s="106">
        <v>539.13238386186572</v>
      </c>
      <c r="Q11" s="124">
        <f t="shared" si="9"/>
        <v>169947.48763056778</v>
      </c>
      <c r="S11" s="33"/>
      <c r="T11" s="34" t="s">
        <v>19</v>
      </c>
      <c r="U11" s="35"/>
      <c r="V11" s="95">
        <v>7793.7912920097278</v>
      </c>
      <c r="W11" s="34" t="s">
        <v>20</v>
      </c>
      <c r="X11" s="36"/>
      <c r="AC11" s="5"/>
      <c r="AD11" s="5"/>
      <c r="AE11" s="10"/>
      <c r="AF11" s="5"/>
    </row>
    <row r="12" spans="2:32" x14ac:dyDescent="0.25">
      <c r="B12" s="8">
        <v>2.5510143682001352</v>
      </c>
      <c r="C12" s="9">
        <v>9183.6517255204872</v>
      </c>
      <c r="D12" s="5">
        <v>10.574195162701402</v>
      </c>
      <c r="E12" s="9">
        <v>438294.9251358303</v>
      </c>
      <c r="F12" s="5">
        <f t="shared" si="0"/>
        <v>4.9332990717175953</v>
      </c>
      <c r="G12" s="9">
        <f t="shared" si="1"/>
        <v>7716.3581676939502</v>
      </c>
      <c r="H12" s="11">
        <v>86.983675984210038</v>
      </c>
      <c r="I12" s="9">
        <f t="shared" si="2"/>
        <v>151664.9251358303</v>
      </c>
      <c r="J12" s="64">
        <f t="shared" si="3"/>
        <v>2305.0485274288949</v>
      </c>
      <c r="K12" s="5">
        <f t="shared" si="4"/>
        <v>-1705.0485274288949</v>
      </c>
      <c r="L12" s="64">
        <f t="shared" si="5"/>
        <v>13.209712257281668</v>
      </c>
      <c r="M12" s="5">
        <f t="shared" si="6"/>
        <v>-4.7753856042641747</v>
      </c>
      <c r="N12" s="64">
        <f t="shared" si="7"/>
        <v>0.65865798857425539</v>
      </c>
      <c r="O12" s="7">
        <f t="shared" si="8"/>
        <v>-0.63233646016155021</v>
      </c>
      <c r="P12" s="106">
        <v>577.05762623555825</v>
      </c>
      <c r="Q12" s="124">
        <f t="shared" si="9"/>
        <v>228383.46487260322</v>
      </c>
      <c r="S12" s="28" t="s">
        <v>21</v>
      </c>
      <c r="T12" s="29" t="s">
        <v>16</v>
      </c>
      <c r="U12" s="37"/>
      <c r="V12" s="96">
        <v>449100</v>
      </c>
      <c r="W12" s="29" t="s">
        <v>14</v>
      </c>
      <c r="X12" s="31"/>
    </row>
    <row r="13" spans="2:32" x14ac:dyDescent="0.25">
      <c r="B13" s="8">
        <v>2.8890383141258185</v>
      </c>
      <c r="C13" s="9">
        <v>10400.537930852946</v>
      </c>
      <c r="D13" s="5">
        <v>11.975336300297762</v>
      </c>
      <c r="E13" s="9">
        <v>422890.09315796109</v>
      </c>
      <c r="F13" s="5">
        <f t="shared" si="0"/>
        <v>4.8442816080195916</v>
      </c>
      <c r="G13" s="9">
        <f t="shared" si="1"/>
        <v>8899.4022580566689</v>
      </c>
      <c r="H13" s="11">
        <v>83.131663085828393</v>
      </c>
      <c r="I13" s="9">
        <f t="shared" si="2"/>
        <v>136260.09315796109</v>
      </c>
      <c r="J13" s="64">
        <f t="shared" si="3"/>
        <v>3290.6170217694771</v>
      </c>
      <c r="K13" s="5">
        <f t="shared" si="4"/>
        <v>-2690.6170217694771</v>
      </c>
      <c r="L13" s="64">
        <f t="shared" si="5"/>
        <v>14.873931599304603</v>
      </c>
      <c r="M13" s="5">
        <f t="shared" si="6"/>
        <v>-6.4396049462871101</v>
      </c>
      <c r="N13" s="64">
        <f t="shared" si="7"/>
        <v>0.5512661553451822</v>
      </c>
      <c r="O13" s="7">
        <f t="shared" si="8"/>
        <v>-0.7397282933906234</v>
      </c>
      <c r="P13" s="106">
        <v>607.37568295338951</v>
      </c>
      <c r="Q13" s="124">
        <f t="shared" si="9"/>
        <v>298300.17891335743</v>
      </c>
      <c r="S13" s="24"/>
      <c r="T13" s="25" t="s">
        <v>17</v>
      </c>
      <c r="U13" s="32"/>
      <c r="V13" s="55">
        <v>4.9945418220459832</v>
      </c>
      <c r="W13" s="25" t="s">
        <v>18</v>
      </c>
      <c r="X13" s="27"/>
    </row>
    <row r="14" spans="2:32" x14ac:dyDescent="0.25">
      <c r="B14" s="8">
        <v>3.2270622600515013</v>
      </c>
      <c r="C14" s="9">
        <v>11617.424136185406</v>
      </c>
      <c r="D14" s="5">
        <v>13.376477437894122</v>
      </c>
      <c r="E14" s="9">
        <v>404282.1965605946</v>
      </c>
      <c r="F14" s="5">
        <f t="shared" si="0"/>
        <v>4.7213048936642714</v>
      </c>
      <c r="G14" s="9">
        <f t="shared" si="1"/>
        <v>10199.578265119162</v>
      </c>
      <c r="H14" s="11">
        <v>79.43567114478617</v>
      </c>
      <c r="I14" s="9">
        <f t="shared" si="2"/>
        <v>117652.1965605946</v>
      </c>
      <c r="J14" s="64">
        <f t="shared" si="3"/>
        <v>4755.0388262469951</v>
      </c>
      <c r="K14" s="5">
        <f t="shared" si="4"/>
        <v>-4155.0388262469951</v>
      </c>
      <c r="L14" s="64">
        <f t="shared" si="5"/>
        <v>16.81581893690327</v>
      </c>
      <c r="M14" s="5">
        <f t="shared" si="6"/>
        <v>-8.3814922838857768</v>
      </c>
      <c r="N14" s="64">
        <f t="shared" si="7"/>
        <v>0.45858829571453341</v>
      </c>
      <c r="O14" s="7">
        <f t="shared" si="8"/>
        <v>-0.83240615302127219</v>
      </c>
      <c r="P14" s="106">
        <v>629.52558482306927</v>
      </c>
      <c r="Q14" s="124">
        <f t="shared" si="9"/>
        <v>381881.77630835224</v>
      </c>
      <c r="S14" s="33"/>
      <c r="T14" s="34" t="s">
        <v>19</v>
      </c>
      <c r="U14" s="35"/>
      <c r="V14" s="95">
        <v>6468.26098390063</v>
      </c>
      <c r="W14" s="34" t="s">
        <v>20</v>
      </c>
      <c r="X14" s="36"/>
    </row>
    <row r="15" spans="2:32" x14ac:dyDescent="0.25">
      <c r="B15" s="8">
        <v>3.5650862059771846</v>
      </c>
      <c r="C15" s="9">
        <v>12834.310341517865</v>
      </c>
      <c r="D15" s="5">
        <v>14.777618575490484</v>
      </c>
      <c r="E15" s="9">
        <v>382193.17817981611</v>
      </c>
      <c r="F15" s="5">
        <f t="shared" si="0"/>
        <v>4.5622922249248505</v>
      </c>
      <c r="G15" s="9">
        <f t="shared" si="1"/>
        <v>11660.679379791818</v>
      </c>
      <c r="H15" s="11">
        <v>75.784004982497493</v>
      </c>
      <c r="I15" s="9">
        <f t="shared" si="2"/>
        <v>95563.17817981611</v>
      </c>
      <c r="J15" s="64">
        <f t="shared" si="3"/>
        <v>7144.7807352993195</v>
      </c>
      <c r="K15" s="5">
        <f t="shared" si="4"/>
        <v>-6544.7807352993195</v>
      </c>
      <c r="L15" s="64">
        <f t="shared" si="5"/>
        <v>19.260296496701816</v>
      </c>
      <c r="M15" s="5">
        <f t="shared" si="6"/>
        <v>-10.825969843684323</v>
      </c>
      <c r="N15" s="64">
        <f t="shared" si="7"/>
        <v>0.37411536688402708</v>
      </c>
      <c r="O15" s="7">
        <f t="shared" si="8"/>
        <v>-0.91687908185177847</v>
      </c>
      <c r="P15" s="106">
        <v>642.76230670486711</v>
      </c>
      <c r="Q15" s="124">
        <f t="shared" si="9"/>
        <v>482317.77218273171</v>
      </c>
      <c r="S15" s="24" t="s">
        <v>27</v>
      </c>
      <c r="T15" s="25"/>
      <c r="U15" s="26"/>
      <c r="V15" s="97">
        <v>420.03470891229495</v>
      </c>
      <c r="W15" s="25" t="s">
        <v>14</v>
      </c>
      <c r="X15" s="27"/>
    </row>
    <row r="16" spans="2:32" x14ac:dyDescent="0.25">
      <c r="B16" s="13">
        <v>3.5650862059771846</v>
      </c>
      <c r="C16" s="14">
        <v>12834.310341517865</v>
      </c>
      <c r="D16" s="16">
        <v>14.777618575490484</v>
      </c>
      <c r="E16" s="14">
        <v>382193.17817981611</v>
      </c>
      <c r="F16" s="16">
        <f t="shared" si="0"/>
        <v>4.5622922249248505</v>
      </c>
      <c r="G16" s="14">
        <f t="shared" si="1"/>
        <v>11660.679379791818</v>
      </c>
      <c r="H16" s="15">
        <v>75.784004982497493</v>
      </c>
      <c r="I16" s="14">
        <f t="shared" si="2"/>
        <v>95563.17817981611</v>
      </c>
      <c r="J16" s="58">
        <f t="shared" si="3"/>
        <v>7144.7807352993195</v>
      </c>
      <c r="K16" s="16">
        <f t="shared" si="4"/>
        <v>-6544.7807352993195</v>
      </c>
      <c r="L16" s="58">
        <f t="shared" si="5"/>
        <v>19.260296496701816</v>
      </c>
      <c r="M16" s="16">
        <f t="shared" si="6"/>
        <v>-10.825969843684323</v>
      </c>
      <c r="N16" s="58">
        <f t="shared" si="7"/>
        <v>0.37411536688402708</v>
      </c>
      <c r="O16" s="17">
        <f t="shared" si="8"/>
        <v>-0.91687908185177847</v>
      </c>
      <c r="P16" s="107">
        <v>642.76230670486711</v>
      </c>
      <c r="Q16" s="125">
        <f t="shared" si="9"/>
        <v>482317.77218273171</v>
      </c>
      <c r="S16" s="38" t="s">
        <v>22</v>
      </c>
      <c r="T16" s="39"/>
      <c r="U16" s="40"/>
      <c r="V16" s="98">
        <v>448675.25858719263</v>
      </c>
      <c r="W16" s="52" t="s">
        <v>13</v>
      </c>
      <c r="X16" s="53"/>
    </row>
    <row r="17" spans="10:24" x14ac:dyDescent="0.25">
      <c r="J17" s="59">
        <f>J16/J7</f>
        <v>33.250142741073496</v>
      </c>
      <c r="K17" s="59"/>
      <c r="L17" s="59">
        <f t="shared" ref="L17" si="10">L16/L7</f>
        <v>3.215618397188643</v>
      </c>
      <c r="M17" s="59"/>
      <c r="N17" s="59"/>
      <c r="O17" s="59"/>
      <c r="S17" s="24" t="s">
        <v>28</v>
      </c>
      <c r="T17" s="25"/>
      <c r="U17" s="41"/>
      <c r="V17" s="51">
        <v>0.25858719262760133</v>
      </c>
      <c r="W17" s="25" t="s">
        <v>14</v>
      </c>
      <c r="X17" s="27"/>
    </row>
    <row r="18" spans="10:24" x14ac:dyDescent="0.25">
      <c r="S18" s="42" t="s">
        <v>23</v>
      </c>
      <c r="T18" s="43"/>
      <c r="U18" s="44"/>
      <c r="V18" s="99">
        <v>448675</v>
      </c>
      <c r="W18" s="56" t="s">
        <v>13</v>
      </c>
      <c r="X18" s="57"/>
    </row>
    <row r="23" spans="10:24" x14ac:dyDescent="0.25">
      <c r="S23" t="s">
        <v>99</v>
      </c>
    </row>
    <row r="24" spans="10:24" x14ac:dyDescent="0.25">
      <c r="S24" s="67" t="s">
        <v>64</v>
      </c>
      <c r="T24" s="2"/>
      <c r="U24" s="2"/>
      <c r="V24" s="2" t="s">
        <v>31</v>
      </c>
      <c r="W24" s="68">
        <v>0.15</v>
      </c>
      <c r="X24" s="3"/>
    </row>
    <row r="25" spans="10:24" x14ac:dyDescent="0.25">
      <c r="S25" s="64">
        <v>-100</v>
      </c>
      <c r="T25" s="5">
        <v>200000</v>
      </c>
      <c r="U25" s="5"/>
      <c r="V25" s="5" t="s">
        <v>32</v>
      </c>
      <c r="W25" s="69">
        <v>0.15</v>
      </c>
      <c r="X25" s="7"/>
    </row>
    <row r="26" spans="10:24" x14ac:dyDescent="0.25">
      <c r="S26" s="64">
        <v>4294</v>
      </c>
      <c r="T26" s="5">
        <f>S26</f>
        <v>4294</v>
      </c>
      <c r="U26" s="70" t="s">
        <v>36</v>
      </c>
      <c r="V26" s="5" t="s">
        <v>35</v>
      </c>
      <c r="W26" s="5"/>
      <c r="X26" s="7"/>
    </row>
    <row r="27" spans="10:24" x14ac:dyDescent="0.25">
      <c r="S27" s="64">
        <f>S26*(1+W24)</f>
        <v>4938.0999999999995</v>
      </c>
      <c r="T27" s="5">
        <f t="shared" ref="T27:T29" si="11">S27</f>
        <v>4938.0999999999995</v>
      </c>
      <c r="U27" s="70" t="s">
        <v>36</v>
      </c>
      <c r="V27" s="5" t="s">
        <v>33</v>
      </c>
      <c r="W27" s="5"/>
      <c r="X27" s="7"/>
    </row>
    <row r="28" spans="10:24" x14ac:dyDescent="0.25">
      <c r="S28" s="64">
        <f>S27*(1+W25)</f>
        <v>5678.8149999999987</v>
      </c>
      <c r="T28" s="5">
        <f t="shared" si="11"/>
        <v>5678.8149999999987</v>
      </c>
      <c r="U28" s="70" t="s">
        <v>36</v>
      </c>
      <c r="V28" s="5" t="s">
        <v>34</v>
      </c>
      <c r="W28" s="5"/>
      <c r="X28" s="7"/>
    </row>
    <row r="29" spans="10:24" x14ac:dyDescent="0.25">
      <c r="S29" s="58">
        <v>7794</v>
      </c>
      <c r="T29" s="16">
        <f t="shared" si="11"/>
        <v>7794</v>
      </c>
      <c r="U29" s="71" t="s">
        <v>36</v>
      </c>
      <c r="V29" s="16" t="s">
        <v>37</v>
      </c>
      <c r="W29" s="16"/>
      <c r="X29" s="17"/>
    </row>
    <row r="32" spans="10:24" x14ac:dyDescent="0.25">
      <c r="S32" s="63" t="s">
        <v>35</v>
      </c>
      <c r="T32" s="3"/>
    </row>
    <row r="33" spans="2:23" x14ac:dyDescent="0.25">
      <c r="S33" s="64">
        <v>183400</v>
      </c>
      <c r="T33" s="7" t="s">
        <v>14</v>
      </c>
    </row>
    <row r="34" spans="2:23" x14ac:dyDescent="0.25">
      <c r="S34" s="64">
        <v>4294</v>
      </c>
      <c r="T34" s="7" t="s">
        <v>39</v>
      </c>
    </row>
    <row r="35" spans="2:23" x14ac:dyDescent="0.25">
      <c r="S35" s="64">
        <v>4.1449999999999996</v>
      </c>
      <c r="T35" s="7" t="s">
        <v>40</v>
      </c>
    </row>
    <row r="36" spans="2:23" x14ac:dyDescent="0.25">
      <c r="S36" s="58">
        <f>S35*S34^2/S33</f>
        <v>416.72473947655396</v>
      </c>
      <c r="T36" s="17"/>
      <c r="W36">
        <v>3</v>
      </c>
    </row>
    <row r="37" spans="2:23" x14ac:dyDescent="0.25">
      <c r="S37" t="s">
        <v>96</v>
      </c>
      <c r="T37">
        <f>(1+W24)*(1+W25)*S36</f>
        <v>551.1184679577425</v>
      </c>
      <c r="W37">
        <v>4</v>
      </c>
    </row>
    <row r="38" spans="2:23" x14ac:dyDescent="0.25">
      <c r="W38">
        <v>5</v>
      </c>
    </row>
    <row r="39" spans="2:23" x14ac:dyDescent="0.25">
      <c r="S39">
        <f>4.99/4.145</f>
        <v>1.2038600723763573</v>
      </c>
      <c r="T39">
        <f>((449100+100000)/V8)</f>
        <v>1.4153703393434807</v>
      </c>
      <c r="U39" t="s">
        <v>93</v>
      </c>
      <c r="W39">
        <f>W36^(W37*W38)</f>
        <v>3486784401</v>
      </c>
    </row>
    <row r="40" spans="2:23" x14ac:dyDescent="0.25">
      <c r="S40">
        <f>S39^T40</f>
        <v>1.4153703393434807</v>
      </c>
      <c r="T40">
        <f>LOG(T39)/LOG(S39)</f>
        <v>1.8723946353452823</v>
      </c>
      <c r="W40">
        <f>(W36^W37)^W38</f>
        <v>3486784401</v>
      </c>
    </row>
    <row r="41" spans="2:23" x14ac:dyDescent="0.25">
      <c r="T41">
        <f>1/1.4/(1.42/2.42)</f>
        <v>1.2173038229376258</v>
      </c>
    </row>
    <row r="42" spans="2:23" x14ac:dyDescent="0.25">
      <c r="T42">
        <f>1/T41</f>
        <v>0.82148760330578507</v>
      </c>
    </row>
    <row r="44" spans="2:23" x14ac:dyDescent="0.25">
      <c r="S44" s="100" t="s">
        <v>76</v>
      </c>
    </row>
    <row r="45" spans="2:23" x14ac:dyDescent="0.25">
      <c r="S45" s="101">
        <f>4218/(155600/4.22)^0.5</f>
        <v>21.966355332211506</v>
      </c>
      <c r="U45">
        <v>155600</v>
      </c>
      <c r="V45" t="s">
        <v>14</v>
      </c>
    </row>
    <row r="46" spans="2:23" x14ac:dyDescent="0.25">
      <c r="B46" t="s">
        <v>43</v>
      </c>
      <c r="D46" s="61" t="s">
        <v>44</v>
      </c>
      <c r="E46">
        <v>-1.003E-3</v>
      </c>
      <c r="F46" s="60" t="s">
        <v>45</v>
      </c>
      <c r="G46">
        <v>6.8042999999999996</v>
      </c>
      <c r="H46" s="60" t="s">
        <v>46</v>
      </c>
      <c r="I46">
        <v>173639</v>
      </c>
      <c r="S46" s="101">
        <f>S45/0.95</f>
        <v>23.122479297064746</v>
      </c>
      <c r="U46">
        <v>4.22</v>
      </c>
      <c r="V46" t="s">
        <v>42</v>
      </c>
    </row>
    <row r="47" spans="2:23" x14ac:dyDescent="0.25">
      <c r="B47" t="s">
        <v>43</v>
      </c>
      <c r="D47" s="61" t="s">
        <v>48</v>
      </c>
      <c r="E47">
        <f>E46/V10</f>
        <v>-2.4197278108975908E-4</v>
      </c>
      <c r="F47" s="60" t="s">
        <v>45</v>
      </c>
      <c r="G47">
        <f>G46/V10</f>
        <v>1.641530801963158</v>
      </c>
      <c r="H47" s="60" t="s">
        <v>46</v>
      </c>
      <c r="I47">
        <f>I46/V10</f>
        <v>41890.241012606857</v>
      </c>
      <c r="S47" s="102">
        <f>S46/0.923</f>
        <v>25.051440191836129</v>
      </c>
      <c r="U47">
        <f>S47*(U45/U46)^0.5</f>
        <v>4810.4008667388953</v>
      </c>
      <c r="V47" t="s">
        <v>39</v>
      </c>
    </row>
    <row r="48" spans="2:23" x14ac:dyDescent="0.25">
      <c r="B48" t="s">
        <v>41</v>
      </c>
      <c r="D48" s="61" t="s">
        <v>48</v>
      </c>
      <c r="E48" s="135" t="s">
        <v>49</v>
      </c>
      <c r="F48" s="135"/>
      <c r="G48" s="135"/>
      <c r="H48" s="60" t="s">
        <v>47</v>
      </c>
    </row>
    <row r="49" spans="2:20" x14ac:dyDescent="0.25">
      <c r="B49" t="s">
        <v>60</v>
      </c>
      <c r="D49" t="s">
        <v>52</v>
      </c>
      <c r="E49" s="135" t="s">
        <v>91</v>
      </c>
      <c r="F49" s="135"/>
      <c r="G49" s="45" t="s">
        <v>50</v>
      </c>
      <c r="H49">
        <f>V14/((V12-V7)/V13)^0.5</f>
        <v>35.863177976812125</v>
      </c>
    </row>
    <row r="50" spans="2:20" x14ac:dyDescent="0.25">
      <c r="B50" t="s">
        <v>54</v>
      </c>
      <c r="D50" t="s">
        <v>55</v>
      </c>
      <c r="E50">
        <v>23.8</v>
      </c>
      <c r="F50" s="60" t="s">
        <v>67</v>
      </c>
    </row>
    <row r="51" spans="2:20" x14ac:dyDescent="0.25">
      <c r="B51" t="s">
        <v>74</v>
      </c>
      <c r="D51" s="61" t="s">
        <v>75</v>
      </c>
      <c r="E51">
        <f>1/(20-4)</f>
        <v>6.25E-2</v>
      </c>
      <c r="F51" s="60" t="s">
        <v>77</v>
      </c>
      <c r="G51">
        <v>-0.25</v>
      </c>
    </row>
    <row r="52" spans="2:20" x14ac:dyDescent="0.25">
      <c r="P52" s="46" t="s">
        <v>62</v>
      </c>
      <c r="R52" s="60" t="s">
        <v>66</v>
      </c>
    </row>
    <row r="53" spans="2:20" x14ac:dyDescent="0.25">
      <c r="B53" s="46" t="s">
        <v>65</v>
      </c>
      <c r="C53" s="46" t="s">
        <v>51</v>
      </c>
      <c r="D53" s="46" t="s">
        <v>56</v>
      </c>
      <c r="E53" s="46"/>
      <c r="F53" s="46" t="s">
        <v>59</v>
      </c>
      <c r="G53" s="46" t="s">
        <v>58</v>
      </c>
      <c r="H53" s="72" t="s">
        <v>61</v>
      </c>
      <c r="I53" s="72" t="s">
        <v>29</v>
      </c>
      <c r="J53" s="46"/>
      <c r="K53" s="46"/>
      <c r="L53" s="46"/>
      <c r="M53" s="46"/>
      <c r="N53" s="46"/>
      <c r="O53" s="46"/>
      <c r="P53" s="60" t="s">
        <v>78</v>
      </c>
      <c r="Q53" s="46"/>
      <c r="R53" s="60" t="s">
        <v>67</v>
      </c>
      <c r="T53" s="46" t="s">
        <v>63</v>
      </c>
    </row>
    <row r="54" spans="2:20" x14ac:dyDescent="0.25">
      <c r="B54">
        <v>1</v>
      </c>
      <c r="C54">
        <f>H49</f>
        <v>35.863177976812125</v>
      </c>
      <c r="D54">
        <v>0</v>
      </c>
      <c r="E54" s="66" t="s">
        <v>57</v>
      </c>
      <c r="F54">
        <f>$E$47-(C54+D54)^-2</f>
        <v>-1.0194764678965644E-3</v>
      </c>
      <c r="G54" s="65">
        <f>(-$G$47-($G$47^2-4*F54*$I$47)^0.5)/2/F54</f>
        <v>7265.5894999842621</v>
      </c>
      <c r="H54" s="65">
        <f>$E$47*G54^2+$G$47*G54+$I$47</f>
        <v>41043.479455297012</v>
      </c>
      <c r="I54" s="65">
        <f>H54*$V$10</f>
        <v>170129.0934801145</v>
      </c>
      <c r="J54" s="66" t="s">
        <v>57</v>
      </c>
      <c r="K54" s="66"/>
      <c r="L54" s="66"/>
      <c r="M54" s="66"/>
      <c r="N54" s="66"/>
      <c r="O54" s="66"/>
      <c r="P54" s="103">
        <v>4</v>
      </c>
      <c r="Q54" s="66" t="s">
        <v>57</v>
      </c>
      <c r="R54">
        <f>$E$51*P54+$G$51</f>
        <v>0</v>
      </c>
      <c r="S54" s="66" t="s">
        <v>57</v>
      </c>
      <c r="T54">
        <f>$E$50*R54</f>
        <v>0</v>
      </c>
    </row>
    <row r="55" spans="2:20" x14ac:dyDescent="0.25">
      <c r="B55">
        <v>2</v>
      </c>
      <c r="C55">
        <v>20</v>
      </c>
      <c r="D55">
        <v>0</v>
      </c>
      <c r="E55" s="66" t="s">
        <v>57</v>
      </c>
      <c r="F55">
        <f>$E$47-(C55+D55)^-2</f>
        <v>-2.7419727810897594E-3</v>
      </c>
      <c r="G55" s="65">
        <f>(-$G$47-($G$47^2-4*F55*$I$47)^0.5)/2/F55</f>
        <v>4219.4117393724373</v>
      </c>
      <c r="H55" s="65">
        <f>$E$47*G55^2+$G$47*G55+$I$47</f>
        <v>44508.588565884857</v>
      </c>
      <c r="I55" s="65">
        <f>H55*$V$10</f>
        <v>184492.29756557889</v>
      </c>
      <c r="J55" s="66" t="s">
        <v>57</v>
      </c>
      <c r="K55" s="66"/>
      <c r="L55" s="66"/>
      <c r="M55" s="66"/>
      <c r="N55" s="66"/>
      <c r="O55" s="66"/>
      <c r="P55" s="103">
        <v>6</v>
      </c>
      <c r="Q55" s="66" t="s">
        <v>57</v>
      </c>
      <c r="R55">
        <f t="shared" ref="R55:R57" si="12">$E$51*P55+$G$51</f>
        <v>0.125</v>
      </c>
      <c r="S55" s="66" t="s">
        <v>57</v>
      </c>
      <c r="T55">
        <f>$E$50*R55</f>
        <v>2.9750000000000001</v>
      </c>
    </row>
    <row r="56" spans="2:20" x14ac:dyDescent="0.25">
      <c r="B56">
        <v>3</v>
      </c>
      <c r="C56">
        <v>20</v>
      </c>
      <c r="D56">
        <f>T55</f>
        <v>2.9750000000000001</v>
      </c>
      <c r="E56" s="66" t="s">
        <v>57</v>
      </c>
      <c r="F56">
        <f>$E$47-(C56+D56)^-2</f>
        <v>-2.1364481357414658E-3</v>
      </c>
      <c r="G56" s="65">
        <f>(-$G$47-($G$47^2-4*F56*$I$47)^0.5)/2/F56</f>
        <v>4828.8338396350891</v>
      </c>
      <c r="H56" s="65">
        <f>$E$47*G56^2+$G$47*G56+$I$47</f>
        <v>44174.687205883223</v>
      </c>
      <c r="I56" s="65">
        <f>H56*$V$10</f>
        <v>183108.24493547168</v>
      </c>
      <c r="J56" s="66" t="s">
        <v>57</v>
      </c>
      <c r="K56" s="66"/>
      <c r="L56" s="66"/>
      <c r="M56" s="66"/>
      <c r="N56" s="66"/>
      <c r="O56" s="66"/>
      <c r="P56" s="103">
        <v>20</v>
      </c>
      <c r="Q56" s="66" t="s">
        <v>57</v>
      </c>
      <c r="R56">
        <f t="shared" si="12"/>
        <v>1</v>
      </c>
      <c r="S56" s="66" t="s">
        <v>57</v>
      </c>
      <c r="T56">
        <f>$E$50*R56</f>
        <v>23.8</v>
      </c>
    </row>
    <row r="57" spans="2:20" x14ac:dyDescent="0.25">
      <c r="B57">
        <v>3</v>
      </c>
      <c r="C57">
        <v>0</v>
      </c>
      <c r="D57">
        <f>T56</f>
        <v>23.8</v>
      </c>
      <c r="E57" s="66" t="s">
        <v>57</v>
      </c>
      <c r="F57">
        <f>$E$47-(C57+D57)^-2</f>
        <v>-2.0073848282615688E-3</v>
      </c>
      <c r="G57" s="65">
        <f>(-$G$47-($G$47^2-4*F57*$I$47)^0.5)/2/F57</f>
        <v>4995.2924981350125</v>
      </c>
      <c r="H57" s="65">
        <f>$E$47*G57^2+$G$47*G57+$I$47</f>
        <v>44052.23349679388</v>
      </c>
      <c r="I57" s="65">
        <f>H57*$V$10</f>
        <v>182600.66276171035</v>
      </c>
      <c r="J57" s="66" t="s">
        <v>57</v>
      </c>
      <c r="K57" s="66"/>
      <c r="L57" s="66"/>
      <c r="M57" s="66"/>
      <c r="N57" s="66"/>
      <c r="O57" s="66"/>
      <c r="P57" s="103">
        <v>20</v>
      </c>
      <c r="Q57" s="66" t="s">
        <v>57</v>
      </c>
      <c r="R57">
        <f t="shared" si="12"/>
        <v>1</v>
      </c>
      <c r="S57" s="66" t="s">
        <v>57</v>
      </c>
      <c r="T57">
        <f>$E$50*R57</f>
        <v>23.8</v>
      </c>
    </row>
    <row r="58" spans="2:20" x14ac:dyDescent="0.25">
      <c r="I58" s="65"/>
    </row>
    <row r="60" spans="2:20" x14ac:dyDescent="0.25">
      <c r="B60" s="62" t="s">
        <v>79</v>
      </c>
      <c r="C60" t="s">
        <v>80</v>
      </c>
    </row>
  </sheetData>
  <mergeCells count="2">
    <mergeCell ref="E48:G48"/>
    <mergeCell ref="E49:F49"/>
  </mergeCells>
  <pageMargins left="0.25" right="0.25" top="0.75" bottom="0.75" header="0.3" footer="0.3"/>
  <pageSetup paperSize="8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60"/>
  <sheetViews>
    <sheetView workbookViewId="0">
      <selection activeCell="H12" sqref="H12"/>
    </sheetView>
  </sheetViews>
  <sheetFormatPr defaultRowHeight="15" x14ac:dyDescent="0.25"/>
  <cols>
    <col min="5" max="6" width="9.5703125" bestFit="1" customWidth="1"/>
    <col min="11" max="11" width="10.85546875" bestFit="1" customWidth="1"/>
    <col min="12" max="12" width="11" bestFit="1" customWidth="1"/>
    <col min="14" max="14" width="9.5703125" bestFit="1" customWidth="1"/>
    <col min="15" max="15" width="13.140625" bestFit="1" customWidth="1"/>
    <col min="17" max="17" width="9.5703125" bestFit="1" customWidth="1"/>
    <col min="18" max="18" width="11" bestFit="1" customWidth="1"/>
    <col min="20" max="20" width="9.5703125" bestFit="1" customWidth="1"/>
  </cols>
  <sheetData>
    <row r="3" spans="2:27" x14ac:dyDescent="0.25">
      <c r="N3" s="18"/>
      <c r="O3" s="19"/>
      <c r="P3" s="20"/>
      <c r="Q3" s="48" t="s">
        <v>24</v>
      </c>
      <c r="R3" s="49"/>
      <c r="S3" s="50"/>
    </row>
    <row r="4" spans="2:27" x14ac:dyDescent="0.25">
      <c r="B4" s="1" t="s">
        <v>0</v>
      </c>
      <c r="C4" s="2" t="s">
        <v>0</v>
      </c>
      <c r="D4" s="2"/>
      <c r="E4" s="2" t="s">
        <v>1</v>
      </c>
      <c r="F4" s="2" t="s">
        <v>1</v>
      </c>
      <c r="G4" s="104" t="s">
        <v>1</v>
      </c>
      <c r="H4" s="2" t="s">
        <v>3</v>
      </c>
      <c r="I4" s="2"/>
      <c r="J4" s="2"/>
      <c r="K4" s="3" t="s">
        <v>2</v>
      </c>
      <c r="L4" s="112" t="s">
        <v>89</v>
      </c>
      <c r="N4" s="21" t="s">
        <v>12</v>
      </c>
      <c r="O4" s="22"/>
      <c r="P4" s="23"/>
      <c r="Q4" s="92">
        <v>298675</v>
      </c>
      <c r="R4" s="52" t="s">
        <v>13</v>
      </c>
      <c r="S4" s="53"/>
      <c r="X4" s="5"/>
      <c r="Y4" s="5"/>
      <c r="Z4" s="5"/>
      <c r="AA4" s="5"/>
    </row>
    <row r="5" spans="2:27" ht="18.75" x14ac:dyDescent="0.35">
      <c r="B5" s="4" t="s">
        <v>4</v>
      </c>
      <c r="C5" s="6" t="s">
        <v>4</v>
      </c>
      <c r="D5" s="5" t="s">
        <v>81</v>
      </c>
      <c r="E5" s="5" t="s">
        <v>5</v>
      </c>
      <c r="F5" s="59" t="s">
        <v>83</v>
      </c>
      <c r="G5" s="59" t="s">
        <v>4</v>
      </c>
      <c r="H5" s="5" t="s">
        <v>7</v>
      </c>
      <c r="I5" s="47" t="s">
        <v>29</v>
      </c>
      <c r="J5" s="47" t="s">
        <v>30</v>
      </c>
      <c r="K5" s="105" t="s">
        <v>6</v>
      </c>
      <c r="L5" s="113" t="s">
        <v>90</v>
      </c>
      <c r="N5" s="24" t="s">
        <v>25</v>
      </c>
      <c r="O5" s="25"/>
      <c r="P5" s="26"/>
      <c r="Q5" s="93">
        <v>3849.3514239600299</v>
      </c>
      <c r="R5" s="25" t="s">
        <v>14</v>
      </c>
      <c r="S5" s="27"/>
      <c r="X5" s="5"/>
      <c r="Y5" s="5"/>
      <c r="Z5" s="5"/>
      <c r="AA5" s="5"/>
    </row>
    <row r="6" spans="2:27" x14ac:dyDescent="0.25">
      <c r="B6" s="116" t="s">
        <v>8</v>
      </c>
      <c r="C6" s="117" t="s">
        <v>9</v>
      </c>
      <c r="D6" s="16" t="s">
        <v>82</v>
      </c>
      <c r="E6" s="16" t="s">
        <v>10</v>
      </c>
      <c r="F6" s="118" t="s">
        <v>42</v>
      </c>
      <c r="G6" s="118" t="s">
        <v>9</v>
      </c>
      <c r="H6" s="16"/>
      <c r="I6" s="16" t="s">
        <v>14</v>
      </c>
      <c r="J6" s="16" t="s">
        <v>38</v>
      </c>
      <c r="K6" s="119" t="s">
        <v>11</v>
      </c>
      <c r="L6" s="102" t="s">
        <v>14</v>
      </c>
      <c r="N6" s="24" t="s">
        <v>26</v>
      </c>
      <c r="O6" s="25"/>
      <c r="P6" s="23"/>
      <c r="Q6" s="92">
        <v>8195.5</v>
      </c>
      <c r="R6" s="25" t="s">
        <v>14</v>
      </c>
      <c r="S6" s="27"/>
      <c r="X6" s="5"/>
      <c r="Y6" s="5"/>
      <c r="Z6" s="5"/>
      <c r="AA6" s="5"/>
    </row>
    <row r="7" spans="2:27" x14ac:dyDescent="0.25">
      <c r="B7" s="8">
        <v>0.86089463857172033</v>
      </c>
      <c r="C7" s="9">
        <v>3099.2206988581934</v>
      </c>
      <c r="D7" s="5">
        <v>3.5684894747196014</v>
      </c>
      <c r="E7" s="9">
        <v>471916.60913438571</v>
      </c>
      <c r="F7" s="5">
        <f t="shared" ref="F7:F16" si="0">$Q$8*($Q$18+273.14)/(H7+273.14)*($T$7+I7)/$T$7</f>
        <v>4.79401396325291</v>
      </c>
      <c r="G7" s="9">
        <f>C7*$Q$8/F7</f>
        <v>2679.7089469204871</v>
      </c>
      <c r="H7" s="11">
        <v>120.53655675584054</v>
      </c>
      <c r="I7" s="9">
        <f t="shared" ref="I7:I16" si="1">(E7-$Q$7)</f>
        <v>185286.60913438571</v>
      </c>
      <c r="J7" s="5">
        <f t="shared" ref="J7:J16" si="2">$Q$8*C7^2/I7</f>
        <v>214.87970114707085</v>
      </c>
      <c r="K7" s="106">
        <v>317.77525914884393</v>
      </c>
      <c r="L7" s="114">
        <f>$Q$8*(C7/$H$49)^2</f>
        <v>25690.978448381855</v>
      </c>
      <c r="N7" s="28" t="s">
        <v>15</v>
      </c>
      <c r="O7" s="29" t="s">
        <v>16</v>
      </c>
      <c r="P7" s="30"/>
      <c r="Q7" s="94">
        <v>286630</v>
      </c>
      <c r="R7" s="29" t="s">
        <v>14</v>
      </c>
      <c r="S7" s="31"/>
      <c r="T7" s="65">
        <f>Q7+101325</f>
        <v>387955</v>
      </c>
      <c r="X7" s="5"/>
      <c r="Y7" s="5"/>
      <c r="Z7" s="12"/>
      <c r="AA7" s="5"/>
    </row>
    <row r="8" spans="2:27" x14ac:dyDescent="0.25">
      <c r="B8" s="8">
        <v>1.1989185844974033</v>
      </c>
      <c r="C8" s="9">
        <v>4316.1069041906521</v>
      </c>
      <c r="D8" s="5">
        <v>4.9696306123159619</v>
      </c>
      <c r="E8" s="9">
        <v>470967.73600766389</v>
      </c>
      <c r="F8" s="5">
        <f t="shared" si="0"/>
        <v>4.930273913320268</v>
      </c>
      <c r="G8" s="9">
        <f t="shared" ref="G8:G16" si="3">C8*$Q$8/F8</f>
        <v>3628.7375750060669</v>
      </c>
      <c r="H8" s="11">
        <v>109.02272679957207</v>
      </c>
      <c r="I8" s="9">
        <f t="shared" si="1"/>
        <v>184337.73600766389</v>
      </c>
      <c r="J8" s="5">
        <f t="shared" si="2"/>
        <v>418.89439927985518</v>
      </c>
      <c r="K8" s="106">
        <v>383.26475788846625</v>
      </c>
      <c r="L8" s="114">
        <f t="shared" ref="L8:L16" si="4">$Q$8*(C8/$H$49)^2</f>
        <v>49826.458843608911</v>
      </c>
      <c r="N8" s="24"/>
      <c r="O8" s="25" t="s">
        <v>17</v>
      </c>
      <c r="P8" s="32"/>
      <c r="Q8" s="54">
        <v>4.1450943179759552</v>
      </c>
      <c r="R8" s="25" t="s">
        <v>18</v>
      </c>
      <c r="S8" s="27"/>
      <c r="X8" s="5"/>
      <c r="Y8" s="5"/>
      <c r="Z8" s="10"/>
      <c r="AA8" s="5"/>
    </row>
    <row r="9" spans="2:27" x14ac:dyDescent="0.25">
      <c r="B9" s="8">
        <v>1.5369425304230864</v>
      </c>
      <c r="C9" s="9">
        <v>5532.9931095231113</v>
      </c>
      <c r="D9" s="5">
        <v>6.370771749912322</v>
      </c>
      <c r="E9" s="9">
        <v>467007.41658413952</v>
      </c>
      <c r="F9" s="5">
        <f t="shared" si="0"/>
        <v>4.9942238163213384</v>
      </c>
      <c r="G9" s="9">
        <f t="shared" si="3"/>
        <v>4592.2608083227105</v>
      </c>
      <c r="H9" s="11">
        <v>101.51848138375664</v>
      </c>
      <c r="I9" s="9">
        <f t="shared" si="1"/>
        <v>180377.41658413952</v>
      </c>
      <c r="J9" s="5">
        <f t="shared" si="2"/>
        <v>703.5136255064416</v>
      </c>
      <c r="K9" s="106">
        <v>442.00522902538813</v>
      </c>
      <c r="L9" s="114">
        <f t="shared" si="4"/>
        <v>81883.405349098757</v>
      </c>
      <c r="N9" s="33"/>
      <c r="O9" s="34" t="s">
        <v>19</v>
      </c>
      <c r="P9" s="35"/>
      <c r="Q9" s="95">
        <v>7793.7912920097278</v>
      </c>
      <c r="R9" s="34" t="s">
        <v>20</v>
      </c>
      <c r="S9" s="36"/>
      <c r="X9" s="5"/>
      <c r="Y9" s="5"/>
      <c r="Z9" s="12"/>
      <c r="AA9" s="5"/>
    </row>
    <row r="10" spans="2:27" x14ac:dyDescent="0.25">
      <c r="B10" s="8">
        <v>1.8749664763487695</v>
      </c>
      <c r="C10" s="9">
        <v>6749.8793148555696</v>
      </c>
      <c r="D10" s="5">
        <v>7.771912887508682</v>
      </c>
      <c r="E10" s="9">
        <v>460246.17977163161</v>
      </c>
      <c r="F10" s="5">
        <f t="shared" si="0"/>
        <v>5.0106462043842868</v>
      </c>
      <c r="G10" s="9">
        <f t="shared" si="3"/>
        <v>5583.8878367724083</v>
      </c>
      <c r="H10" s="11">
        <v>95.847976035050806</v>
      </c>
      <c r="I10" s="9">
        <f t="shared" si="1"/>
        <v>173616.17977163161</v>
      </c>
      <c r="J10" s="5">
        <f t="shared" si="2"/>
        <v>1087.7678957049234</v>
      </c>
      <c r="K10" s="106">
        <v>494.01697030245674</v>
      </c>
      <c r="L10" s="114">
        <f t="shared" si="4"/>
        <v>121861.81796485136</v>
      </c>
      <c r="N10" s="28" t="s">
        <v>21</v>
      </c>
      <c r="O10" s="29" t="s">
        <v>16</v>
      </c>
      <c r="P10" s="37"/>
      <c r="Q10" s="96">
        <v>449100</v>
      </c>
      <c r="R10" s="29" t="s">
        <v>14</v>
      </c>
      <c r="S10" s="31"/>
      <c r="X10" s="5"/>
      <c r="Y10" s="5"/>
      <c r="Z10" s="10"/>
      <c r="AA10" s="5"/>
    </row>
    <row r="11" spans="2:27" x14ac:dyDescent="0.25">
      <c r="B11" s="8">
        <v>2.2129904222744528</v>
      </c>
      <c r="C11" s="9">
        <v>7966.7655201880298</v>
      </c>
      <c r="D11" s="5">
        <v>9.1730540251050439</v>
      </c>
      <c r="E11" s="9">
        <v>450700.28378697415</v>
      </c>
      <c r="F11" s="5">
        <f t="shared" si="0"/>
        <v>4.989081661196118</v>
      </c>
      <c r="G11" s="9">
        <f t="shared" si="3"/>
        <v>6619.0527100855252</v>
      </c>
      <c r="H11" s="11">
        <v>91.143498598623466</v>
      </c>
      <c r="I11" s="9">
        <f t="shared" si="1"/>
        <v>164070.28378697415</v>
      </c>
      <c r="J11" s="5">
        <f t="shared" si="2"/>
        <v>1603.4984995874734</v>
      </c>
      <c r="K11" s="106">
        <v>539.13238386186572</v>
      </c>
      <c r="L11" s="114">
        <f t="shared" si="4"/>
        <v>169761.69669086684</v>
      </c>
      <c r="N11" s="24"/>
      <c r="O11" s="25" t="s">
        <v>17</v>
      </c>
      <c r="P11" s="32"/>
      <c r="Q11" s="55">
        <v>4.9945418220459832</v>
      </c>
      <c r="R11" s="25" t="s">
        <v>18</v>
      </c>
      <c r="S11" s="27"/>
      <c r="X11" s="5"/>
      <c r="Y11" s="5"/>
      <c r="Z11" s="10"/>
      <c r="AA11" s="5"/>
    </row>
    <row r="12" spans="2:27" x14ac:dyDescent="0.25">
      <c r="B12" s="8">
        <v>2.5510143682001352</v>
      </c>
      <c r="C12" s="9">
        <v>9183.6517255204872</v>
      </c>
      <c r="D12" s="5">
        <v>10.574195162701402</v>
      </c>
      <c r="E12" s="9">
        <v>438294.9251358303</v>
      </c>
      <c r="F12" s="5">
        <f t="shared" si="0"/>
        <v>4.9332990717175953</v>
      </c>
      <c r="G12" s="9">
        <f t="shared" si="3"/>
        <v>7716.3581676939502</v>
      </c>
      <c r="H12" s="11">
        <v>86.983675984210038</v>
      </c>
      <c r="I12" s="9">
        <f t="shared" si="1"/>
        <v>151664.9251358303</v>
      </c>
      <c r="J12" s="5">
        <f t="shared" si="2"/>
        <v>2305.0485274288949</v>
      </c>
      <c r="K12" s="106">
        <v>577.05762623555825</v>
      </c>
      <c r="L12" s="114">
        <f t="shared" si="4"/>
        <v>225583.04152714496</v>
      </c>
      <c r="N12" s="33"/>
      <c r="O12" s="34" t="s">
        <v>19</v>
      </c>
      <c r="P12" s="35"/>
      <c r="Q12" s="95">
        <v>6468.26098390063</v>
      </c>
      <c r="R12" s="34" t="s">
        <v>20</v>
      </c>
      <c r="S12" s="36"/>
    </row>
    <row r="13" spans="2:27" x14ac:dyDescent="0.25">
      <c r="B13" s="8">
        <v>2.8890383141258185</v>
      </c>
      <c r="C13" s="9">
        <v>10400.537930852946</v>
      </c>
      <c r="D13" s="5">
        <v>11.975336300297762</v>
      </c>
      <c r="E13" s="9">
        <v>422890.09315796109</v>
      </c>
      <c r="F13" s="5">
        <f t="shared" si="0"/>
        <v>4.8442816080195916</v>
      </c>
      <c r="G13" s="9">
        <f t="shared" si="3"/>
        <v>8899.4022580566689</v>
      </c>
      <c r="H13" s="11">
        <v>83.131663085828393</v>
      </c>
      <c r="I13" s="9">
        <f t="shared" si="1"/>
        <v>136260.09315796109</v>
      </c>
      <c r="J13" s="5">
        <f t="shared" si="2"/>
        <v>3290.6170217694771</v>
      </c>
      <c r="K13" s="106">
        <v>607.37568295338951</v>
      </c>
      <c r="L13" s="114">
        <f t="shared" si="4"/>
        <v>289325.85247368598</v>
      </c>
      <c r="N13" s="24" t="s">
        <v>27</v>
      </c>
      <c r="O13" s="25"/>
      <c r="P13" s="26"/>
      <c r="Q13" s="97">
        <v>420.03470891229495</v>
      </c>
      <c r="R13" s="25" t="s">
        <v>14</v>
      </c>
      <c r="S13" s="27"/>
    </row>
    <row r="14" spans="2:27" x14ac:dyDescent="0.25">
      <c r="B14" s="8">
        <v>3.2270622600515013</v>
      </c>
      <c r="C14" s="9">
        <v>11617.424136185406</v>
      </c>
      <c r="D14" s="5">
        <v>13.376477437894122</v>
      </c>
      <c r="E14" s="9">
        <v>404282.1965605946</v>
      </c>
      <c r="F14" s="5">
        <f t="shared" si="0"/>
        <v>4.7213048936642714</v>
      </c>
      <c r="G14" s="9">
        <f t="shared" si="3"/>
        <v>10199.578265119162</v>
      </c>
      <c r="H14" s="11">
        <v>79.43567114478617</v>
      </c>
      <c r="I14" s="9">
        <f t="shared" si="1"/>
        <v>117652.1965605946</v>
      </c>
      <c r="J14" s="5">
        <f t="shared" si="2"/>
        <v>4755.0388262469951</v>
      </c>
      <c r="K14" s="106">
        <v>629.52558482306927</v>
      </c>
      <c r="L14" s="114">
        <f t="shared" si="4"/>
        <v>360990.12953048979</v>
      </c>
      <c r="N14" s="38" t="s">
        <v>22</v>
      </c>
      <c r="O14" s="39"/>
      <c r="P14" s="40"/>
      <c r="Q14" s="98">
        <v>448675.25858719263</v>
      </c>
      <c r="R14" s="52" t="s">
        <v>13</v>
      </c>
      <c r="S14" s="53"/>
    </row>
    <row r="15" spans="2:27" x14ac:dyDescent="0.25">
      <c r="B15" s="8">
        <v>3.5650862059771846</v>
      </c>
      <c r="C15" s="9">
        <v>12834.310341517865</v>
      </c>
      <c r="D15" s="5">
        <v>14.777618575490484</v>
      </c>
      <c r="E15" s="9">
        <v>382193.17817981611</v>
      </c>
      <c r="F15" s="5">
        <f t="shared" si="0"/>
        <v>4.5622922249248505</v>
      </c>
      <c r="G15" s="9">
        <f t="shared" si="3"/>
        <v>11660.679379791818</v>
      </c>
      <c r="H15" s="11">
        <v>75.784004982497493</v>
      </c>
      <c r="I15" s="9">
        <f t="shared" si="1"/>
        <v>95563.17817981611</v>
      </c>
      <c r="J15" s="5">
        <f t="shared" si="2"/>
        <v>7144.7807352993195</v>
      </c>
      <c r="K15" s="106">
        <v>642.76230670486711</v>
      </c>
      <c r="L15" s="114">
        <f t="shared" si="4"/>
        <v>440575.87269755639</v>
      </c>
      <c r="N15" s="24" t="s">
        <v>28</v>
      </c>
      <c r="O15" s="25"/>
      <c r="P15" s="41"/>
      <c r="Q15" s="51">
        <v>0.25858719262760133</v>
      </c>
      <c r="R15" s="25" t="s">
        <v>14</v>
      </c>
      <c r="S15" s="27"/>
    </row>
    <row r="16" spans="2:27" x14ac:dyDescent="0.25">
      <c r="B16" s="13">
        <v>3.5650862059771846</v>
      </c>
      <c r="C16" s="14">
        <v>12834.310341517865</v>
      </c>
      <c r="D16" s="16">
        <v>14.777618575490484</v>
      </c>
      <c r="E16" s="14">
        <v>382193.17817981611</v>
      </c>
      <c r="F16" s="16">
        <f t="shared" si="0"/>
        <v>4.5622922249248505</v>
      </c>
      <c r="G16" s="14">
        <f t="shared" si="3"/>
        <v>11660.679379791818</v>
      </c>
      <c r="H16" s="15">
        <v>75.784004982497493</v>
      </c>
      <c r="I16" s="14">
        <f t="shared" si="1"/>
        <v>95563.17817981611</v>
      </c>
      <c r="J16" s="16">
        <f t="shared" si="2"/>
        <v>7144.7807352993195</v>
      </c>
      <c r="K16" s="107">
        <v>642.76230670486711</v>
      </c>
      <c r="L16" s="115">
        <f t="shared" si="4"/>
        <v>440575.87269755639</v>
      </c>
      <c r="N16" s="42" t="s">
        <v>23</v>
      </c>
      <c r="O16" s="43"/>
      <c r="P16" s="44"/>
      <c r="Q16" s="99">
        <v>448675</v>
      </c>
      <c r="R16" s="56" t="s">
        <v>13</v>
      </c>
      <c r="S16" s="57"/>
    </row>
    <row r="18" spans="14:19" x14ac:dyDescent="0.25">
      <c r="P18" t="s">
        <v>85</v>
      </c>
      <c r="Q18">
        <v>35</v>
      </c>
      <c r="R18" t="s">
        <v>84</v>
      </c>
    </row>
    <row r="24" spans="14:19" x14ac:dyDescent="0.25">
      <c r="N24" s="67" t="s">
        <v>64</v>
      </c>
      <c r="O24" s="2"/>
      <c r="P24" s="2"/>
      <c r="Q24" s="2" t="s">
        <v>31</v>
      </c>
      <c r="R24" s="68">
        <v>0.15</v>
      </c>
      <c r="S24" s="3"/>
    </row>
    <row r="25" spans="14:19" x14ac:dyDescent="0.25">
      <c r="N25" s="64">
        <v>-100</v>
      </c>
      <c r="O25" s="5">
        <v>200000</v>
      </c>
      <c r="P25" s="5"/>
      <c r="Q25" s="5" t="s">
        <v>32</v>
      </c>
      <c r="R25" s="69">
        <v>0.15</v>
      </c>
      <c r="S25" s="7"/>
    </row>
    <row r="26" spans="14:19" x14ac:dyDescent="0.25">
      <c r="N26" s="64">
        <v>4294</v>
      </c>
      <c r="O26" s="5">
        <f>N26</f>
        <v>4294</v>
      </c>
      <c r="P26" s="70" t="s">
        <v>36</v>
      </c>
      <c r="Q26" s="5" t="s">
        <v>35</v>
      </c>
      <c r="R26" s="5"/>
      <c r="S26" s="7"/>
    </row>
    <row r="27" spans="14:19" x14ac:dyDescent="0.25">
      <c r="N27" s="64">
        <f>N26*(1+R24)</f>
        <v>4938.0999999999995</v>
      </c>
      <c r="O27" s="5">
        <f t="shared" ref="O27:O29" si="5">N27</f>
        <v>4938.0999999999995</v>
      </c>
      <c r="P27" s="70" t="s">
        <v>36</v>
      </c>
      <c r="Q27" s="5" t="s">
        <v>33</v>
      </c>
      <c r="R27" s="5"/>
      <c r="S27" s="7"/>
    </row>
    <row r="28" spans="14:19" x14ac:dyDescent="0.25">
      <c r="N28" s="64">
        <f>N27*(1+R25)</f>
        <v>5678.8149999999987</v>
      </c>
      <c r="O28" s="5">
        <f t="shared" si="5"/>
        <v>5678.8149999999987</v>
      </c>
      <c r="P28" s="70" t="s">
        <v>36</v>
      </c>
      <c r="Q28" s="5" t="s">
        <v>34</v>
      </c>
      <c r="R28" s="5"/>
      <c r="S28" s="7"/>
    </row>
    <row r="29" spans="14:19" x14ac:dyDescent="0.25">
      <c r="N29" s="58">
        <v>7794</v>
      </c>
      <c r="O29" s="16">
        <f t="shared" si="5"/>
        <v>7794</v>
      </c>
      <c r="P29" s="71" t="s">
        <v>36</v>
      </c>
      <c r="Q29" s="16" t="s">
        <v>37</v>
      </c>
      <c r="R29" s="16"/>
      <c r="S29" s="17"/>
    </row>
    <row r="32" spans="14:19" x14ac:dyDescent="0.25">
      <c r="N32" s="63" t="s">
        <v>35</v>
      </c>
      <c r="O32" s="3"/>
    </row>
    <row r="33" spans="2:18" x14ac:dyDescent="0.25">
      <c r="N33" s="64">
        <v>183400</v>
      </c>
      <c r="O33" s="7" t="s">
        <v>14</v>
      </c>
    </row>
    <row r="34" spans="2:18" x14ac:dyDescent="0.25">
      <c r="N34" s="64">
        <v>4294</v>
      </c>
      <c r="O34" s="7" t="s">
        <v>39</v>
      </c>
    </row>
    <row r="35" spans="2:18" x14ac:dyDescent="0.25">
      <c r="N35" s="64">
        <v>4.1449999999999996</v>
      </c>
      <c r="O35" s="7" t="s">
        <v>40</v>
      </c>
    </row>
    <row r="36" spans="2:18" x14ac:dyDescent="0.25">
      <c r="N36" s="58">
        <f>N35*N34^2/N33</f>
        <v>416.72473947655396</v>
      </c>
      <c r="O36" s="17"/>
      <c r="R36">
        <v>3</v>
      </c>
    </row>
    <row r="37" spans="2:18" x14ac:dyDescent="0.25">
      <c r="R37">
        <v>4</v>
      </c>
    </row>
    <row r="38" spans="2:18" x14ac:dyDescent="0.25">
      <c r="R38">
        <v>5</v>
      </c>
    </row>
    <row r="39" spans="2:18" x14ac:dyDescent="0.25">
      <c r="N39">
        <f>4.99/4.145</f>
        <v>1.2038600723763573</v>
      </c>
      <c r="O39">
        <f>(449100/286630)</f>
        <v>1.566828315249625</v>
      </c>
      <c r="R39">
        <f>R36^(R37*R38)</f>
        <v>3486784401</v>
      </c>
    </row>
    <row r="40" spans="2:18" x14ac:dyDescent="0.25">
      <c r="N40">
        <f>N39^O40</f>
        <v>1.566828315249625</v>
      </c>
      <c r="O40">
        <f>LOG(O39)/LOG(N39)</f>
        <v>2.420340863265046</v>
      </c>
      <c r="R40">
        <f>(R36^R37)^R38</f>
        <v>3486784401</v>
      </c>
    </row>
    <row r="41" spans="2:18" x14ac:dyDescent="0.25">
      <c r="O41">
        <f>1/1.4/(1.42/2.42)</f>
        <v>1.2173038229376258</v>
      </c>
    </row>
    <row r="42" spans="2:18" x14ac:dyDescent="0.25">
      <c r="O42">
        <f>1/O41</f>
        <v>0.82148760330578507</v>
      </c>
    </row>
    <row r="44" spans="2:18" x14ac:dyDescent="0.25">
      <c r="N44" s="100" t="s">
        <v>76</v>
      </c>
    </row>
    <row r="45" spans="2:18" x14ac:dyDescent="0.25">
      <c r="N45" s="101">
        <f>4218/(155600/4.22)^0.5</f>
        <v>21.966355332211506</v>
      </c>
      <c r="P45">
        <v>155600</v>
      </c>
      <c r="Q45" t="s">
        <v>14</v>
      </c>
    </row>
    <row r="46" spans="2:18" x14ac:dyDescent="0.25">
      <c r="B46" t="s">
        <v>43</v>
      </c>
      <c r="D46" s="61" t="s">
        <v>44</v>
      </c>
      <c r="E46">
        <v>-1.003E-3</v>
      </c>
      <c r="F46" s="60" t="s">
        <v>45</v>
      </c>
      <c r="G46">
        <v>6.8042999999999996</v>
      </c>
      <c r="H46" s="60" t="s">
        <v>46</v>
      </c>
      <c r="I46">
        <v>173639</v>
      </c>
      <c r="N46" s="101">
        <f>N45/0.95</f>
        <v>23.122479297064746</v>
      </c>
      <c r="P46">
        <v>4.22</v>
      </c>
      <c r="Q46" t="s">
        <v>42</v>
      </c>
    </row>
    <row r="47" spans="2:18" x14ac:dyDescent="0.25">
      <c r="B47" t="s">
        <v>43</v>
      </c>
      <c r="D47" s="61" t="s">
        <v>48</v>
      </c>
      <c r="E47">
        <f>E46/Q8</f>
        <v>-2.4197278108975908E-4</v>
      </c>
      <c r="F47" s="60" t="s">
        <v>45</v>
      </c>
      <c r="G47">
        <f>G46/Q8</f>
        <v>1.641530801963158</v>
      </c>
      <c r="H47" s="60" t="s">
        <v>46</v>
      </c>
      <c r="I47">
        <f>I46/Q8</f>
        <v>41890.241012606857</v>
      </c>
      <c r="N47" s="102">
        <f>N46/0.923</f>
        <v>25.051440191836129</v>
      </c>
      <c r="P47">
        <f>N47*(P45/P46)^0.5</f>
        <v>4810.4008667388953</v>
      </c>
      <c r="Q47" t="s">
        <v>39</v>
      </c>
    </row>
    <row r="48" spans="2:18" x14ac:dyDescent="0.25">
      <c r="B48" t="s">
        <v>41</v>
      </c>
      <c r="D48" s="61" t="s">
        <v>48</v>
      </c>
      <c r="E48" s="135" t="s">
        <v>49</v>
      </c>
      <c r="F48" s="135"/>
      <c r="G48" s="135"/>
      <c r="H48" s="60" t="s">
        <v>47</v>
      </c>
    </row>
    <row r="49" spans="2:15" x14ac:dyDescent="0.25">
      <c r="B49" t="s">
        <v>60</v>
      </c>
      <c r="D49" t="s">
        <v>52</v>
      </c>
      <c r="E49" s="135" t="s">
        <v>53</v>
      </c>
      <c r="F49" s="135"/>
      <c r="G49" s="45" t="s">
        <v>50</v>
      </c>
      <c r="H49">
        <f>Q9/((Q10-Q7)/Q8)^0.5</f>
        <v>39.366734388935321</v>
      </c>
    </row>
    <row r="50" spans="2:15" x14ac:dyDescent="0.25">
      <c r="B50" t="s">
        <v>54</v>
      </c>
      <c r="D50" t="s">
        <v>55</v>
      </c>
      <c r="E50">
        <v>23.8</v>
      </c>
      <c r="F50" s="60" t="s">
        <v>67</v>
      </c>
    </row>
    <row r="51" spans="2:15" x14ac:dyDescent="0.25">
      <c r="B51" t="s">
        <v>74</v>
      </c>
      <c r="D51" s="61" t="s">
        <v>75</v>
      </c>
      <c r="E51">
        <f>1/(20-4)</f>
        <v>6.25E-2</v>
      </c>
      <c r="F51" s="60" t="s">
        <v>77</v>
      </c>
      <c r="G51">
        <v>-0.25</v>
      </c>
    </row>
    <row r="52" spans="2:15" x14ac:dyDescent="0.25">
      <c r="K52" s="46" t="s">
        <v>62</v>
      </c>
      <c r="M52" s="60" t="s">
        <v>66</v>
      </c>
    </row>
    <row r="53" spans="2:15" x14ac:dyDescent="0.25">
      <c r="B53" s="46" t="s">
        <v>65</v>
      </c>
      <c r="C53" s="46" t="s">
        <v>51</v>
      </c>
      <c r="D53" s="46" t="s">
        <v>56</v>
      </c>
      <c r="E53" s="46"/>
      <c r="F53" s="46" t="s">
        <v>59</v>
      </c>
      <c r="G53" s="46" t="s">
        <v>58</v>
      </c>
      <c r="H53" s="72" t="s">
        <v>61</v>
      </c>
      <c r="I53" s="72" t="s">
        <v>29</v>
      </c>
      <c r="J53" s="46"/>
      <c r="K53" s="60" t="s">
        <v>78</v>
      </c>
      <c r="L53" s="46"/>
      <c r="M53" s="60" t="s">
        <v>67</v>
      </c>
      <c r="O53" s="46" t="s">
        <v>63</v>
      </c>
    </row>
    <row r="54" spans="2:15" x14ac:dyDescent="0.25">
      <c r="B54">
        <v>1</v>
      </c>
      <c r="C54">
        <f>H49</f>
        <v>39.366734388935321</v>
      </c>
      <c r="D54">
        <v>0</v>
      </c>
      <c r="E54" s="66" t="s">
        <v>57</v>
      </c>
      <c r="F54">
        <f>$E$47-(C54+D54)^-2</f>
        <v>-8.872424032526253E-4</v>
      </c>
      <c r="G54" s="65">
        <f>(-$G$47-($G$47^2-4*F54*$I$47)^0.5)/2/F54</f>
        <v>7858.3089279310698</v>
      </c>
      <c r="H54" s="65">
        <f>$E$47*G54^2+$G$47*G54+$I$47</f>
        <v>39847.347370988806</v>
      </c>
      <c r="I54" s="65">
        <f>H54*$Q$8</f>
        <v>165171.01317389982</v>
      </c>
      <c r="J54" s="66" t="s">
        <v>57</v>
      </c>
      <c r="K54" s="103">
        <v>4</v>
      </c>
      <c r="L54" s="66" t="s">
        <v>57</v>
      </c>
      <c r="M54">
        <f>$E$51*K54+$G$51</f>
        <v>0</v>
      </c>
      <c r="N54" s="66" t="s">
        <v>57</v>
      </c>
      <c r="O54">
        <f>$E$50*M54</f>
        <v>0</v>
      </c>
    </row>
    <row r="55" spans="2:15" x14ac:dyDescent="0.25">
      <c r="B55">
        <v>2</v>
      </c>
      <c r="C55">
        <v>20</v>
      </c>
      <c r="D55">
        <v>0</v>
      </c>
      <c r="E55" s="66" t="s">
        <v>57</v>
      </c>
      <c r="F55">
        <f>$E$47-(C55+D55)^-2</f>
        <v>-2.7419727810897594E-3</v>
      </c>
      <c r="G55" s="65">
        <f>(-$G$47-($G$47^2-4*F55*$I$47)^0.5)/2/F55</f>
        <v>4219.4117393724373</v>
      </c>
      <c r="H55" s="65">
        <f>$E$47*G55^2+$G$47*G55+$I$47</f>
        <v>44508.588565884857</v>
      </c>
      <c r="I55" s="65">
        <f>H55*$Q$8</f>
        <v>184492.29756557889</v>
      </c>
      <c r="J55" s="66" t="s">
        <v>57</v>
      </c>
      <c r="K55" s="103">
        <v>6</v>
      </c>
      <c r="L55" s="66" t="s">
        <v>57</v>
      </c>
      <c r="M55">
        <f t="shared" ref="M55:M56" si="6">$E$51*K55+$G$51</f>
        <v>0.125</v>
      </c>
      <c r="N55" s="66" t="s">
        <v>57</v>
      </c>
      <c r="O55">
        <f>$E$50*M55</f>
        <v>2.9750000000000001</v>
      </c>
    </row>
    <row r="56" spans="2:15" x14ac:dyDescent="0.25">
      <c r="B56">
        <v>3</v>
      </c>
      <c r="C56">
        <v>20</v>
      </c>
      <c r="D56">
        <f>O55</f>
        <v>2.9750000000000001</v>
      </c>
      <c r="E56" s="66" t="s">
        <v>57</v>
      </c>
      <c r="F56">
        <f>$E$47-(C56+D56)^-2</f>
        <v>-2.1364481357414658E-3</v>
      </c>
      <c r="G56" s="65">
        <f>(-$G$47-($G$47^2-4*F56*$I$47)^0.5)/2/F56</f>
        <v>4828.8338396350891</v>
      </c>
      <c r="H56" s="65">
        <f>$E$47*G56^2+$G$47*G56+$I$47</f>
        <v>44174.687205883223</v>
      </c>
      <c r="I56" s="65">
        <f>H56*$Q$8</f>
        <v>183108.24493547168</v>
      </c>
      <c r="J56" s="66" t="s">
        <v>57</v>
      </c>
      <c r="K56" s="103">
        <v>20</v>
      </c>
      <c r="L56" s="66" t="s">
        <v>57</v>
      </c>
      <c r="M56">
        <f t="shared" si="6"/>
        <v>1</v>
      </c>
      <c r="N56" s="66" t="s">
        <v>57</v>
      </c>
      <c r="O56">
        <f>$E$50*M56</f>
        <v>23.8</v>
      </c>
    </row>
    <row r="57" spans="2:15" x14ac:dyDescent="0.25">
      <c r="B57">
        <v>3</v>
      </c>
      <c r="C57">
        <v>0</v>
      </c>
      <c r="D57">
        <f>O56</f>
        <v>23.8</v>
      </c>
      <c r="E57" s="66" t="s">
        <v>57</v>
      </c>
      <c r="F57">
        <f>$E$47-(C57+D57)^-2</f>
        <v>-2.0073848282615688E-3</v>
      </c>
      <c r="G57" s="65">
        <f>(-$G$47-($G$47^2-4*F57*$I$47)^0.5)/2/F57</f>
        <v>4995.2924981350125</v>
      </c>
      <c r="H57" s="65">
        <f>$E$47*G57^2+$G$47*G57+$I$47</f>
        <v>44052.23349679388</v>
      </c>
      <c r="I57" s="65">
        <f>H57*$Q$8</f>
        <v>182600.66276171035</v>
      </c>
      <c r="J57" s="66" t="s">
        <v>57</v>
      </c>
      <c r="K57" s="103">
        <v>20</v>
      </c>
      <c r="L57" s="66" t="s">
        <v>57</v>
      </c>
      <c r="M57">
        <f t="shared" ref="M57" si="7">$E$51*K57+$G$51</f>
        <v>1</v>
      </c>
      <c r="N57" s="66" t="s">
        <v>57</v>
      </c>
      <c r="O57">
        <f>$E$50*M57</f>
        <v>23.8</v>
      </c>
    </row>
    <row r="58" spans="2:15" x14ac:dyDescent="0.25">
      <c r="I58" s="65"/>
    </row>
    <row r="60" spans="2:15" x14ac:dyDescent="0.25">
      <c r="B60" s="62" t="s">
        <v>79</v>
      </c>
      <c r="C60" t="s">
        <v>80</v>
      </c>
    </row>
  </sheetData>
  <mergeCells count="2">
    <mergeCell ref="E48:G48"/>
    <mergeCell ref="E49:F49"/>
  </mergeCells>
  <pageMargins left="0.70866141732283472" right="0.70866141732283472" top="0.74803149606299213" bottom="0.74803149606299213" header="0.31496062992125984" footer="0.31496062992125984"/>
  <pageSetup paperSize="8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K26" sqref="K26"/>
    </sheetView>
  </sheetViews>
  <sheetFormatPr defaultRowHeight="15" x14ac:dyDescent="0.25"/>
  <sheetData>
    <row r="3" spans="2:12" x14ac:dyDescent="0.25">
      <c r="B3" s="73" t="s">
        <v>68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2" x14ac:dyDescent="0.25">
      <c r="B4" s="75" t="s">
        <v>69</v>
      </c>
      <c r="C4" s="76" t="s">
        <v>70</v>
      </c>
      <c r="D4" s="77">
        <v>1</v>
      </c>
      <c r="E4" s="78">
        <v>1.5</v>
      </c>
      <c r="F4" s="78">
        <v>2</v>
      </c>
      <c r="G4" s="78">
        <v>3</v>
      </c>
      <c r="H4" s="78">
        <v>4</v>
      </c>
      <c r="I4" s="78">
        <v>6</v>
      </c>
      <c r="J4" s="78">
        <v>8</v>
      </c>
      <c r="K4" s="78">
        <v>10</v>
      </c>
      <c r="L4" s="79">
        <v>12</v>
      </c>
    </row>
    <row r="5" spans="2:12" x14ac:dyDescent="0.25">
      <c r="B5" s="80"/>
      <c r="C5" s="76" t="s">
        <v>71</v>
      </c>
      <c r="D5" s="77">
        <v>25</v>
      </c>
      <c r="E5" s="78">
        <v>40</v>
      </c>
      <c r="F5" s="78">
        <v>50</v>
      </c>
      <c r="G5" s="78">
        <v>80</v>
      </c>
      <c r="H5" s="78">
        <v>100</v>
      </c>
      <c r="I5" s="78">
        <v>150</v>
      </c>
      <c r="J5" s="78">
        <v>200</v>
      </c>
      <c r="K5" s="78">
        <v>250</v>
      </c>
      <c r="L5" s="79">
        <v>300</v>
      </c>
    </row>
    <row r="6" spans="2:12" x14ac:dyDescent="0.25">
      <c r="B6" s="81" t="s">
        <v>72</v>
      </c>
      <c r="C6" s="82" t="s">
        <v>71</v>
      </c>
      <c r="D6" s="83">
        <v>14.7</v>
      </c>
      <c r="E6" s="84">
        <v>23</v>
      </c>
      <c r="F6" s="84">
        <v>29.4</v>
      </c>
      <c r="G6" s="84">
        <v>47.6</v>
      </c>
      <c r="H6" s="84">
        <v>61.4</v>
      </c>
      <c r="I6" s="84">
        <v>92.2</v>
      </c>
      <c r="J6" s="84">
        <v>123</v>
      </c>
      <c r="K6" s="84">
        <v>154</v>
      </c>
      <c r="L6" s="85">
        <v>189</v>
      </c>
    </row>
    <row r="7" spans="2:12" x14ac:dyDescent="0.25">
      <c r="B7" s="75" t="s">
        <v>73</v>
      </c>
      <c r="C7" s="86">
        <v>0.1</v>
      </c>
      <c r="D7" s="87">
        <v>0.6</v>
      </c>
      <c r="E7" s="88">
        <v>1.4</v>
      </c>
      <c r="F7" s="88">
        <v>2.1</v>
      </c>
      <c r="G7" s="88">
        <v>5.7</v>
      </c>
      <c r="H7" s="88">
        <v>9.6999999999999993</v>
      </c>
      <c r="I7" s="88">
        <v>21.2</v>
      </c>
      <c r="J7" s="88">
        <v>31.3</v>
      </c>
      <c r="K7" s="88">
        <v>47.8</v>
      </c>
      <c r="L7" s="89">
        <v>64.400000000000006</v>
      </c>
    </row>
    <row r="8" spans="2:12" x14ac:dyDescent="0.25">
      <c r="B8" s="75"/>
      <c r="C8" s="86">
        <v>0.2</v>
      </c>
      <c r="D8" s="87">
        <v>1.3</v>
      </c>
      <c r="E8" s="88">
        <v>3.2</v>
      </c>
      <c r="F8" s="88">
        <v>4.8</v>
      </c>
      <c r="G8" s="88">
        <v>12.1</v>
      </c>
      <c r="H8" s="88">
        <v>20.7</v>
      </c>
      <c r="I8" s="88">
        <v>44.9</v>
      </c>
      <c r="J8" s="88">
        <v>63.6</v>
      </c>
      <c r="K8" s="88">
        <v>97.3</v>
      </c>
      <c r="L8" s="89">
        <v>131</v>
      </c>
    </row>
    <row r="9" spans="2:12" x14ac:dyDescent="0.25">
      <c r="B9" s="80"/>
      <c r="C9" s="86">
        <v>0.3</v>
      </c>
      <c r="D9" s="87">
        <v>2.2000000000000002</v>
      </c>
      <c r="E9" s="88">
        <v>5.0999999999999996</v>
      </c>
      <c r="F9" s="88">
        <v>7.7</v>
      </c>
      <c r="G9" s="88">
        <v>19.600000000000001</v>
      </c>
      <c r="H9" s="88">
        <v>33.4</v>
      </c>
      <c r="I9" s="88">
        <v>72.7</v>
      </c>
      <c r="J9" s="88">
        <v>114</v>
      </c>
      <c r="K9" s="88">
        <v>175</v>
      </c>
      <c r="L9" s="89">
        <v>235</v>
      </c>
    </row>
    <row r="10" spans="2:12" x14ac:dyDescent="0.25">
      <c r="B10" s="80"/>
      <c r="C10" s="86">
        <v>0.4</v>
      </c>
      <c r="D10" s="87">
        <v>3.1</v>
      </c>
      <c r="E10" s="88">
        <v>7.4</v>
      </c>
      <c r="F10" s="88">
        <v>1.2</v>
      </c>
      <c r="G10" s="88">
        <v>27.6</v>
      </c>
      <c r="H10" s="88">
        <v>47</v>
      </c>
      <c r="I10" s="88">
        <v>102</v>
      </c>
      <c r="J10" s="88">
        <v>178</v>
      </c>
      <c r="K10" s="88">
        <v>273</v>
      </c>
      <c r="L10" s="89">
        <v>367</v>
      </c>
    </row>
    <row r="11" spans="2:12" x14ac:dyDescent="0.25">
      <c r="B11" s="80"/>
      <c r="C11" s="86">
        <v>0.5</v>
      </c>
      <c r="D11" s="87">
        <v>4.2</v>
      </c>
      <c r="E11" s="88">
        <v>10</v>
      </c>
      <c r="F11" s="88">
        <v>15.1</v>
      </c>
      <c r="G11" s="88">
        <v>37.5</v>
      </c>
      <c r="H11" s="88">
        <v>63.8</v>
      </c>
      <c r="I11" s="88">
        <v>139</v>
      </c>
      <c r="J11" s="88">
        <v>246</v>
      </c>
      <c r="K11" s="88">
        <v>376</v>
      </c>
      <c r="L11" s="89">
        <v>506</v>
      </c>
    </row>
    <row r="12" spans="2:12" x14ac:dyDescent="0.25">
      <c r="B12" s="80"/>
      <c r="C12" s="86">
        <v>0.6</v>
      </c>
      <c r="D12" s="87">
        <v>5.3</v>
      </c>
      <c r="E12" s="88">
        <v>12.7</v>
      </c>
      <c r="F12" s="88">
        <v>19.100000000000001</v>
      </c>
      <c r="G12" s="88">
        <v>47.9</v>
      </c>
      <c r="H12" s="88">
        <v>81.599999999999994</v>
      </c>
      <c r="I12" s="88">
        <v>177</v>
      </c>
      <c r="J12" s="88">
        <v>313</v>
      </c>
      <c r="K12" s="88">
        <v>478</v>
      </c>
      <c r="L12" s="89">
        <v>644</v>
      </c>
    </row>
    <row r="13" spans="2:12" x14ac:dyDescent="0.25">
      <c r="B13" s="80"/>
      <c r="C13" s="86">
        <v>0.7</v>
      </c>
      <c r="D13" s="87">
        <v>6.4</v>
      </c>
      <c r="E13" s="88">
        <v>15</v>
      </c>
      <c r="F13" s="88">
        <v>22.7</v>
      </c>
      <c r="G13" s="88">
        <v>58.4</v>
      </c>
      <c r="H13" s="88">
        <v>99.4</v>
      </c>
      <c r="I13" s="88">
        <v>216</v>
      </c>
      <c r="J13" s="88">
        <v>374</v>
      </c>
      <c r="K13" s="88">
        <v>572</v>
      </c>
      <c r="L13" s="89">
        <v>769</v>
      </c>
    </row>
    <row r="14" spans="2:12" x14ac:dyDescent="0.25">
      <c r="B14" s="80"/>
      <c r="C14" s="86">
        <v>0.8</v>
      </c>
      <c r="D14" s="87">
        <v>7.2</v>
      </c>
      <c r="E14" s="88">
        <v>17.100000000000001</v>
      </c>
      <c r="F14" s="88">
        <v>25.8</v>
      </c>
      <c r="G14" s="88">
        <v>68</v>
      </c>
      <c r="H14" s="88">
        <v>116</v>
      </c>
      <c r="I14" s="88">
        <v>252</v>
      </c>
      <c r="J14" s="88">
        <v>425</v>
      </c>
      <c r="K14" s="88">
        <v>650</v>
      </c>
      <c r="L14" s="89">
        <v>875</v>
      </c>
    </row>
    <row r="15" spans="2:12" x14ac:dyDescent="0.25">
      <c r="B15" s="80"/>
      <c r="C15" s="86">
        <v>0.9</v>
      </c>
      <c r="D15" s="87">
        <v>7.9</v>
      </c>
      <c r="E15" s="88">
        <v>18.600000000000001</v>
      </c>
      <c r="F15" s="88">
        <v>28.2</v>
      </c>
      <c r="G15" s="88">
        <v>75.900000000000006</v>
      </c>
      <c r="H15" s="88">
        <v>129</v>
      </c>
      <c r="I15" s="88">
        <v>281</v>
      </c>
      <c r="J15" s="88">
        <v>468</v>
      </c>
      <c r="K15" s="88">
        <v>716</v>
      </c>
      <c r="L15" s="89">
        <v>694</v>
      </c>
    </row>
    <row r="16" spans="2:12" x14ac:dyDescent="0.25">
      <c r="B16" s="90"/>
      <c r="C16" s="91">
        <v>1</v>
      </c>
      <c r="D16" s="83">
        <v>8.4</v>
      </c>
      <c r="E16" s="84">
        <v>19.8</v>
      </c>
      <c r="F16" s="84">
        <v>30</v>
      </c>
      <c r="G16" s="84">
        <v>81</v>
      </c>
      <c r="H16" s="84">
        <v>138</v>
      </c>
      <c r="I16" s="84">
        <v>300</v>
      </c>
      <c r="J16" s="84">
        <v>510</v>
      </c>
      <c r="K16" s="84">
        <v>780</v>
      </c>
      <c r="L16" s="85">
        <v>1050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Blad1 (2)</vt:lpstr>
      <vt:lpstr>Blad1</vt:lpstr>
      <vt:lpstr>Blad2</vt:lpstr>
      <vt:lpstr>Blad3</vt:lpstr>
      <vt:lpstr>'Blad1 (2)'!Afdrukbereik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Guus van Gemert</dc:creator>
  <cp:lastModifiedBy>Gerrit Pathuis</cp:lastModifiedBy>
  <cp:lastPrinted>2017-07-06T12:19:25Z</cp:lastPrinted>
  <dcterms:created xsi:type="dcterms:W3CDTF">2017-04-11T11:50:52Z</dcterms:created>
  <dcterms:modified xsi:type="dcterms:W3CDTF">2017-07-06T12:20:01Z</dcterms:modified>
</cp:coreProperties>
</file>