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esktop\"/>
    </mc:Choice>
  </mc:AlternateContent>
  <xr:revisionPtr revIDLastSave="0" documentId="13_ncr:1_{5D107B6C-3633-4B2F-A895-FEDC1E251A5C}" xr6:coauthVersionLast="47" xr6:coauthVersionMax="47" xr10:uidLastSave="{00000000-0000-0000-0000-000000000000}"/>
  <bookViews>
    <workbookView xWindow="-110" yWindow="-110" windowWidth="19420" windowHeight="11020" xr2:uid="{BDF1948B-1549-4317-8947-E8228D7E1C3A}"/>
  </bookViews>
  <sheets>
    <sheet name="Aircraft Characteristics" sheetId="1" r:id="rId1"/>
    <sheet name="Mission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F2" i="1"/>
  <c r="F3" i="1" s="1"/>
  <c r="F4" i="1" s="1"/>
  <c r="F10" i="1" s="1"/>
  <c r="F6" i="1" s="1"/>
  <c r="B31" i="1"/>
  <c r="B33" i="1" s="1"/>
  <c r="A31" i="1"/>
  <c r="A33" i="1" s="1"/>
  <c r="F22" i="1"/>
  <c r="C5" i="2" s="1"/>
  <c r="B9" i="1"/>
  <c r="F5" i="1"/>
  <c r="F31" i="1"/>
  <c r="F28" i="1" l="1"/>
  <c r="F11" i="1"/>
  <c r="F17" i="1" s="1"/>
  <c r="F30" i="1"/>
  <c r="F32" i="1" s="1"/>
  <c r="F33" i="1" s="1"/>
  <c r="F24" i="1" l="1"/>
  <c r="F25" i="1" s="1"/>
  <c r="F18" i="1"/>
  <c r="C2" i="2" s="1"/>
  <c r="F7" i="1"/>
  <c r="F13" i="1"/>
  <c r="F14" i="1"/>
  <c r="F12" i="1"/>
  <c r="C18" i="2" s="1"/>
  <c r="F26" i="1" l="1"/>
  <c r="F16" i="1"/>
  <c r="F15" i="1"/>
  <c r="C3" i="2" l="1"/>
  <c r="C4" i="2" s="1"/>
  <c r="C6" i="2" s="1"/>
  <c r="C7" i="2" s="1"/>
  <c r="C8" i="2" l="1"/>
  <c r="C10" i="2" s="1"/>
  <c r="C11" i="2" s="1"/>
  <c r="C9" i="2" l="1"/>
  <c r="C12" i="2" s="1"/>
  <c r="C13" i="2" s="1"/>
  <c r="C14" i="2" s="1"/>
  <c r="C15" i="2" s="1"/>
  <c r="C16" i="2"/>
  <c r="C19" i="2" s="1"/>
  <c r="C20" i="2" s="1"/>
  <c r="C17" i="2" l="1"/>
</calcChain>
</file>

<file path=xl/sharedStrings.xml><?xml version="1.0" encoding="utf-8"?>
<sst xmlns="http://schemas.openxmlformats.org/spreadsheetml/2006/main" count="123" uniqueCount="122">
  <si>
    <t xml:space="preserve">Variables </t>
  </si>
  <si>
    <t>Value</t>
  </si>
  <si>
    <t>Passengers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</si>
  <si>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pass </t>
    </r>
    <r>
      <rPr>
        <sz val="11"/>
        <color theme="1"/>
        <rFont val="Calibri"/>
        <family val="2"/>
        <scheme val="minor"/>
      </rPr>
      <t>(lb)</t>
    </r>
  </si>
  <si>
    <r>
      <t>W</t>
    </r>
    <r>
      <rPr>
        <vertAlign val="subscript"/>
        <sz val="11"/>
        <color theme="1"/>
        <rFont val="Calibri"/>
        <family val="2"/>
        <scheme val="minor"/>
      </rPr>
      <t>cargo</t>
    </r>
    <r>
      <rPr>
        <sz val="11"/>
        <color theme="1"/>
        <rFont val="Calibri"/>
        <family val="2"/>
        <scheme val="minor"/>
      </rPr>
      <t xml:space="preserve"> (lb)</t>
    </r>
  </si>
  <si>
    <r>
      <t>h</t>
    </r>
    <r>
      <rPr>
        <vertAlign val="subscript"/>
        <sz val="11"/>
        <color theme="1"/>
        <rFont val="Calibri"/>
        <family val="2"/>
        <scheme val="minor"/>
      </rPr>
      <t>cruise</t>
    </r>
    <r>
      <rPr>
        <sz val="11"/>
        <color theme="1"/>
        <rFont val="Calibri"/>
        <family val="2"/>
        <scheme val="minor"/>
      </rPr>
      <t xml:space="preserve"> (ft)</t>
    </r>
  </si>
  <si>
    <t>ĉ (lb/h/HP)</t>
  </si>
  <si>
    <r>
      <t>HP/W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(hp/lb)</t>
    </r>
  </si>
  <si>
    <t>HP/We (hp/lb)</t>
  </si>
  <si>
    <t>Aspect Ratio</t>
  </si>
  <si>
    <r>
      <t>C</t>
    </r>
    <r>
      <rPr>
        <vertAlign val="subscript"/>
        <sz val="11"/>
        <color theme="1"/>
        <rFont val="Calibri"/>
        <family val="2"/>
        <scheme val="minor"/>
      </rPr>
      <t>dO</t>
    </r>
  </si>
  <si>
    <t>e</t>
  </si>
  <si>
    <t>Ws/Wo</t>
  </si>
  <si>
    <t># of Engines</t>
  </si>
  <si>
    <r>
      <t>Cl</t>
    </r>
    <r>
      <rPr>
        <vertAlign val="subscript"/>
        <sz val="11"/>
        <color theme="1"/>
        <rFont val="Calibri"/>
        <family val="2"/>
        <scheme val="minor"/>
      </rPr>
      <t>max</t>
    </r>
  </si>
  <si>
    <r>
      <t xml:space="preserve">% </t>
    </r>
    <r>
      <rPr>
        <sz val="11"/>
        <color theme="1"/>
        <rFont val="Calibri"/>
        <family val="2"/>
      </rPr>
      <t xml:space="preserve">ζ </t>
    </r>
    <r>
      <rPr>
        <vertAlign val="subscript"/>
        <sz val="11"/>
        <color theme="1"/>
        <rFont val="Calibri"/>
        <family val="2"/>
      </rPr>
      <t>cruise</t>
    </r>
  </si>
  <si>
    <t xml:space="preserve">Total Fuel Weight </t>
  </si>
  <si>
    <t>Gross Weight of Aircraft</t>
  </si>
  <si>
    <t>Oper. Empty Weight</t>
  </si>
  <si>
    <t>Max. Useful Load</t>
  </si>
  <si>
    <t>Computed Values</t>
  </si>
  <si>
    <t>k</t>
  </si>
  <si>
    <t>MR</t>
  </si>
  <si>
    <t>Engine/Weight fraction</t>
  </si>
  <si>
    <t>Payload/Weight fraction</t>
  </si>
  <si>
    <t>Cruise Fuel Weight Fraction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</si>
  <si>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</si>
  <si>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1/(</t>
    </r>
    <r>
      <rPr>
        <sz val="11"/>
        <color theme="1"/>
        <rFont val="Calibri"/>
        <family val="2"/>
      </rPr>
      <t>π*Ar*e</t>
    </r>
    <r>
      <rPr>
        <sz val="11"/>
        <color theme="1"/>
        <rFont val="Calibri"/>
        <family val="2"/>
        <scheme val="minor"/>
      </rPr>
      <t>)</t>
    </r>
  </si>
  <si>
    <t>1/(2*(SQRT(k*Cdo)))</t>
  </si>
  <si>
    <r>
      <t>η</t>
    </r>
    <r>
      <rPr>
        <vertAlign val="subscript"/>
        <sz val="11"/>
        <color theme="1"/>
        <rFont val="Calibri"/>
        <family val="2"/>
      </rPr>
      <t>p</t>
    </r>
  </si>
  <si>
    <t>MR = e^((Xcruise*ĉ)/(375*Em*ηp))</t>
  </si>
  <si>
    <t>ζ = 1-(1/MR)</t>
  </si>
  <si>
    <t>Total Fuel Weight Fraction</t>
  </si>
  <si>
    <t>(Wf/Wo)*Wo</t>
  </si>
  <si>
    <t>Wf/Wo = ζ/% ζ cruise</t>
  </si>
  <si>
    <t>Structural Weight</t>
  </si>
  <si>
    <t>(Ws/Wo)*Wo</t>
  </si>
  <si>
    <t>Total Engine Weight</t>
  </si>
  <si>
    <t>(We/Wo)*Wo</t>
  </si>
  <si>
    <t>Wpl + Wf</t>
  </si>
  <si>
    <t>Ws + We</t>
  </si>
  <si>
    <t>Total HP of each engine</t>
  </si>
  <si>
    <t>(HP/Wo)*Wo/# engines</t>
  </si>
  <si>
    <t xml:space="preserve">Highest Wing loading </t>
  </si>
  <si>
    <t>for take-off d = 2000ft</t>
  </si>
  <si>
    <t>Highest W/S Possible</t>
  </si>
  <si>
    <r>
      <t>σ</t>
    </r>
    <r>
      <rPr>
        <vertAlign val="subscript"/>
        <sz val="11"/>
        <color theme="1"/>
        <rFont val="Calibri"/>
        <family val="2"/>
      </rPr>
      <t>cruise</t>
    </r>
  </si>
  <si>
    <r>
      <t>W/S = P</t>
    </r>
    <r>
      <rPr>
        <vertAlign val="subscript"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*Cl</t>
    </r>
    <r>
      <rPr>
        <vertAlign val="subscript"/>
        <sz val="11"/>
        <color theme="1"/>
        <rFont val="Calibri"/>
        <family val="2"/>
        <scheme val="minor"/>
      </rPr>
      <t>max,to</t>
    </r>
    <r>
      <rPr>
        <sz val="11"/>
        <color theme="1"/>
        <rFont val="Calibri"/>
        <family val="2"/>
        <scheme val="minor"/>
      </rPr>
      <t>*(d(550*ηp*g*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2.5</t>
    </r>
    <r>
      <rPr>
        <sz val="11"/>
        <color theme="1"/>
        <rFont val="Calibri"/>
        <family val="2"/>
        <scheme val="minor"/>
      </rPr>
      <t>(HP/W)sl)/2.44)</t>
    </r>
    <r>
      <rPr>
        <vertAlign val="superscript"/>
        <sz val="11"/>
        <color theme="1"/>
        <rFont val="Calibri"/>
        <family val="2"/>
        <scheme val="minor"/>
      </rPr>
      <t>2/3</t>
    </r>
  </si>
  <si>
    <t xml:space="preserve">d = </t>
  </si>
  <si>
    <t>Wing Area</t>
  </si>
  <si>
    <t xml:space="preserve">Wing Span </t>
  </si>
  <si>
    <t>Avg. Wing Chord</t>
  </si>
  <si>
    <r>
      <t xml:space="preserve">b = </t>
    </r>
    <r>
      <rPr>
        <sz val="11"/>
        <color theme="1"/>
        <rFont val="Calibri"/>
        <family val="2"/>
      </rPr>
      <t>√(AR*S)</t>
    </r>
  </si>
  <si>
    <t>c = S/b</t>
  </si>
  <si>
    <t>Cruise Velocity</t>
  </si>
  <si>
    <r>
      <t>V = (2(W/S)/</t>
    </r>
    <r>
      <rPr>
        <sz val="11"/>
        <color theme="1"/>
        <rFont val="Calibri"/>
        <family val="2"/>
      </rPr>
      <t>ρ)^(1/2) * (k/CdO)^(1/4)</t>
    </r>
  </si>
  <si>
    <t>Min. Power Velocity</t>
  </si>
  <si>
    <t>Max Power/Weight Ratio</t>
  </si>
  <si>
    <r>
      <t>(P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/W)</t>
    </r>
    <r>
      <rPr>
        <vertAlign val="subscript"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 = kηp(HP/Wo)</t>
    </r>
  </si>
  <si>
    <t>Ceiling Density Ratio</t>
  </si>
  <si>
    <t>Min. Absolute Ceiling</t>
  </si>
  <si>
    <t>Table 1</t>
  </si>
  <si>
    <t>Altitude (h ; ft)</t>
  </si>
  <si>
    <t>Calculated Aircaft Characteristics</t>
  </si>
  <si>
    <t>Aircraft Variables</t>
  </si>
  <si>
    <r>
      <t>ΔW</t>
    </r>
    <r>
      <rPr>
        <vertAlign val="subscript"/>
        <sz val="11"/>
        <color theme="1"/>
        <rFont val="Calibri"/>
        <family val="2"/>
        <scheme val="minor"/>
      </rPr>
      <t>f,taxi</t>
    </r>
    <r>
      <rPr>
        <sz val="11"/>
        <color theme="1"/>
        <rFont val="Calibri"/>
        <family val="2"/>
        <scheme val="minor"/>
      </rPr>
      <t xml:space="preserve"> = ĉ * (HP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* P</t>
    </r>
    <r>
      <rPr>
        <vertAlign val="subscript"/>
        <sz val="11"/>
        <color theme="1"/>
        <rFont val="Calibri"/>
        <family val="2"/>
        <scheme val="minor"/>
      </rPr>
      <t>taxi</t>
    </r>
    <r>
      <rPr>
        <sz val="11"/>
        <color theme="1"/>
        <rFont val="Calibri"/>
        <family val="2"/>
        <scheme val="minor"/>
      </rPr>
      <t>) * t</t>
    </r>
    <r>
      <rPr>
        <vertAlign val="subscript"/>
        <sz val="11"/>
        <color theme="1"/>
        <rFont val="Calibri"/>
        <family val="2"/>
        <scheme val="minor"/>
      </rPr>
      <t>taxi</t>
    </r>
  </si>
  <si>
    <r>
      <t>W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- ΔW</t>
    </r>
    <r>
      <rPr>
        <vertAlign val="subscript"/>
        <sz val="11"/>
        <color theme="1"/>
        <rFont val="Calibri"/>
        <family val="2"/>
        <scheme val="minor"/>
      </rPr>
      <t>f,taxi</t>
    </r>
  </si>
  <si>
    <r>
      <t>HP/W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= Total HP/W</t>
    </r>
    <r>
      <rPr>
        <vertAlign val="subscript"/>
        <sz val="11"/>
        <color theme="1"/>
        <rFont val="Calibri"/>
        <family val="2"/>
        <scheme val="minor"/>
      </rPr>
      <t>TO</t>
    </r>
  </si>
  <si>
    <t>Time to Take-off</t>
  </si>
  <si>
    <t>Take-off Velocity</t>
  </si>
  <si>
    <t>Weight at Take-off</t>
  </si>
  <si>
    <t>HP/Take-off Weight Ratio</t>
  </si>
  <si>
    <r>
      <t>V</t>
    </r>
    <r>
      <rPr>
        <vertAlign val="subscript"/>
        <sz val="11"/>
        <color theme="1"/>
        <rFont val="Calibri"/>
        <family val="2"/>
        <scheme val="minor"/>
      </rPr>
      <t>pmin,SL</t>
    </r>
    <r>
      <rPr>
        <sz val="11"/>
        <color theme="1"/>
        <rFont val="Calibri"/>
        <family val="2"/>
        <scheme val="minor"/>
      </rPr>
      <t xml:space="preserve"> = (2(W/S)/ρ</t>
    </r>
    <r>
      <rPr>
        <vertAlign val="subscript"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*(k/3CdO)</t>
    </r>
    <r>
      <rPr>
        <vertAlign val="superscript"/>
        <sz val="11"/>
        <color theme="1"/>
        <rFont val="Calibri"/>
        <family val="2"/>
        <scheme val="minor"/>
      </rPr>
      <t>1/4</t>
    </r>
  </si>
  <si>
    <r>
      <t>σ</t>
    </r>
    <r>
      <rPr>
        <vertAlign val="subscript"/>
        <sz val="11"/>
        <color theme="1"/>
        <rFont val="Calibri"/>
        <family val="2"/>
      </rPr>
      <t>Ceiling</t>
    </r>
    <r>
      <rPr>
        <sz val="11"/>
        <color theme="1"/>
        <rFont val="Calibri"/>
        <family val="2"/>
      </rPr>
      <t xml:space="preserve"> = ((1.155*Vpmin,SL)/(Em*(Pm/W)</t>
    </r>
    <r>
      <rPr>
        <vertAlign val="subscript"/>
        <sz val="11"/>
        <color theme="1"/>
        <rFont val="Calibri"/>
        <family val="2"/>
      </rPr>
      <t>sl</t>
    </r>
    <r>
      <rPr>
        <sz val="11"/>
        <color theme="1"/>
        <rFont val="Calibri"/>
        <family val="2"/>
      </rPr>
      <t>))</t>
    </r>
    <r>
      <rPr>
        <vertAlign val="superscript"/>
        <sz val="11"/>
        <color theme="1"/>
        <rFont val="Calibri"/>
        <family val="2"/>
      </rPr>
      <t>2/3</t>
    </r>
  </si>
  <si>
    <r>
      <t>V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= √(2.88(W/S)/p</t>
    </r>
    <r>
      <rPr>
        <vertAlign val="subscript"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*Clmax* σ</t>
    </r>
    <r>
      <rPr>
        <vertAlign val="subscript"/>
        <sz val="11"/>
        <color theme="1"/>
        <rFont val="Calibri"/>
        <family val="2"/>
        <scheme val="minor"/>
      </rPr>
      <t>airport</t>
    </r>
  </si>
  <si>
    <r>
      <t>t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= (V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/(550*ηp*g*σ</t>
    </r>
    <r>
      <rPr>
        <vertAlign val="subscript"/>
        <sz val="11"/>
        <color theme="1"/>
        <rFont val="Calibri"/>
        <family val="2"/>
        <scheme val="minor"/>
      </rPr>
      <t>airport</t>
    </r>
    <r>
      <rPr>
        <sz val="11"/>
        <color theme="1"/>
        <rFont val="Calibri"/>
        <family val="2"/>
        <scheme val="minor"/>
      </rPr>
      <t>*HP/W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)</t>
    </r>
  </si>
  <si>
    <t>Fuel Used during Take-off</t>
  </si>
  <si>
    <r>
      <t>ΔW</t>
    </r>
    <r>
      <rPr>
        <vertAlign val="subscript"/>
        <sz val="11"/>
        <color theme="1"/>
        <rFont val="Calibri"/>
        <family val="2"/>
        <scheme val="minor"/>
      </rPr>
      <t>f,TO</t>
    </r>
    <r>
      <rPr>
        <sz val="11"/>
        <color theme="1"/>
        <rFont val="Calibri"/>
        <family val="2"/>
        <scheme val="minor"/>
      </rPr>
      <t xml:space="preserve"> = ĉ * HP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* t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/3600</t>
    </r>
  </si>
  <si>
    <r>
      <t xml:space="preserve">Taxi - 15 mins @ 20% max power </t>
    </r>
    <r>
      <rPr>
        <b/>
        <sz val="11"/>
        <color theme="1"/>
        <rFont val="Calibri"/>
        <family val="2"/>
      </rPr>
      <t>ΔW</t>
    </r>
    <r>
      <rPr>
        <b/>
        <vertAlign val="subscript"/>
        <sz val="11"/>
        <color theme="1"/>
        <rFont val="Calibri"/>
        <family val="2"/>
      </rPr>
      <t>f,taxi</t>
    </r>
  </si>
  <si>
    <t>Weight at Climb</t>
  </si>
  <si>
    <r>
      <t>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- ΔW</t>
    </r>
    <r>
      <rPr>
        <vertAlign val="subscript"/>
        <sz val="11"/>
        <color theme="1"/>
        <rFont val="Calibri"/>
        <family val="2"/>
        <scheme val="minor"/>
      </rPr>
      <t>f,TO</t>
    </r>
  </si>
  <si>
    <t>HP/Climb Weight Ratio</t>
  </si>
  <si>
    <r>
      <t>HP/W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 xml:space="preserve"> = Total HP/W</t>
    </r>
    <r>
      <rPr>
        <vertAlign val="subscript"/>
        <sz val="11"/>
        <color theme="1"/>
        <rFont val="Calibri"/>
        <family val="2"/>
        <scheme val="minor"/>
      </rPr>
      <t>climb</t>
    </r>
  </si>
  <si>
    <t>Wing Loading at Climb</t>
  </si>
  <si>
    <r>
      <t>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>/S</t>
    </r>
  </si>
  <si>
    <t>Min. Power Velocity at Climb</t>
  </si>
  <si>
    <r>
      <t>V</t>
    </r>
    <r>
      <rPr>
        <vertAlign val="subscript"/>
        <sz val="11"/>
        <color theme="1"/>
        <rFont val="Calibri"/>
        <family val="2"/>
        <scheme val="minor"/>
      </rPr>
      <t>pmin,climb</t>
    </r>
    <r>
      <rPr>
        <sz val="11"/>
        <color theme="1"/>
        <rFont val="Calibri"/>
        <family val="2"/>
        <scheme val="minor"/>
      </rPr>
      <t xml:space="preserve"> = √(2*[W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>/S]/psl) * (k/3CdO)</t>
    </r>
    <r>
      <rPr>
        <vertAlign val="superscript"/>
        <sz val="11"/>
        <color theme="1"/>
        <rFont val="Calibri"/>
        <family val="2"/>
        <scheme val="minor"/>
      </rPr>
      <t>1/4</t>
    </r>
  </si>
  <si>
    <t>Max Rate of Climb</t>
  </si>
  <si>
    <r>
      <t>(R/C)</t>
    </r>
    <r>
      <rPr>
        <vertAlign val="subscript"/>
        <sz val="11"/>
        <color theme="1"/>
        <rFont val="Calibri"/>
        <family val="2"/>
        <scheme val="minor"/>
      </rPr>
      <t>max,sl</t>
    </r>
    <r>
      <rPr>
        <sz val="11"/>
        <color theme="1"/>
        <rFont val="Calibri"/>
        <family val="2"/>
        <scheme val="minor"/>
      </rPr>
      <t xml:space="preserve"> = 550*ηp*(HP/W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>) -V</t>
    </r>
    <r>
      <rPr>
        <vertAlign val="subscript"/>
        <sz val="11"/>
        <color theme="1"/>
        <rFont val="Calibri"/>
        <family val="2"/>
        <scheme val="minor"/>
      </rPr>
      <t>pmin.climb</t>
    </r>
    <r>
      <rPr>
        <sz val="11"/>
        <color theme="1"/>
        <rFont val="Calibri"/>
        <family val="2"/>
        <scheme val="minor"/>
      </rPr>
      <t>/0.866*σ</t>
    </r>
    <r>
      <rPr>
        <vertAlign val="subscript"/>
        <sz val="11"/>
        <color theme="1"/>
        <rFont val="Calibri"/>
        <family val="2"/>
        <scheme val="minor"/>
      </rPr>
      <t>airport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*E</t>
    </r>
    <r>
      <rPr>
        <vertAlign val="subscript"/>
        <sz val="11"/>
        <color theme="1"/>
        <rFont val="Calibri"/>
        <family val="2"/>
        <scheme val="minor"/>
      </rPr>
      <t>m</t>
    </r>
  </si>
  <si>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c</t>
    </r>
  </si>
  <si>
    <r>
      <t>(R/C)</t>
    </r>
    <r>
      <rPr>
        <vertAlign val="subscript"/>
        <sz val="11"/>
        <color theme="1"/>
        <rFont val="Calibri"/>
        <family val="2"/>
        <scheme val="minor"/>
      </rPr>
      <t>max,sl</t>
    </r>
    <r>
      <rPr>
        <sz val="11"/>
        <color theme="1"/>
        <rFont val="Calibri"/>
        <family val="2"/>
        <scheme val="minor"/>
      </rPr>
      <t>/(550*ηp*(HP/W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>)*σ</t>
    </r>
    <r>
      <rPr>
        <vertAlign val="subscript"/>
        <sz val="11"/>
        <color theme="1"/>
        <rFont val="Calibri"/>
        <family val="2"/>
        <scheme val="minor"/>
      </rPr>
      <t>airport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</si>
  <si>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MR</t>
    </r>
    <r>
      <rPr>
        <b/>
        <vertAlign val="subscript"/>
        <sz val="11"/>
        <color theme="1"/>
        <rFont val="Calibri"/>
        <family val="2"/>
        <scheme val="minor"/>
      </rPr>
      <t>climb</t>
    </r>
  </si>
  <si>
    <r>
      <t>exp((7.7*10</t>
    </r>
    <r>
      <rPr>
        <vertAlign val="superscript"/>
        <sz val="11"/>
        <color theme="1"/>
        <rFont val="Calibri"/>
        <family val="2"/>
        <scheme val="minor"/>
      </rPr>
      <t>-3*</t>
    </r>
    <r>
      <rPr>
        <sz val="11"/>
        <color theme="1"/>
        <rFont val="Calibri"/>
        <family val="2"/>
        <scheme val="minor"/>
      </rPr>
      <t>ĉ)/(K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*ηp)*(e</t>
    </r>
    <r>
      <rPr>
        <vertAlign val="superscript"/>
        <sz val="11"/>
        <color theme="1"/>
        <rFont val="Calibri"/>
        <family val="2"/>
        <scheme val="minor"/>
      </rPr>
      <t>h2/15250</t>
    </r>
    <r>
      <rPr>
        <sz val="11"/>
        <color theme="1"/>
        <rFont val="Calibri"/>
        <family val="2"/>
        <scheme val="minor"/>
      </rPr>
      <t>-e</t>
    </r>
    <r>
      <rPr>
        <vertAlign val="superscript"/>
        <sz val="11"/>
        <color theme="1"/>
        <rFont val="Calibri"/>
        <family val="2"/>
        <scheme val="minor"/>
      </rPr>
      <t>h1/15250</t>
    </r>
    <r>
      <rPr>
        <sz val="11"/>
        <color theme="1"/>
        <rFont val="Calibri"/>
        <family val="2"/>
        <scheme val="minor"/>
      </rPr>
      <t>))</t>
    </r>
  </si>
  <si>
    <t>Mission Analysis (Fuel Usage) (All weights in Pounds)</t>
  </si>
  <si>
    <t>Fuel Used from Climb to Cruise Altitude (Max R/C)</t>
  </si>
  <si>
    <r>
      <t>ΔW</t>
    </r>
    <r>
      <rPr>
        <vertAlign val="subscript"/>
        <sz val="11"/>
        <color theme="1"/>
        <rFont val="Calibri"/>
        <family val="2"/>
        <scheme val="minor"/>
      </rPr>
      <t>f,climb</t>
    </r>
    <r>
      <rPr>
        <sz val="11"/>
        <color theme="1"/>
        <rFont val="Calibri"/>
        <family val="2"/>
        <scheme val="minor"/>
      </rPr>
      <t xml:space="preserve"> = ΔW</t>
    </r>
    <r>
      <rPr>
        <vertAlign val="subscript"/>
        <sz val="11"/>
        <color theme="1"/>
        <rFont val="Calibri"/>
        <family val="2"/>
        <scheme val="minor"/>
      </rPr>
      <t>f,climb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"/>
        <family val="2"/>
        <scheme val="minor"/>
      </rPr>
      <t>climb</t>
    </r>
  </si>
  <si>
    <r>
      <t>ΔW</t>
    </r>
    <r>
      <rPr>
        <vertAlign val="subscript"/>
        <sz val="11"/>
        <color theme="1"/>
        <rFont val="Calibri"/>
        <family val="2"/>
        <scheme val="minor"/>
      </rPr>
      <t>f.climb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 xml:space="preserve"> = MR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>-1/MR</t>
    </r>
    <r>
      <rPr>
        <vertAlign val="subscript"/>
        <sz val="11"/>
        <color theme="1"/>
        <rFont val="Calibri"/>
        <family val="2"/>
        <scheme val="minor"/>
      </rPr>
      <t>climb</t>
    </r>
  </si>
  <si>
    <t>Weight at start of Cruise</t>
  </si>
  <si>
    <r>
      <t>W</t>
    </r>
    <r>
      <rPr>
        <vertAlign val="subscript"/>
        <sz val="11"/>
        <color theme="1"/>
        <rFont val="Calibri"/>
        <family val="2"/>
        <scheme val="minor"/>
      </rPr>
      <t>cruise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climb</t>
    </r>
    <r>
      <rPr>
        <sz val="11"/>
        <color theme="1"/>
        <rFont val="Calibri"/>
        <family val="2"/>
        <scheme val="minor"/>
      </rPr>
      <t xml:space="preserve"> - ΔW</t>
    </r>
    <r>
      <rPr>
        <vertAlign val="subscript"/>
        <sz val="11"/>
        <color theme="1"/>
        <rFont val="Calibri"/>
        <family val="2"/>
        <scheme val="minor"/>
      </rPr>
      <t>f,climb</t>
    </r>
  </si>
  <si>
    <t xml:space="preserve"> Cruise Fuel</t>
  </si>
  <si>
    <r>
      <t>ΔW</t>
    </r>
    <r>
      <rPr>
        <vertAlign val="subscript"/>
        <sz val="11"/>
        <color theme="1"/>
        <rFont val="Calibri"/>
        <family val="2"/>
        <scheme val="minor"/>
      </rPr>
      <t>f,cruise</t>
    </r>
    <r>
      <rPr>
        <sz val="11"/>
        <color theme="1"/>
        <rFont val="Calibri"/>
        <family val="2"/>
        <scheme val="minor"/>
      </rPr>
      <t xml:space="preserve"> = %cruise * W</t>
    </r>
    <r>
      <rPr>
        <i/>
        <sz val="11"/>
        <color theme="1"/>
        <rFont val="Calibri"/>
        <family val="2"/>
        <scheme val="minor"/>
      </rPr>
      <t>f</t>
    </r>
  </si>
  <si>
    <t>Remaining Fuel</t>
  </si>
  <si>
    <r>
      <t>ΔW</t>
    </r>
    <r>
      <rPr>
        <vertAlign val="subscript"/>
        <sz val="11"/>
        <color theme="1"/>
        <rFont val="Calibri"/>
        <family val="2"/>
        <scheme val="minor"/>
      </rPr>
      <t>f,remaining</t>
    </r>
    <r>
      <rPr>
        <sz val="11"/>
        <color theme="1"/>
        <rFont val="Calibri"/>
        <family val="2"/>
        <scheme val="minor"/>
      </rPr>
      <t xml:space="preserve"> = 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-ΔW</t>
    </r>
    <r>
      <rPr>
        <vertAlign val="subscript"/>
        <sz val="11"/>
        <color theme="1"/>
        <rFont val="Calibri"/>
        <family val="2"/>
        <scheme val="minor"/>
      </rPr>
      <t>f,taxi</t>
    </r>
    <r>
      <rPr>
        <sz val="11"/>
        <color theme="1"/>
        <rFont val="Calibri"/>
        <family val="2"/>
        <scheme val="minor"/>
      </rPr>
      <t>-ΔW</t>
    </r>
    <r>
      <rPr>
        <vertAlign val="subscript"/>
        <sz val="11"/>
        <color theme="1"/>
        <rFont val="Calibri"/>
        <family val="2"/>
        <scheme val="minor"/>
      </rPr>
      <t>f,TO</t>
    </r>
    <r>
      <rPr>
        <sz val="11"/>
        <color theme="1"/>
        <rFont val="Calibri"/>
        <family val="2"/>
        <scheme val="minor"/>
      </rPr>
      <t>-ΔW</t>
    </r>
    <r>
      <rPr>
        <vertAlign val="subscript"/>
        <sz val="11"/>
        <color theme="1"/>
        <rFont val="Calibri"/>
        <family val="2"/>
        <scheme val="minor"/>
      </rPr>
      <t>f,climb</t>
    </r>
    <r>
      <rPr>
        <sz val="11"/>
        <color theme="1"/>
        <rFont val="Calibri"/>
        <family val="2"/>
        <scheme val="minor"/>
      </rPr>
      <t>-ΔW</t>
    </r>
    <r>
      <rPr>
        <vertAlign val="subscript"/>
        <sz val="11"/>
        <color theme="1"/>
        <rFont val="Calibri"/>
        <family val="2"/>
        <scheme val="minor"/>
      </rPr>
      <t>f,cruise</t>
    </r>
  </si>
  <si>
    <t>Percentage Fuel Remaining</t>
  </si>
  <si>
    <r>
      <t>%</t>
    </r>
    <r>
      <rPr>
        <vertAlign val="subscript"/>
        <sz val="11"/>
        <color theme="1"/>
        <rFont val="Calibri"/>
        <family val="2"/>
        <scheme val="minor"/>
      </rPr>
      <t>f,remaining</t>
    </r>
    <r>
      <rPr>
        <sz val="11"/>
        <color theme="1"/>
        <rFont val="Calibri"/>
        <family val="2"/>
        <scheme val="minor"/>
      </rPr>
      <t xml:space="preserve"> = (W</t>
    </r>
    <r>
      <rPr>
        <vertAlign val="subscript"/>
        <sz val="11"/>
        <color theme="1"/>
        <rFont val="Calibri"/>
        <family val="2"/>
        <scheme val="minor"/>
      </rPr>
      <t>f,remaining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)*100</t>
    </r>
  </si>
  <si>
    <t>Fuel percentage greater than required 10% so it is enough</t>
  </si>
  <si>
    <r>
      <t>Pick (σ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and (σ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for Interpolation</t>
    </r>
  </si>
  <si>
    <r>
      <t>h</t>
    </r>
    <r>
      <rPr>
        <vertAlign val="subscript"/>
        <sz val="11"/>
        <color theme="1"/>
        <rFont val="Calibri"/>
        <family val="2"/>
        <scheme val="minor"/>
      </rPr>
      <t>ceiling</t>
    </r>
    <r>
      <rPr>
        <sz val="11"/>
        <color theme="1"/>
        <rFont val="Calibri"/>
        <family val="2"/>
        <scheme val="minor"/>
      </rPr>
      <t xml:space="preserve"> =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(σ</t>
    </r>
    <r>
      <rPr>
        <vertAlign val="subscript"/>
        <sz val="11"/>
        <color theme="1"/>
        <rFont val="Calibri"/>
        <family val="2"/>
        <scheme val="minor"/>
      </rPr>
      <t>ceiling</t>
    </r>
    <r>
      <rPr>
        <sz val="11"/>
        <color theme="1"/>
        <rFont val="Calibri"/>
        <family val="2"/>
        <scheme val="minor"/>
      </rPr>
      <t>-σ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/σ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)(h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)   </t>
    </r>
    <r>
      <rPr>
        <i/>
        <sz val="11"/>
        <color theme="1"/>
        <rFont val="Calibri"/>
        <family val="2"/>
        <scheme val="minor"/>
      </rPr>
      <t>(See Table 1)</t>
    </r>
  </si>
  <si>
    <t>h1</t>
  </si>
  <si>
    <t>h2</t>
  </si>
  <si>
    <t>Density Ratio (σ)</t>
  </si>
  <si>
    <t>Taxi Time (hrs)</t>
  </si>
  <si>
    <t>Taxi Parameters</t>
  </si>
  <si>
    <t>Max Power %</t>
  </si>
  <si>
    <r>
      <t>X</t>
    </r>
    <r>
      <rPr>
        <vertAlign val="subscript"/>
        <sz val="11"/>
        <color theme="1"/>
        <rFont val="Calibri"/>
        <family val="2"/>
        <scheme val="minor"/>
      </rPr>
      <t>cruise</t>
    </r>
    <r>
      <rPr>
        <sz val="11"/>
        <color theme="1"/>
        <rFont val="Calibri"/>
        <family val="2"/>
        <scheme val="minor"/>
      </rPr>
      <t xml:space="preserve"> (miles)</t>
    </r>
  </si>
  <si>
    <t>(We/Wo) = (HP/Wo)/(HP/We)</t>
  </si>
  <si>
    <t>Wo = (Wpl)/(1-.244-.50-.103)</t>
  </si>
  <si>
    <t>Wpl/Wo = 1 - (Ws/Wo) - (We/Wo) - (Wf/Wo)</t>
  </si>
  <si>
    <r>
      <t>(W/S)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* Wo</t>
    </r>
  </si>
  <si>
    <t>Wpl (lb)</t>
  </si>
  <si>
    <t>(HP/Wo)*Wo</t>
  </si>
  <si>
    <t>Total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</si>
</sst>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Border="1"/>
    <xf numFmtId="164" fontId="1" fillId="0" borderId="5" xfId="0" applyNumberFormat="1" applyFont="1" applyBorder="1" applyAlignment="1">
      <alignment horizontal="center" vertical="center"/>
    </xf>
    <xf numFmtId="164" fontId="1" fillId="14" borderId="5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3" fontId="0" fillId="0" borderId="0" xfId="0" applyNumberFormat="1" applyBorder="1"/>
    <xf numFmtId="164" fontId="0" fillId="0" borderId="0" xfId="0" applyNumberFormat="1" applyBorder="1"/>
    <xf numFmtId="0" fontId="0" fillId="15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7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</font>
      <numFmt numFmtId="164" formatCode="#,##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#,##0.000"/>
      <alignment horizontal="center" vertical="center" textRotation="0" wrapText="0" indent="0" justifyLastLine="0" shrinkToFit="0" readingOrder="0"/>
    </dxf>
    <dxf>
      <font>
        <b/>
      </font>
      <numFmt numFmtId="164" formatCode="#,##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AFBD8-2E08-4ABB-93A0-6B03A84B60B9}" name="Table13" displayName="Table13" ref="H2:I22" totalsRowShown="0" headerRowDxfId="3" dataDxfId="2">
  <autoFilter ref="H2:I22" xr:uid="{17AAFBD8-2E08-4ABB-93A0-6B03A84B60B9}"/>
  <tableColumns count="2">
    <tableColumn id="1" xr3:uid="{6D7EBB74-7D4C-491E-800A-45B2BE0FA07C}" name="Altitude (h ; ft)" dataDxfId="1"/>
    <tableColumn id="2" xr3:uid="{E6989344-D421-49D3-A083-7AAD46090120}" name="Density Ratio (σ)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5405-A499-4F76-8F22-70152DBEFCF1}">
  <dimension ref="A1:I596"/>
  <sheetViews>
    <sheetView tabSelected="1" zoomScaleNormal="100" workbookViewId="0">
      <selection activeCell="B4" sqref="B4"/>
    </sheetView>
  </sheetViews>
  <sheetFormatPr defaultRowHeight="15.5" customHeight="1" x14ac:dyDescent="0.35"/>
  <cols>
    <col min="1" max="2" width="16.1796875" style="1" customWidth="1"/>
    <col min="4" max="4" width="24.26953125" style="7" customWidth="1"/>
    <col min="5" max="5" width="45.453125" style="1" bestFit="1" customWidth="1"/>
    <col min="6" max="6" width="13.6328125" style="7" customWidth="1"/>
    <col min="7" max="7" width="5.81640625" customWidth="1"/>
    <col min="8" max="8" width="18" style="28" customWidth="1"/>
    <col min="9" max="9" width="15.7265625" style="26" customWidth="1"/>
  </cols>
  <sheetData>
    <row r="1" spans="1:9" ht="15.5" customHeight="1" x14ac:dyDescent="0.35">
      <c r="A1" s="53" t="s">
        <v>64</v>
      </c>
      <c r="B1" s="53"/>
      <c r="D1" s="47" t="s">
        <v>20</v>
      </c>
      <c r="E1" s="47"/>
      <c r="F1" s="47"/>
      <c r="H1" s="54" t="s">
        <v>61</v>
      </c>
      <c r="I1" s="54"/>
    </row>
    <row r="2" spans="1:9" ht="15.5" customHeight="1" x14ac:dyDescent="0.35">
      <c r="A2" s="2" t="s">
        <v>0</v>
      </c>
      <c r="B2" s="2" t="s">
        <v>1</v>
      </c>
      <c r="D2" s="18" t="s">
        <v>21</v>
      </c>
      <c r="E2" s="22" t="s">
        <v>27</v>
      </c>
      <c r="F2" s="18">
        <f>1/(PI()*B15*B17)</f>
        <v>5.7664834453585265E-2</v>
      </c>
      <c r="H2" s="27" t="s">
        <v>62</v>
      </c>
      <c r="I2" s="25" t="s">
        <v>110</v>
      </c>
    </row>
    <row r="3" spans="1:9" ht="15.5" customHeight="1" x14ac:dyDescent="0.35">
      <c r="A3" s="3" t="s">
        <v>2</v>
      </c>
      <c r="B3" s="4">
        <v>200</v>
      </c>
      <c r="D3" s="18" t="s">
        <v>26</v>
      </c>
      <c r="E3" s="22" t="s">
        <v>28</v>
      </c>
      <c r="F3" s="18">
        <f>1/(2*(SQRT(F2*B16)))</f>
        <v>15.519517929859081</v>
      </c>
      <c r="H3" s="32">
        <v>0</v>
      </c>
      <c r="I3" s="34">
        <v>1</v>
      </c>
    </row>
    <row r="4" spans="1:9" ht="15.5" customHeight="1" x14ac:dyDescent="0.35">
      <c r="A4" s="3" t="s">
        <v>3</v>
      </c>
      <c r="B4" s="4">
        <v>200</v>
      </c>
      <c r="D4" s="18" t="s">
        <v>22</v>
      </c>
      <c r="E4" s="22" t="s">
        <v>30</v>
      </c>
      <c r="F4" s="18">
        <f>EXP(1)^((B7*B12)/(375*B11*F3))</f>
        <v>1.0839163915802692</v>
      </c>
      <c r="H4" s="27">
        <v>5000</v>
      </c>
      <c r="I4" s="29">
        <v>0.86199999999999999</v>
      </c>
    </row>
    <row r="5" spans="1:9" ht="15.5" customHeight="1" x14ac:dyDescent="0.35">
      <c r="A5" s="3" t="s">
        <v>4</v>
      </c>
      <c r="B5" s="4">
        <v>8000</v>
      </c>
      <c r="D5" s="18" t="s">
        <v>23</v>
      </c>
      <c r="E5" s="22" t="s">
        <v>115</v>
      </c>
      <c r="F5" s="18">
        <f>B13/B14</f>
        <v>0.24444444444444444</v>
      </c>
      <c r="H5" s="27">
        <v>10000</v>
      </c>
      <c r="I5" s="29">
        <v>0.73799999999999999</v>
      </c>
    </row>
    <row r="6" spans="1:9" ht="15.5" customHeight="1" x14ac:dyDescent="0.35">
      <c r="A6" s="3" t="s">
        <v>119</v>
      </c>
      <c r="B6" s="4">
        <f>(B3*B4)+B5</f>
        <v>48000</v>
      </c>
      <c r="D6" s="18" t="s">
        <v>32</v>
      </c>
      <c r="E6" s="22" t="s">
        <v>34</v>
      </c>
      <c r="F6" s="18">
        <f>F10/0.75</f>
        <v>0.10322615561141246</v>
      </c>
      <c r="H6" s="27">
        <v>15000</v>
      </c>
      <c r="I6" s="29">
        <v>0.629</v>
      </c>
    </row>
    <row r="7" spans="1:9" ht="15.5" customHeight="1" x14ac:dyDescent="0.35">
      <c r="A7" s="3" t="s">
        <v>114</v>
      </c>
      <c r="B7" s="4">
        <v>800</v>
      </c>
      <c r="D7" s="18" t="s">
        <v>24</v>
      </c>
      <c r="E7" s="22" t="s">
        <v>117</v>
      </c>
      <c r="F7" s="18">
        <f>1-B18-F5-F6</f>
        <v>0.15232939994414307</v>
      </c>
      <c r="H7" s="32">
        <v>20000</v>
      </c>
      <c r="I7" s="29">
        <v>0.53300000000000003</v>
      </c>
    </row>
    <row r="8" spans="1:9" ht="15.5" customHeight="1" x14ac:dyDescent="0.35">
      <c r="A8" s="3" t="s">
        <v>5</v>
      </c>
      <c r="B8" s="5">
        <v>65000</v>
      </c>
      <c r="C8" s="46"/>
      <c r="D8" s="44"/>
      <c r="E8" s="44"/>
      <c r="F8" s="45"/>
      <c r="H8" s="27">
        <v>25000</v>
      </c>
      <c r="I8" s="25">
        <v>0.44800000000000001</v>
      </c>
    </row>
    <row r="9" spans="1:9" ht="15.5" customHeight="1" x14ac:dyDescent="0.35">
      <c r="A9" s="6" t="s">
        <v>46</v>
      </c>
      <c r="B9" s="4">
        <f>LOOKUP(B8,Table13[Altitude (h ; ft)],Table13[Density Ratio (σ)])</f>
        <v>7.3999999999999996E-2</v>
      </c>
      <c r="D9" s="55" t="s">
        <v>63</v>
      </c>
      <c r="E9" s="55"/>
      <c r="F9" s="55"/>
      <c r="H9" s="27">
        <v>30000</v>
      </c>
      <c r="I9" s="25">
        <v>0.374</v>
      </c>
    </row>
    <row r="10" spans="1:9" ht="15.5" customHeight="1" x14ac:dyDescent="0.35">
      <c r="A10" s="6" t="s">
        <v>13</v>
      </c>
      <c r="B10" s="4">
        <v>2</v>
      </c>
      <c r="D10" s="11" t="s">
        <v>25</v>
      </c>
      <c r="E10" s="12" t="s">
        <v>31</v>
      </c>
      <c r="F10" s="13">
        <f>1-(1/F4)</f>
        <v>7.7419616708559347E-2</v>
      </c>
      <c r="H10" s="27">
        <v>35000</v>
      </c>
      <c r="I10" s="25">
        <v>0.31</v>
      </c>
    </row>
    <row r="11" spans="1:9" ht="15.5" customHeight="1" x14ac:dyDescent="0.35">
      <c r="A11" s="6" t="s">
        <v>29</v>
      </c>
      <c r="B11" s="4">
        <v>0.87</v>
      </c>
      <c r="D11" s="11" t="s">
        <v>17</v>
      </c>
      <c r="E11" s="12" t="s">
        <v>116</v>
      </c>
      <c r="F11" s="13">
        <f>(B5+(B3*B4))/(1-F5-F6-B18)</f>
        <v>315106.6046186809</v>
      </c>
      <c r="H11" s="31">
        <v>36000</v>
      </c>
      <c r="I11" s="29">
        <v>0.29699999999999999</v>
      </c>
    </row>
    <row r="12" spans="1:9" ht="15.5" customHeight="1" x14ac:dyDescent="0.35">
      <c r="A12" s="6" t="s">
        <v>6</v>
      </c>
      <c r="B12" s="4">
        <v>0.51</v>
      </c>
      <c r="D12" s="11" t="s">
        <v>16</v>
      </c>
      <c r="E12" s="12" t="s">
        <v>33</v>
      </c>
      <c r="F12" s="13">
        <f>F6*F11</f>
        <v>32527.243402551776</v>
      </c>
      <c r="H12" s="31">
        <v>40000</v>
      </c>
      <c r="I12" s="29">
        <v>0.246</v>
      </c>
    </row>
    <row r="13" spans="1:9" ht="15.5" customHeight="1" x14ac:dyDescent="0.35">
      <c r="A13" s="3" t="s">
        <v>7</v>
      </c>
      <c r="B13" s="4">
        <v>0.11</v>
      </c>
      <c r="D13" s="20" t="s">
        <v>35</v>
      </c>
      <c r="E13" s="12" t="s">
        <v>36</v>
      </c>
      <c r="F13" s="13">
        <f>B18*F11</f>
        <v>157553.30230934045</v>
      </c>
      <c r="H13" s="31">
        <v>45000</v>
      </c>
      <c r="I13" s="29">
        <v>0.19400000000000001</v>
      </c>
    </row>
    <row r="14" spans="1:9" ht="15.5" customHeight="1" x14ac:dyDescent="0.35">
      <c r="A14" s="3" t="s">
        <v>8</v>
      </c>
      <c r="B14" s="4">
        <v>0.45</v>
      </c>
      <c r="D14" s="20" t="s">
        <v>37</v>
      </c>
      <c r="E14" s="12" t="s">
        <v>38</v>
      </c>
      <c r="F14" s="13">
        <f>F5*F11</f>
        <v>77026.058906788661</v>
      </c>
      <c r="H14" s="31">
        <v>50000</v>
      </c>
      <c r="I14" s="29">
        <v>0.152</v>
      </c>
    </row>
    <row r="15" spans="1:9" ht="15.5" customHeight="1" x14ac:dyDescent="0.35">
      <c r="A15" s="3" t="s">
        <v>9</v>
      </c>
      <c r="B15" s="4">
        <v>6</v>
      </c>
      <c r="D15" s="11" t="s">
        <v>18</v>
      </c>
      <c r="E15" s="12" t="s">
        <v>40</v>
      </c>
      <c r="F15" s="13">
        <f>F13+F14</f>
        <v>234579.36121612909</v>
      </c>
      <c r="H15" s="31">
        <v>55000</v>
      </c>
      <c r="I15" s="29">
        <v>0.12</v>
      </c>
    </row>
    <row r="16" spans="1:9" ht="15.5" customHeight="1" x14ac:dyDescent="0.35">
      <c r="A16" s="3" t="s">
        <v>10</v>
      </c>
      <c r="B16" s="4">
        <v>1.7999999999999999E-2</v>
      </c>
      <c r="D16" s="11" t="s">
        <v>19</v>
      </c>
      <c r="E16" s="12" t="s">
        <v>39</v>
      </c>
      <c r="F16" s="13">
        <f>(F7*F11)+F12</f>
        <v>80527.243402551772</v>
      </c>
      <c r="H16" s="31">
        <v>60000</v>
      </c>
      <c r="I16" s="30">
        <v>9.4E-2</v>
      </c>
    </row>
    <row r="17" spans="1:9" ht="15.5" customHeight="1" x14ac:dyDescent="0.35">
      <c r="A17" s="3" t="s">
        <v>11</v>
      </c>
      <c r="B17" s="4">
        <v>0.92</v>
      </c>
      <c r="D17" s="11" t="s">
        <v>121</v>
      </c>
      <c r="E17" s="12" t="s">
        <v>120</v>
      </c>
      <c r="F17" s="13">
        <f>B13*F11</f>
        <v>34661.726508054897</v>
      </c>
      <c r="H17" s="31">
        <v>65000</v>
      </c>
      <c r="I17" s="29">
        <v>7.3999999999999996E-2</v>
      </c>
    </row>
    <row r="18" spans="1:9" ht="15.5" customHeight="1" x14ac:dyDescent="0.35">
      <c r="A18" s="3" t="s">
        <v>12</v>
      </c>
      <c r="B18" s="4">
        <v>0.5</v>
      </c>
      <c r="D18" s="11" t="s">
        <v>41</v>
      </c>
      <c r="E18" s="12" t="s">
        <v>42</v>
      </c>
      <c r="F18" s="13">
        <f>(B13*F11)/B10</f>
        <v>17330.863254027448</v>
      </c>
      <c r="H18" s="31">
        <v>70000</v>
      </c>
      <c r="I18" s="33">
        <v>5.8000000000000003E-2</v>
      </c>
    </row>
    <row r="19" spans="1:9" ht="15.5" customHeight="1" x14ac:dyDescent="0.35">
      <c r="A19" s="3" t="s">
        <v>14</v>
      </c>
      <c r="B19" s="4">
        <v>1.5</v>
      </c>
      <c r="C19" s="46"/>
      <c r="D19" s="52"/>
      <c r="E19" s="52"/>
      <c r="F19" s="45"/>
      <c r="H19" s="31">
        <v>75000</v>
      </c>
      <c r="I19" s="29">
        <v>4.5999999999999999E-2</v>
      </c>
    </row>
    <row r="20" spans="1:9" ht="15.5" customHeight="1" x14ac:dyDescent="0.35">
      <c r="A20" s="3" t="s">
        <v>15</v>
      </c>
      <c r="B20" s="4">
        <v>0.75</v>
      </c>
      <c r="D20" s="23"/>
      <c r="E20" s="18" t="s">
        <v>43</v>
      </c>
      <c r="F20" s="23"/>
      <c r="H20" s="32">
        <v>80000</v>
      </c>
      <c r="I20" s="29">
        <v>3.5999999999999997E-2</v>
      </c>
    </row>
    <row r="21" spans="1:9" ht="18" customHeight="1" x14ac:dyDescent="0.35">
      <c r="C21" s="39" t="s">
        <v>48</v>
      </c>
      <c r="D21" s="23"/>
      <c r="E21" s="18" t="s">
        <v>44</v>
      </c>
      <c r="F21" s="23"/>
      <c r="H21" s="32">
        <v>82000</v>
      </c>
      <c r="I21" s="29">
        <v>3.3000000000000002E-2</v>
      </c>
    </row>
    <row r="22" spans="1:9" ht="15.5" customHeight="1" x14ac:dyDescent="0.35">
      <c r="C22" s="38">
        <v>2000</v>
      </c>
      <c r="D22" s="11" t="s">
        <v>45</v>
      </c>
      <c r="E22" s="12" t="s">
        <v>47</v>
      </c>
      <c r="F22" s="13">
        <f>((23.769*10^-4)*B19*(C22*(550*B11*32.174*(1^2.5)*B13/2.44))^(2/3))</f>
        <v>44.365843110184883</v>
      </c>
      <c r="H22" s="32">
        <v>85000</v>
      </c>
      <c r="I22" s="33">
        <v>2.8000000000000001E-2</v>
      </c>
    </row>
    <row r="23" spans="1:9" ht="15.5" customHeight="1" x14ac:dyDescent="0.35">
      <c r="C23" s="44"/>
      <c r="D23" s="44"/>
      <c r="E23" s="44"/>
      <c r="F23" s="45"/>
      <c r="H23" s="35"/>
      <c r="I23" s="36"/>
    </row>
    <row r="24" spans="1:9" ht="15.5" customHeight="1" x14ac:dyDescent="0.35">
      <c r="D24" s="11" t="s">
        <v>49</v>
      </c>
      <c r="E24" s="12" t="s">
        <v>118</v>
      </c>
      <c r="F24" s="13">
        <f>(F22^-1)*F11</f>
        <v>7102.4595167975776</v>
      </c>
      <c r="H24" s="35"/>
      <c r="I24" s="36"/>
    </row>
    <row r="25" spans="1:9" ht="15.5" customHeight="1" x14ac:dyDescent="0.35">
      <c r="D25" s="11" t="s">
        <v>50</v>
      </c>
      <c r="E25" s="12" t="s">
        <v>52</v>
      </c>
      <c r="F25" s="13">
        <f>SQRT(B15*F24)</f>
        <v>206.4334205035257</v>
      </c>
      <c r="H25" s="35"/>
      <c r="I25" s="36"/>
    </row>
    <row r="26" spans="1:9" ht="15.5" customHeight="1" x14ac:dyDescent="0.35">
      <c r="D26" s="11" t="s">
        <v>51</v>
      </c>
      <c r="E26" s="12" t="s">
        <v>53</v>
      </c>
      <c r="F26" s="13">
        <f>F24/F25</f>
        <v>34.405570083920949</v>
      </c>
      <c r="H26" s="35"/>
      <c r="I26" s="36"/>
    </row>
    <row r="27" spans="1:9" ht="15.5" customHeight="1" x14ac:dyDescent="0.35">
      <c r="C27" s="50"/>
      <c r="D27" s="50"/>
      <c r="E27" s="50"/>
      <c r="F27" s="51"/>
      <c r="H27" s="35"/>
      <c r="I27" s="36"/>
    </row>
    <row r="28" spans="1:9" ht="15.5" customHeight="1" x14ac:dyDescent="0.35">
      <c r="D28" s="11" t="s">
        <v>54</v>
      </c>
      <c r="E28" s="12" t="s">
        <v>55</v>
      </c>
      <c r="F28" s="13">
        <f>((2*F22)/(23.769*10^-4*B9))^(1/2)*((F2/B16)^(1/4))</f>
        <v>950.22770428611057</v>
      </c>
      <c r="H28" s="35"/>
      <c r="I28" s="36"/>
    </row>
    <row r="29" spans="1:9" ht="15.5" customHeight="1" x14ac:dyDescent="0.35">
      <c r="A29" s="48" t="s">
        <v>106</v>
      </c>
      <c r="B29" s="48"/>
      <c r="C29" s="44"/>
      <c r="D29" s="44"/>
      <c r="E29" s="44"/>
      <c r="F29" s="45"/>
      <c r="H29" s="35"/>
      <c r="I29" s="36"/>
    </row>
    <row r="30" spans="1:9" ht="15.5" customHeight="1" x14ac:dyDescent="0.35">
      <c r="A30" s="49"/>
      <c r="B30" s="49"/>
      <c r="D30" s="20" t="s">
        <v>56</v>
      </c>
      <c r="E30" s="12" t="s">
        <v>72</v>
      </c>
      <c r="F30" s="13">
        <f>(((2*F22)/(23.769*10^-4))^(1/2))*((F2/(3*B16))^(1/4))</f>
        <v>196.40983666923094</v>
      </c>
      <c r="H30" s="35"/>
      <c r="I30" s="36"/>
    </row>
    <row r="31" spans="1:9" ht="15.5" customHeight="1" x14ac:dyDescent="0.35">
      <c r="A31" s="40">
        <f>I8</f>
        <v>0.44800000000000001</v>
      </c>
      <c r="B31" s="40">
        <f>I9</f>
        <v>0.374</v>
      </c>
      <c r="D31" s="20" t="s">
        <v>57</v>
      </c>
      <c r="E31" s="12" t="s">
        <v>58</v>
      </c>
      <c r="F31" s="13">
        <f>550*B11*B13</f>
        <v>52.634999999999998</v>
      </c>
      <c r="H31" s="35"/>
      <c r="I31" s="36"/>
    </row>
    <row r="32" spans="1:9" ht="15.5" customHeight="1" x14ac:dyDescent="0.35">
      <c r="A32" s="41" t="s">
        <v>108</v>
      </c>
      <c r="B32" s="41" t="s">
        <v>109</v>
      </c>
      <c r="D32" s="20" t="s">
        <v>59</v>
      </c>
      <c r="E32" s="24" t="s">
        <v>73</v>
      </c>
      <c r="F32" s="13">
        <f>((1.155*F30)/(F3*F31))^(2/3)</f>
        <v>0.42565876074364833</v>
      </c>
      <c r="H32" s="35"/>
      <c r="I32" s="36"/>
    </row>
    <row r="33" spans="1:9" ht="15.5" customHeight="1" x14ac:dyDescent="0.35">
      <c r="A33" s="37">
        <f>_xlfn.XLOOKUP(A31,Table13[Density Ratio (σ)],Table13[Altitude (h ; ft)])</f>
        <v>25000</v>
      </c>
      <c r="B33" s="37">
        <f>_xlfn.XLOOKUP(B31,Table13[Density Ratio (σ)],Table13[Altitude (h ; ft)])</f>
        <v>30000</v>
      </c>
      <c r="D33" s="11" t="s">
        <v>60</v>
      </c>
      <c r="E33" s="12" t="s">
        <v>107</v>
      </c>
      <c r="F33" s="13">
        <f>A33+((( F32-A31)/(B31-A31))*(B33-A33))</f>
        <v>26509.543192996734</v>
      </c>
      <c r="H33" s="35"/>
      <c r="I33" s="36"/>
    </row>
    <row r="34" spans="1:9" ht="15.5" customHeight="1" x14ac:dyDescent="0.35">
      <c r="C34" s="46"/>
      <c r="D34" s="44"/>
      <c r="E34" s="44"/>
      <c r="F34" s="44"/>
      <c r="H34" s="35"/>
      <c r="I34" s="36"/>
    </row>
    <row r="35" spans="1:9" ht="15.5" customHeight="1" x14ac:dyDescent="0.35">
      <c r="H35" s="35"/>
      <c r="I35" s="36"/>
    </row>
    <row r="36" spans="1:9" ht="15.5" customHeight="1" x14ac:dyDescent="0.35">
      <c r="H36" s="35"/>
      <c r="I36" s="36"/>
    </row>
    <row r="37" spans="1:9" ht="15.5" customHeight="1" x14ac:dyDescent="0.35">
      <c r="H37" s="35"/>
      <c r="I37" s="36"/>
    </row>
    <row r="38" spans="1:9" ht="15.5" customHeight="1" x14ac:dyDescent="0.35">
      <c r="H38" s="35"/>
      <c r="I38" s="36"/>
    </row>
    <row r="39" spans="1:9" ht="15.5" customHeight="1" x14ac:dyDescent="0.35">
      <c r="H39" s="35"/>
      <c r="I39" s="36"/>
    </row>
    <row r="40" spans="1:9" ht="15.5" customHeight="1" x14ac:dyDescent="0.35">
      <c r="H40" s="35"/>
      <c r="I40" s="36"/>
    </row>
    <row r="41" spans="1:9" ht="15.5" customHeight="1" x14ac:dyDescent="0.35">
      <c r="H41" s="35"/>
      <c r="I41" s="36"/>
    </row>
    <row r="42" spans="1:9" ht="15.5" customHeight="1" x14ac:dyDescent="0.35">
      <c r="H42" s="35"/>
      <c r="I42" s="36"/>
    </row>
    <row r="43" spans="1:9" ht="15.5" customHeight="1" x14ac:dyDescent="0.35">
      <c r="H43" s="35"/>
      <c r="I43" s="36"/>
    </row>
    <row r="44" spans="1:9" ht="15.5" customHeight="1" x14ac:dyDescent="0.35">
      <c r="H44" s="35"/>
      <c r="I44" s="36"/>
    </row>
    <row r="45" spans="1:9" ht="15.5" customHeight="1" x14ac:dyDescent="0.35">
      <c r="H45" s="35"/>
      <c r="I45" s="36"/>
    </row>
    <row r="46" spans="1:9" ht="15.5" customHeight="1" x14ac:dyDescent="0.35">
      <c r="H46" s="35"/>
      <c r="I46" s="36"/>
    </row>
    <row r="47" spans="1:9" ht="15.5" customHeight="1" x14ac:dyDescent="0.35">
      <c r="H47" s="35"/>
      <c r="I47" s="36"/>
    </row>
    <row r="48" spans="1:9" ht="15.5" customHeight="1" x14ac:dyDescent="0.35">
      <c r="H48" s="35"/>
      <c r="I48" s="36"/>
    </row>
    <row r="49" spans="8:9" ht="15.5" customHeight="1" x14ac:dyDescent="0.35">
      <c r="H49" s="35"/>
      <c r="I49" s="36"/>
    </row>
    <row r="50" spans="8:9" ht="15.5" customHeight="1" x14ac:dyDescent="0.35">
      <c r="H50" s="35"/>
      <c r="I50" s="36"/>
    </row>
    <row r="51" spans="8:9" ht="15.5" customHeight="1" x14ac:dyDescent="0.35">
      <c r="H51" s="35"/>
      <c r="I51" s="36"/>
    </row>
    <row r="52" spans="8:9" ht="15.5" customHeight="1" x14ac:dyDescent="0.35">
      <c r="H52" s="35"/>
      <c r="I52" s="36"/>
    </row>
    <row r="53" spans="8:9" ht="15.5" customHeight="1" x14ac:dyDescent="0.35">
      <c r="H53" s="35"/>
      <c r="I53" s="36"/>
    </row>
    <row r="54" spans="8:9" ht="15.5" customHeight="1" x14ac:dyDescent="0.35">
      <c r="H54" s="35"/>
      <c r="I54" s="36"/>
    </row>
    <row r="55" spans="8:9" ht="15.5" customHeight="1" x14ac:dyDescent="0.35">
      <c r="H55" s="35"/>
      <c r="I55" s="36"/>
    </row>
    <row r="56" spans="8:9" ht="15.5" customHeight="1" x14ac:dyDescent="0.35">
      <c r="H56" s="35"/>
      <c r="I56" s="36"/>
    </row>
    <row r="57" spans="8:9" ht="15.5" customHeight="1" x14ac:dyDescent="0.35">
      <c r="H57" s="35"/>
      <c r="I57" s="36"/>
    </row>
    <row r="58" spans="8:9" ht="15.5" customHeight="1" x14ac:dyDescent="0.35">
      <c r="H58" s="35"/>
      <c r="I58" s="36"/>
    </row>
    <row r="59" spans="8:9" ht="15.5" customHeight="1" x14ac:dyDescent="0.35">
      <c r="H59" s="35"/>
      <c r="I59" s="36"/>
    </row>
    <row r="60" spans="8:9" ht="15.5" customHeight="1" x14ac:dyDescent="0.35">
      <c r="H60" s="35"/>
      <c r="I60" s="36"/>
    </row>
    <row r="61" spans="8:9" ht="15.5" customHeight="1" x14ac:dyDescent="0.35">
      <c r="H61" s="35"/>
      <c r="I61" s="36"/>
    </row>
    <row r="62" spans="8:9" ht="15.5" customHeight="1" x14ac:dyDescent="0.35">
      <c r="H62" s="35"/>
      <c r="I62" s="36"/>
    </row>
    <row r="63" spans="8:9" ht="15.5" customHeight="1" x14ac:dyDescent="0.35">
      <c r="H63" s="35"/>
      <c r="I63" s="36"/>
    </row>
    <row r="64" spans="8:9" ht="15.5" customHeight="1" x14ac:dyDescent="0.35">
      <c r="H64" s="35"/>
      <c r="I64" s="36"/>
    </row>
    <row r="65" spans="8:9" ht="15.5" customHeight="1" x14ac:dyDescent="0.35">
      <c r="H65" s="35"/>
      <c r="I65" s="36"/>
    </row>
    <row r="66" spans="8:9" ht="15.5" customHeight="1" x14ac:dyDescent="0.35">
      <c r="H66" s="35"/>
      <c r="I66" s="36"/>
    </row>
    <row r="67" spans="8:9" ht="15.5" customHeight="1" x14ac:dyDescent="0.35">
      <c r="H67" s="35"/>
      <c r="I67" s="36"/>
    </row>
    <row r="68" spans="8:9" ht="15.5" customHeight="1" x14ac:dyDescent="0.35">
      <c r="H68" s="35"/>
      <c r="I68" s="36"/>
    </row>
    <row r="69" spans="8:9" ht="15.5" customHeight="1" x14ac:dyDescent="0.35">
      <c r="H69" s="35"/>
      <c r="I69" s="36"/>
    </row>
    <row r="70" spans="8:9" ht="15.5" customHeight="1" x14ac:dyDescent="0.35">
      <c r="H70" s="35"/>
      <c r="I70" s="36"/>
    </row>
    <row r="71" spans="8:9" ht="15.5" customHeight="1" x14ac:dyDescent="0.35">
      <c r="H71" s="35"/>
      <c r="I71" s="36"/>
    </row>
    <row r="72" spans="8:9" ht="15.5" customHeight="1" x14ac:dyDescent="0.35">
      <c r="H72" s="35"/>
      <c r="I72" s="36"/>
    </row>
    <row r="73" spans="8:9" ht="15.5" customHeight="1" x14ac:dyDescent="0.35">
      <c r="H73" s="35"/>
      <c r="I73" s="36"/>
    </row>
    <row r="74" spans="8:9" ht="15.5" customHeight="1" x14ac:dyDescent="0.35">
      <c r="H74" s="35"/>
      <c r="I74" s="36"/>
    </row>
    <row r="75" spans="8:9" ht="15.5" customHeight="1" x14ac:dyDescent="0.35">
      <c r="H75" s="35"/>
      <c r="I75" s="36"/>
    </row>
    <row r="76" spans="8:9" ht="15.5" customHeight="1" x14ac:dyDescent="0.35">
      <c r="H76" s="35"/>
      <c r="I76" s="36"/>
    </row>
    <row r="77" spans="8:9" ht="15.5" customHeight="1" x14ac:dyDescent="0.35">
      <c r="H77" s="35"/>
      <c r="I77" s="36"/>
    </row>
    <row r="78" spans="8:9" ht="15.5" customHeight="1" x14ac:dyDescent="0.35">
      <c r="H78" s="35"/>
      <c r="I78" s="36"/>
    </row>
    <row r="79" spans="8:9" ht="15.5" customHeight="1" x14ac:dyDescent="0.35">
      <c r="H79" s="35"/>
      <c r="I79" s="36"/>
    </row>
    <row r="80" spans="8:9" ht="15.5" customHeight="1" x14ac:dyDescent="0.35">
      <c r="H80" s="35"/>
      <c r="I80" s="36"/>
    </row>
    <row r="81" spans="8:9" ht="15.5" customHeight="1" x14ac:dyDescent="0.35">
      <c r="H81" s="35"/>
      <c r="I81" s="36"/>
    </row>
    <row r="82" spans="8:9" ht="15.5" customHeight="1" x14ac:dyDescent="0.35">
      <c r="H82" s="35"/>
      <c r="I82" s="36"/>
    </row>
    <row r="83" spans="8:9" ht="15.5" customHeight="1" x14ac:dyDescent="0.35">
      <c r="H83" s="35"/>
      <c r="I83" s="36"/>
    </row>
    <row r="84" spans="8:9" ht="15.5" customHeight="1" x14ac:dyDescent="0.35">
      <c r="H84" s="35"/>
      <c r="I84" s="36"/>
    </row>
    <row r="85" spans="8:9" ht="15.5" customHeight="1" x14ac:dyDescent="0.35">
      <c r="H85" s="35"/>
      <c r="I85" s="36"/>
    </row>
    <row r="86" spans="8:9" ht="15.5" customHeight="1" x14ac:dyDescent="0.35">
      <c r="H86" s="35"/>
      <c r="I86" s="36"/>
    </row>
    <row r="87" spans="8:9" ht="15.5" customHeight="1" x14ac:dyDescent="0.35">
      <c r="H87" s="35"/>
      <c r="I87" s="36"/>
    </row>
    <row r="88" spans="8:9" ht="15.5" customHeight="1" x14ac:dyDescent="0.35">
      <c r="H88" s="35"/>
      <c r="I88" s="36"/>
    </row>
    <row r="89" spans="8:9" ht="15.5" customHeight="1" x14ac:dyDescent="0.35">
      <c r="H89" s="35"/>
      <c r="I89" s="36"/>
    </row>
    <row r="90" spans="8:9" ht="15.5" customHeight="1" x14ac:dyDescent="0.35">
      <c r="H90" s="35"/>
      <c r="I90" s="36"/>
    </row>
    <row r="91" spans="8:9" ht="15.5" customHeight="1" x14ac:dyDescent="0.35">
      <c r="H91" s="35"/>
      <c r="I91" s="36"/>
    </row>
    <row r="92" spans="8:9" ht="15.5" customHeight="1" x14ac:dyDescent="0.35">
      <c r="H92" s="35"/>
      <c r="I92" s="36"/>
    </row>
    <row r="93" spans="8:9" ht="15.5" customHeight="1" x14ac:dyDescent="0.35">
      <c r="H93" s="35"/>
      <c r="I93" s="36"/>
    </row>
    <row r="94" spans="8:9" ht="15.5" customHeight="1" x14ac:dyDescent="0.35">
      <c r="H94" s="35"/>
      <c r="I94" s="36"/>
    </row>
    <row r="95" spans="8:9" ht="15.5" customHeight="1" x14ac:dyDescent="0.35">
      <c r="H95" s="35"/>
      <c r="I95" s="36"/>
    </row>
    <row r="96" spans="8:9" ht="15.5" customHeight="1" x14ac:dyDescent="0.35">
      <c r="H96" s="35"/>
      <c r="I96" s="36"/>
    </row>
    <row r="97" spans="8:9" ht="15.5" customHeight="1" x14ac:dyDescent="0.35">
      <c r="H97" s="35"/>
      <c r="I97" s="36"/>
    </row>
    <row r="98" spans="8:9" ht="15.5" customHeight="1" x14ac:dyDescent="0.35">
      <c r="H98" s="35"/>
      <c r="I98" s="36"/>
    </row>
    <row r="99" spans="8:9" ht="15.5" customHeight="1" x14ac:dyDescent="0.35">
      <c r="H99" s="35"/>
      <c r="I99" s="36"/>
    </row>
    <row r="100" spans="8:9" ht="15.5" customHeight="1" x14ac:dyDescent="0.35">
      <c r="H100" s="35"/>
      <c r="I100" s="36"/>
    </row>
    <row r="101" spans="8:9" ht="15.5" customHeight="1" x14ac:dyDescent="0.35">
      <c r="H101" s="35"/>
      <c r="I101" s="36"/>
    </row>
    <row r="102" spans="8:9" ht="15.5" customHeight="1" x14ac:dyDescent="0.35">
      <c r="H102" s="35"/>
      <c r="I102" s="36"/>
    </row>
    <row r="103" spans="8:9" ht="15.5" customHeight="1" x14ac:dyDescent="0.35">
      <c r="H103" s="35"/>
      <c r="I103" s="36"/>
    </row>
    <row r="104" spans="8:9" ht="15.5" customHeight="1" x14ac:dyDescent="0.35">
      <c r="H104" s="35"/>
      <c r="I104" s="36"/>
    </row>
    <row r="105" spans="8:9" ht="15.5" customHeight="1" x14ac:dyDescent="0.35">
      <c r="H105" s="35"/>
      <c r="I105" s="36"/>
    </row>
    <row r="106" spans="8:9" ht="15.5" customHeight="1" x14ac:dyDescent="0.35">
      <c r="H106" s="35"/>
      <c r="I106" s="36"/>
    </row>
    <row r="107" spans="8:9" ht="15.5" customHeight="1" x14ac:dyDescent="0.35">
      <c r="H107" s="35"/>
      <c r="I107" s="36"/>
    </row>
    <row r="108" spans="8:9" ht="15.5" customHeight="1" x14ac:dyDescent="0.35">
      <c r="H108" s="35"/>
      <c r="I108" s="36"/>
    </row>
    <row r="109" spans="8:9" ht="15.5" customHeight="1" x14ac:dyDescent="0.35">
      <c r="H109" s="35"/>
      <c r="I109" s="36"/>
    </row>
    <row r="110" spans="8:9" ht="15.5" customHeight="1" x14ac:dyDescent="0.35">
      <c r="H110" s="35"/>
      <c r="I110" s="36"/>
    </row>
    <row r="111" spans="8:9" ht="15.5" customHeight="1" x14ac:dyDescent="0.35">
      <c r="H111" s="35"/>
      <c r="I111" s="36"/>
    </row>
    <row r="112" spans="8:9" ht="15.5" customHeight="1" x14ac:dyDescent="0.35">
      <c r="H112" s="35"/>
      <c r="I112" s="36"/>
    </row>
    <row r="113" spans="8:9" ht="15.5" customHeight="1" x14ac:dyDescent="0.35">
      <c r="H113" s="35"/>
      <c r="I113" s="36"/>
    </row>
    <row r="114" spans="8:9" ht="15.5" customHeight="1" x14ac:dyDescent="0.35">
      <c r="H114" s="35"/>
      <c r="I114" s="36"/>
    </row>
    <row r="115" spans="8:9" ht="15.5" customHeight="1" x14ac:dyDescent="0.35">
      <c r="H115" s="35"/>
      <c r="I115" s="36"/>
    </row>
    <row r="116" spans="8:9" ht="15.5" customHeight="1" x14ac:dyDescent="0.35">
      <c r="H116" s="35"/>
      <c r="I116" s="36"/>
    </row>
    <row r="117" spans="8:9" ht="15.5" customHeight="1" x14ac:dyDescent="0.35">
      <c r="H117" s="35"/>
      <c r="I117" s="36"/>
    </row>
    <row r="118" spans="8:9" ht="15.5" customHeight="1" x14ac:dyDescent="0.35">
      <c r="H118" s="35"/>
      <c r="I118" s="36"/>
    </row>
    <row r="119" spans="8:9" ht="15.5" customHeight="1" x14ac:dyDescent="0.35">
      <c r="H119" s="35"/>
      <c r="I119" s="36"/>
    </row>
    <row r="120" spans="8:9" ht="15.5" customHeight="1" x14ac:dyDescent="0.35">
      <c r="H120" s="35"/>
      <c r="I120" s="36"/>
    </row>
    <row r="121" spans="8:9" ht="15.5" customHeight="1" x14ac:dyDescent="0.35">
      <c r="H121" s="35"/>
      <c r="I121" s="36"/>
    </row>
    <row r="122" spans="8:9" ht="15.5" customHeight="1" x14ac:dyDescent="0.35">
      <c r="H122" s="35"/>
      <c r="I122" s="36"/>
    </row>
    <row r="123" spans="8:9" ht="15.5" customHeight="1" x14ac:dyDescent="0.35">
      <c r="H123" s="35"/>
      <c r="I123" s="36"/>
    </row>
    <row r="124" spans="8:9" ht="15.5" customHeight="1" x14ac:dyDescent="0.35">
      <c r="H124" s="35"/>
      <c r="I124" s="36"/>
    </row>
    <row r="125" spans="8:9" ht="15.5" customHeight="1" x14ac:dyDescent="0.35">
      <c r="H125" s="35"/>
      <c r="I125" s="36"/>
    </row>
    <row r="126" spans="8:9" ht="15.5" customHeight="1" x14ac:dyDescent="0.35">
      <c r="H126" s="35"/>
      <c r="I126" s="36"/>
    </row>
    <row r="127" spans="8:9" ht="15.5" customHeight="1" x14ac:dyDescent="0.35">
      <c r="H127" s="35"/>
      <c r="I127" s="36"/>
    </row>
    <row r="128" spans="8:9" ht="15.5" customHeight="1" x14ac:dyDescent="0.35">
      <c r="H128" s="35"/>
      <c r="I128" s="36"/>
    </row>
    <row r="129" spans="8:9" ht="15.5" customHeight="1" x14ac:dyDescent="0.35">
      <c r="H129" s="35"/>
      <c r="I129" s="36"/>
    </row>
    <row r="130" spans="8:9" ht="15.5" customHeight="1" x14ac:dyDescent="0.35">
      <c r="H130" s="35"/>
      <c r="I130" s="36"/>
    </row>
    <row r="131" spans="8:9" ht="15.5" customHeight="1" x14ac:dyDescent="0.35">
      <c r="H131" s="35"/>
      <c r="I131" s="36"/>
    </row>
    <row r="132" spans="8:9" ht="15.5" customHeight="1" x14ac:dyDescent="0.35">
      <c r="H132" s="35"/>
      <c r="I132" s="36"/>
    </row>
    <row r="133" spans="8:9" ht="15.5" customHeight="1" x14ac:dyDescent="0.35">
      <c r="H133" s="35"/>
      <c r="I133" s="36"/>
    </row>
    <row r="134" spans="8:9" ht="15.5" customHeight="1" x14ac:dyDescent="0.35">
      <c r="H134" s="35"/>
      <c r="I134" s="36"/>
    </row>
    <row r="135" spans="8:9" ht="15.5" customHeight="1" x14ac:dyDescent="0.35">
      <c r="H135" s="35"/>
      <c r="I135" s="36"/>
    </row>
    <row r="136" spans="8:9" ht="15.5" customHeight="1" x14ac:dyDescent="0.35">
      <c r="H136" s="35"/>
      <c r="I136" s="36"/>
    </row>
    <row r="137" spans="8:9" ht="15.5" customHeight="1" x14ac:dyDescent="0.35">
      <c r="H137" s="35"/>
      <c r="I137" s="36"/>
    </row>
    <row r="138" spans="8:9" ht="15.5" customHeight="1" x14ac:dyDescent="0.35">
      <c r="H138" s="35"/>
      <c r="I138" s="36"/>
    </row>
    <row r="139" spans="8:9" ht="15.5" customHeight="1" x14ac:dyDescent="0.35">
      <c r="H139" s="35"/>
      <c r="I139" s="36"/>
    </row>
    <row r="140" spans="8:9" ht="15.5" customHeight="1" x14ac:dyDescent="0.35">
      <c r="H140" s="35"/>
      <c r="I140" s="36"/>
    </row>
    <row r="141" spans="8:9" ht="15.5" customHeight="1" x14ac:dyDescent="0.35">
      <c r="H141" s="35"/>
      <c r="I141" s="36"/>
    </row>
    <row r="142" spans="8:9" ht="15.5" customHeight="1" x14ac:dyDescent="0.35">
      <c r="H142" s="35"/>
      <c r="I142" s="36"/>
    </row>
    <row r="143" spans="8:9" ht="15.5" customHeight="1" x14ac:dyDescent="0.35">
      <c r="H143" s="35"/>
      <c r="I143" s="36"/>
    </row>
    <row r="144" spans="8:9" ht="15.5" customHeight="1" x14ac:dyDescent="0.35">
      <c r="H144" s="35"/>
      <c r="I144" s="36"/>
    </row>
    <row r="145" spans="8:9" ht="15.5" customHeight="1" x14ac:dyDescent="0.35">
      <c r="H145" s="35"/>
      <c r="I145" s="36"/>
    </row>
    <row r="146" spans="8:9" ht="15.5" customHeight="1" x14ac:dyDescent="0.35">
      <c r="H146" s="35"/>
      <c r="I146" s="36"/>
    </row>
    <row r="147" spans="8:9" ht="15.5" customHeight="1" x14ac:dyDescent="0.35">
      <c r="H147" s="35"/>
      <c r="I147" s="36"/>
    </row>
    <row r="148" spans="8:9" ht="15.5" customHeight="1" x14ac:dyDescent="0.35">
      <c r="H148" s="35"/>
      <c r="I148" s="36"/>
    </row>
    <row r="149" spans="8:9" ht="15.5" customHeight="1" x14ac:dyDescent="0.35">
      <c r="H149" s="35"/>
      <c r="I149" s="36"/>
    </row>
    <row r="150" spans="8:9" ht="15.5" customHeight="1" x14ac:dyDescent="0.35">
      <c r="H150" s="35"/>
      <c r="I150" s="36"/>
    </row>
    <row r="151" spans="8:9" ht="15.5" customHeight="1" x14ac:dyDescent="0.35">
      <c r="H151" s="35"/>
      <c r="I151" s="36"/>
    </row>
    <row r="152" spans="8:9" ht="15.5" customHeight="1" x14ac:dyDescent="0.35">
      <c r="H152" s="35"/>
      <c r="I152" s="36"/>
    </row>
    <row r="153" spans="8:9" ht="15.5" customHeight="1" x14ac:dyDescent="0.35">
      <c r="H153" s="35"/>
      <c r="I153" s="36"/>
    </row>
    <row r="154" spans="8:9" ht="15.5" customHeight="1" x14ac:dyDescent="0.35">
      <c r="H154" s="35"/>
      <c r="I154" s="36"/>
    </row>
    <row r="155" spans="8:9" ht="15.5" customHeight="1" x14ac:dyDescent="0.35">
      <c r="H155" s="35"/>
      <c r="I155" s="36"/>
    </row>
    <row r="156" spans="8:9" ht="15.5" customHeight="1" x14ac:dyDescent="0.35">
      <c r="H156" s="35"/>
      <c r="I156" s="36"/>
    </row>
    <row r="157" spans="8:9" ht="15.5" customHeight="1" x14ac:dyDescent="0.35">
      <c r="H157" s="35"/>
      <c r="I157" s="36"/>
    </row>
    <row r="158" spans="8:9" ht="15.5" customHeight="1" x14ac:dyDescent="0.35">
      <c r="H158" s="35"/>
      <c r="I158" s="36"/>
    </row>
    <row r="159" spans="8:9" ht="15.5" customHeight="1" x14ac:dyDescent="0.35">
      <c r="H159" s="35"/>
      <c r="I159" s="36"/>
    </row>
    <row r="160" spans="8:9" ht="15.5" customHeight="1" x14ac:dyDescent="0.35">
      <c r="H160" s="35"/>
      <c r="I160" s="36"/>
    </row>
    <row r="161" spans="8:9" ht="15.5" customHeight="1" x14ac:dyDescent="0.35">
      <c r="H161" s="35"/>
      <c r="I161" s="36"/>
    </row>
    <row r="162" spans="8:9" ht="15.5" customHeight="1" x14ac:dyDescent="0.35">
      <c r="H162" s="35"/>
      <c r="I162" s="36"/>
    </row>
    <row r="163" spans="8:9" ht="15.5" customHeight="1" x14ac:dyDescent="0.35">
      <c r="H163" s="35"/>
      <c r="I163" s="36"/>
    </row>
    <row r="164" spans="8:9" ht="15.5" customHeight="1" x14ac:dyDescent="0.35">
      <c r="H164" s="35"/>
      <c r="I164" s="36"/>
    </row>
    <row r="165" spans="8:9" ht="15.5" customHeight="1" x14ac:dyDescent="0.35">
      <c r="H165" s="35"/>
      <c r="I165" s="36"/>
    </row>
    <row r="166" spans="8:9" ht="15.5" customHeight="1" x14ac:dyDescent="0.35">
      <c r="H166" s="35"/>
      <c r="I166" s="36"/>
    </row>
    <row r="167" spans="8:9" ht="15.5" customHeight="1" x14ac:dyDescent="0.35">
      <c r="H167" s="35"/>
      <c r="I167" s="36"/>
    </row>
    <row r="168" spans="8:9" ht="15.5" customHeight="1" x14ac:dyDescent="0.35">
      <c r="H168" s="35"/>
      <c r="I168" s="36"/>
    </row>
    <row r="169" spans="8:9" ht="15.5" customHeight="1" x14ac:dyDescent="0.35">
      <c r="H169" s="35"/>
      <c r="I169" s="36"/>
    </row>
    <row r="170" spans="8:9" ht="15.5" customHeight="1" x14ac:dyDescent="0.35">
      <c r="H170" s="35"/>
      <c r="I170" s="36"/>
    </row>
    <row r="171" spans="8:9" ht="15.5" customHeight="1" x14ac:dyDescent="0.35">
      <c r="H171" s="35"/>
      <c r="I171" s="36"/>
    </row>
    <row r="172" spans="8:9" ht="15.5" customHeight="1" x14ac:dyDescent="0.35">
      <c r="H172" s="35"/>
      <c r="I172" s="36"/>
    </row>
    <row r="173" spans="8:9" ht="15.5" customHeight="1" x14ac:dyDescent="0.35">
      <c r="H173" s="35"/>
      <c r="I173" s="36"/>
    </row>
    <row r="174" spans="8:9" ht="15.5" customHeight="1" x14ac:dyDescent="0.35">
      <c r="H174" s="35"/>
      <c r="I174" s="36"/>
    </row>
    <row r="175" spans="8:9" ht="15.5" customHeight="1" x14ac:dyDescent="0.35">
      <c r="H175" s="35"/>
      <c r="I175" s="36"/>
    </row>
    <row r="176" spans="8:9" ht="15.5" customHeight="1" x14ac:dyDescent="0.35">
      <c r="H176" s="35"/>
      <c r="I176" s="36"/>
    </row>
    <row r="177" spans="8:9" ht="15.5" customHeight="1" x14ac:dyDescent="0.35">
      <c r="H177" s="35"/>
      <c r="I177" s="36"/>
    </row>
    <row r="178" spans="8:9" ht="15.5" customHeight="1" x14ac:dyDescent="0.35">
      <c r="H178" s="35"/>
      <c r="I178" s="36"/>
    </row>
    <row r="179" spans="8:9" ht="15.5" customHeight="1" x14ac:dyDescent="0.35">
      <c r="H179" s="35"/>
      <c r="I179" s="36"/>
    </row>
    <row r="180" spans="8:9" ht="15.5" customHeight="1" x14ac:dyDescent="0.35">
      <c r="H180" s="35"/>
      <c r="I180" s="36"/>
    </row>
    <row r="181" spans="8:9" ht="15.5" customHeight="1" x14ac:dyDescent="0.35">
      <c r="H181" s="35"/>
      <c r="I181" s="36"/>
    </row>
    <row r="182" spans="8:9" ht="15.5" customHeight="1" x14ac:dyDescent="0.35">
      <c r="H182" s="35"/>
      <c r="I182" s="36"/>
    </row>
    <row r="183" spans="8:9" ht="15.5" customHeight="1" x14ac:dyDescent="0.35">
      <c r="H183" s="35"/>
      <c r="I183" s="36"/>
    </row>
    <row r="184" spans="8:9" ht="15.5" customHeight="1" x14ac:dyDescent="0.35">
      <c r="H184" s="35"/>
      <c r="I184" s="36"/>
    </row>
    <row r="185" spans="8:9" ht="15.5" customHeight="1" x14ac:dyDescent="0.35">
      <c r="H185" s="35"/>
      <c r="I185" s="36"/>
    </row>
    <row r="186" spans="8:9" ht="15.5" customHeight="1" x14ac:dyDescent="0.35">
      <c r="H186" s="35"/>
      <c r="I186" s="36"/>
    </row>
    <row r="187" spans="8:9" ht="15.5" customHeight="1" x14ac:dyDescent="0.35">
      <c r="H187" s="35"/>
      <c r="I187" s="36"/>
    </row>
    <row r="188" spans="8:9" ht="15.5" customHeight="1" x14ac:dyDescent="0.35">
      <c r="H188" s="35"/>
      <c r="I188" s="36"/>
    </row>
    <row r="189" spans="8:9" ht="15.5" customHeight="1" x14ac:dyDescent="0.35">
      <c r="H189" s="35"/>
      <c r="I189" s="36"/>
    </row>
    <row r="190" spans="8:9" ht="15.5" customHeight="1" x14ac:dyDescent="0.35">
      <c r="H190" s="35"/>
      <c r="I190" s="36"/>
    </row>
    <row r="191" spans="8:9" ht="15.5" customHeight="1" x14ac:dyDescent="0.35">
      <c r="H191" s="35"/>
      <c r="I191" s="36"/>
    </row>
    <row r="192" spans="8:9" ht="15.5" customHeight="1" x14ac:dyDescent="0.35">
      <c r="H192" s="35"/>
      <c r="I192" s="36"/>
    </row>
    <row r="193" spans="8:9" ht="15.5" customHeight="1" x14ac:dyDescent="0.35">
      <c r="H193" s="35"/>
      <c r="I193" s="36"/>
    </row>
    <row r="194" spans="8:9" ht="15.5" customHeight="1" x14ac:dyDescent="0.35">
      <c r="H194" s="35"/>
      <c r="I194" s="36"/>
    </row>
    <row r="195" spans="8:9" ht="15.5" customHeight="1" x14ac:dyDescent="0.35">
      <c r="H195" s="35"/>
      <c r="I195" s="36"/>
    </row>
    <row r="196" spans="8:9" ht="15.5" customHeight="1" x14ac:dyDescent="0.35">
      <c r="H196" s="35"/>
      <c r="I196" s="36"/>
    </row>
    <row r="197" spans="8:9" ht="15.5" customHeight="1" x14ac:dyDescent="0.35">
      <c r="H197" s="35"/>
      <c r="I197" s="36"/>
    </row>
    <row r="198" spans="8:9" ht="15.5" customHeight="1" x14ac:dyDescent="0.35">
      <c r="H198" s="35"/>
      <c r="I198" s="36"/>
    </row>
    <row r="199" spans="8:9" ht="15.5" customHeight="1" x14ac:dyDescent="0.35">
      <c r="H199" s="35"/>
      <c r="I199" s="36"/>
    </row>
    <row r="200" spans="8:9" ht="15.5" customHeight="1" x14ac:dyDescent="0.35">
      <c r="H200" s="35"/>
      <c r="I200" s="36"/>
    </row>
    <row r="201" spans="8:9" ht="15.5" customHeight="1" x14ac:dyDescent="0.35">
      <c r="H201" s="35"/>
      <c r="I201" s="36"/>
    </row>
    <row r="202" spans="8:9" ht="15.5" customHeight="1" x14ac:dyDescent="0.35">
      <c r="H202" s="35"/>
      <c r="I202" s="36"/>
    </row>
    <row r="203" spans="8:9" ht="15.5" customHeight="1" x14ac:dyDescent="0.35">
      <c r="H203" s="35"/>
      <c r="I203" s="36"/>
    </row>
    <row r="204" spans="8:9" ht="15.5" customHeight="1" x14ac:dyDescent="0.35">
      <c r="H204" s="35"/>
      <c r="I204" s="36"/>
    </row>
    <row r="205" spans="8:9" ht="15.5" customHeight="1" x14ac:dyDescent="0.35">
      <c r="H205" s="35"/>
      <c r="I205" s="36"/>
    </row>
    <row r="206" spans="8:9" ht="15.5" customHeight="1" x14ac:dyDescent="0.35">
      <c r="H206" s="35"/>
      <c r="I206" s="36"/>
    </row>
    <row r="207" spans="8:9" ht="15.5" customHeight="1" x14ac:dyDescent="0.35">
      <c r="H207" s="35"/>
      <c r="I207" s="36"/>
    </row>
    <row r="208" spans="8:9" ht="15.5" customHeight="1" x14ac:dyDescent="0.35">
      <c r="H208" s="35"/>
      <c r="I208" s="36"/>
    </row>
    <row r="209" spans="8:9" ht="15.5" customHeight="1" x14ac:dyDescent="0.35">
      <c r="H209" s="35"/>
      <c r="I209" s="36"/>
    </row>
    <row r="210" spans="8:9" ht="15.5" customHeight="1" x14ac:dyDescent="0.35">
      <c r="H210" s="35"/>
      <c r="I210" s="36"/>
    </row>
    <row r="211" spans="8:9" ht="15.5" customHeight="1" x14ac:dyDescent="0.35">
      <c r="H211" s="35"/>
      <c r="I211" s="36"/>
    </row>
    <row r="212" spans="8:9" ht="15.5" customHeight="1" x14ac:dyDescent="0.35">
      <c r="H212" s="35"/>
      <c r="I212" s="36"/>
    </row>
    <row r="213" spans="8:9" ht="15.5" customHeight="1" x14ac:dyDescent="0.35">
      <c r="H213" s="35"/>
      <c r="I213" s="36"/>
    </row>
    <row r="214" spans="8:9" ht="15.5" customHeight="1" x14ac:dyDescent="0.35">
      <c r="H214" s="35"/>
      <c r="I214" s="36"/>
    </row>
    <row r="215" spans="8:9" ht="15.5" customHeight="1" x14ac:dyDescent="0.35">
      <c r="H215" s="35"/>
      <c r="I215" s="36"/>
    </row>
    <row r="216" spans="8:9" ht="15.5" customHeight="1" x14ac:dyDescent="0.35">
      <c r="H216" s="35"/>
      <c r="I216" s="36"/>
    </row>
    <row r="217" spans="8:9" ht="15.5" customHeight="1" x14ac:dyDescent="0.35">
      <c r="H217" s="35"/>
      <c r="I217" s="36"/>
    </row>
    <row r="218" spans="8:9" ht="15.5" customHeight="1" x14ac:dyDescent="0.35">
      <c r="H218" s="35"/>
      <c r="I218" s="36"/>
    </row>
    <row r="219" spans="8:9" ht="15.5" customHeight="1" x14ac:dyDescent="0.35">
      <c r="H219" s="35"/>
      <c r="I219" s="36"/>
    </row>
    <row r="220" spans="8:9" ht="15.5" customHeight="1" x14ac:dyDescent="0.35">
      <c r="H220" s="35"/>
      <c r="I220" s="36"/>
    </row>
    <row r="221" spans="8:9" ht="15.5" customHeight="1" x14ac:dyDescent="0.35">
      <c r="H221" s="35"/>
      <c r="I221" s="36"/>
    </row>
    <row r="222" spans="8:9" ht="15.5" customHeight="1" x14ac:dyDescent="0.35">
      <c r="H222" s="35"/>
      <c r="I222" s="36"/>
    </row>
    <row r="223" spans="8:9" ht="15.5" customHeight="1" x14ac:dyDescent="0.35">
      <c r="H223" s="35"/>
      <c r="I223" s="36"/>
    </row>
    <row r="224" spans="8:9" ht="15.5" customHeight="1" x14ac:dyDescent="0.35">
      <c r="H224" s="35"/>
      <c r="I224" s="36"/>
    </row>
    <row r="225" spans="8:9" ht="15.5" customHeight="1" x14ac:dyDescent="0.35">
      <c r="H225" s="35"/>
      <c r="I225" s="36"/>
    </row>
    <row r="226" spans="8:9" ht="15.5" customHeight="1" x14ac:dyDescent="0.35">
      <c r="H226" s="35"/>
      <c r="I226" s="36"/>
    </row>
    <row r="227" spans="8:9" ht="15.5" customHeight="1" x14ac:dyDescent="0.35">
      <c r="H227" s="35"/>
      <c r="I227" s="36"/>
    </row>
    <row r="228" spans="8:9" ht="15.5" customHeight="1" x14ac:dyDescent="0.35">
      <c r="H228" s="35"/>
      <c r="I228" s="36"/>
    </row>
    <row r="229" spans="8:9" ht="15.5" customHeight="1" x14ac:dyDescent="0.35">
      <c r="H229" s="35"/>
      <c r="I229" s="36"/>
    </row>
    <row r="230" spans="8:9" ht="15.5" customHeight="1" x14ac:dyDescent="0.35">
      <c r="H230" s="35"/>
      <c r="I230" s="36"/>
    </row>
    <row r="231" spans="8:9" ht="15.5" customHeight="1" x14ac:dyDescent="0.35">
      <c r="H231" s="35"/>
      <c r="I231" s="36"/>
    </row>
    <row r="232" spans="8:9" ht="15.5" customHeight="1" x14ac:dyDescent="0.35">
      <c r="H232" s="35"/>
      <c r="I232" s="36"/>
    </row>
    <row r="233" spans="8:9" ht="15.5" customHeight="1" x14ac:dyDescent="0.35">
      <c r="H233" s="35"/>
      <c r="I233" s="36"/>
    </row>
    <row r="234" spans="8:9" ht="15.5" customHeight="1" x14ac:dyDescent="0.35">
      <c r="H234" s="35"/>
      <c r="I234" s="36"/>
    </row>
    <row r="235" spans="8:9" ht="15.5" customHeight="1" x14ac:dyDescent="0.35">
      <c r="H235" s="35"/>
      <c r="I235" s="36"/>
    </row>
    <row r="236" spans="8:9" ht="15.5" customHeight="1" x14ac:dyDescent="0.35">
      <c r="H236" s="35"/>
      <c r="I236" s="36"/>
    </row>
    <row r="237" spans="8:9" ht="15.5" customHeight="1" x14ac:dyDescent="0.35">
      <c r="H237" s="35"/>
      <c r="I237" s="36"/>
    </row>
    <row r="238" spans="8:9" ht="15.5" customHeight="1" x14ac:dyDescent="0.35">
      <c r="H238" s="35"/>
      <c r="I238" s="36"/>
    </row>
    <row r="239" spans="8:9" ht="15.5" customHeight="1" x14ac:dyDescent="0.35">
      <c r="H239" s="35"/>
      <c r="I239" s="36"/>
    </row>
    <row r="240" spans="8:9" ht="15.5" customHeight="1" x14ac:dyDescent="0.35">
      <c r="H240" s="35"/>
      <c r="I240" s="36"/>
    </row>
    <row r="241" spans="8:9" ht="15.5" customHeight="1" x14ac:dyDescent="0.35">
      <c r="H241" s="35"/>
      <c r="I241" s="36"/>
    </row>
    <row r="242" spans="8:9" ht="15.5" customHeight="1" x14ac:dyDescent="0.35">
      <c r="H242" s="35"/>
      <c r="I242" s="36"/>
    </row>
    <row r="243" spans="8:9" ht="15.5" customHeight="1" x14ac:dyDescent="0.35">
      <c r="H243" s="35"/>
      <c r="I243" s="36"/>
    </row>
    <row r="244" spans="8:9" ht="15.5" customHeight="1" x14ac:dyDescent="0.35">
      <c r="H244" s="35"/>
      <c r="I244" s="36"/>
    </row>
    <row r="245" spans="8:9" ht="15.5" customHeight="1" x14ac:dyDescent="0.35">
      <c r="H245" s="35"/>
      <c r="I245" s="36"/>
    </row>
    <row r="246" spans="8:9" ht="15.5" customHeight="1" x14ac:dyDescent="0.35">
      <c r="H246" s="35"/>
      <c r="I246" s="36"/>
    </row>
    <row r="247" spans="8:9" ht="15.5" customHeight="1" x14ac:dyDescent="0.35">
      <c r="H247" s="35"/>
      <c r="I247" s="36"/>
    </row>
    <row r="248" spans="8:9" ht="15.5" customHeight="1" x14ac:dyDescent="0.35">
      <c r="H248" s="35"/>
      <c r="I248" s="36"/>
    </row>
    <row r="249" spans="8:9" ht="15.5" customHeight="1" x14ac:dyDescent="0.35">
      <c r="H249" s="35"/>
      <c r="I249" s="36"/>
    </row>
    <row r="250" spans="8:9" ht="15.5" customHeight="1" x14ac:dyDescent="0.35">
      <c r="H250" s="35"/>
      <c r="I250" s="36"/>
    </row>
    <row r="251" spans="8:9" ht="15.5" customHeight="1" x14ac:dyDescent="0.35">
      <c r="H251" s="35"/>
      <c r="I251" s="36"/>
    </row>
    <row r="252" spans="8:9" ht="15.5" customHeight="1" x14ac:dyDescent="0.35">
      <c r="H252" s="35"/>
      <c r="I252" s="36"/>
    </row>
    <row r="253" spans="8:9" ht="15.5" customHeight="1" x14ac:dyDescent="0.35">
      <c r="H253" s="35"/>
      <c r="I253" s="36"/>
    </row>
    <row r="254" spans="8:9" ht="15.5" customHeight="1" x14ac:dyDescent="0.35">
      <c r="H254" s="35"/>
      <c r="I254" s="36"/>
    </row>
    <row r="255" spans="8:9" ht="15.5" customHeight="1" x14ac:dyDescent="0.35">
      <c r="H255" s="35"/>
      <c r="I255" s="36"/>
    </row>
    <row r="256" spans="8:9" ht="15.5" customHeight="1" x14ac:dyDescent="0.35">
      <c r="H256" s="35"/>
      <c r="I256" s="36"/>
    </row>
    <row r="257" spans="8:9" ht="15.5" customHeight="1" x14ac:dyDescent="0.35">
      <c r="H257" s="35"/>
      <c r="I257" s="36"/>
    </row>
    <row r="258" spans="8:9" ht="15.5" customHeight="1" x14ac:dyDescent="0.35">
      <c r="H258" s="35"/>
      <c r="I258" s="36"/>
    </row>
    <row r="259" spans="8:9" ht="15.5" customHeight="1" x14ac:dyDescent="0.35">
      <c r="H259" s="35"/>
      <c r="I259" s="36"/>
    </row>
    <row r="260" spans="8:9" ht="15.5" customHeight="1" x14ac:dyDescent="0.35">
      <c r="H260" s="35"/>
      <c r="I260" s="36"/>
    </row>
    <row r="261" spans="8:9" ht="15.5" customHeight="1" x14ac:dyDescent="0.35">
      <c r="H261" s="35"/>
      <c r="I261" s="36"/>
    </row>
    <row r="262" spans="8:9" ht="15.5" customHeight="1" x14ac:dyDescent="0.35">
      <c r="H262" s="35"/>
      <c r="I262" s="36"/>
    </row>
    <row r="263" spans="8:9" ht="15.5" customHeight="1" x14ac:dyDescent="0.35">
      <c r="H263" s="35"/>
      <c r="I263" s="36"/>
    </row>
    <row r="264" spans="8:9" ht="15.5" customHeight="1" x14ac:dyDescent="0.35">
      <c r="H264" s="35"/>
      <c r="I264" s="36"/>
    </row>
    <row r="265" spans="8:9" ht="15.5" customHeight="1" x14ac:dyDescent="0.35">
      <c r="H265" s="35"/>
      <c r="I265" s="36"/>
    </row>
    <row r="266" spans="8:9" ht="15.5" customHeight="1" x14ac:dyDescent="0.35">
      <c r="H266" s="35"/>
      <c r="I266" s="36"/>
    </row>
    <row r="267" spans="8:9" ht="15.5" customHeight="1" x14ac:dyDescent="0.35">
      <c r="H267" s="35"/>
      <c r="I267" s="36"/>
    </row>
    <row r="268" spans="8:9" ht="15.5" customHeight="1" x14ac:dyDescent="0.35">
      <c r="H268" s="35"/>
      <c r="I268" s="36"/>
    </row>
    <row r="269" spans="8:9" ht="15.5" customHeight="1" x14ac:dyDescent="0.35">
      <c r="H269" s="35"/>
      <c r="I269" s="36"/>
    </row>
    <row r="270" spans="8:9" ht="15.5" customHeight="1" x14ac:dyDescent="0.35">
      <c r="H270" s="35"/>
      <c r="I270" s="36"/>
    </row>
    <row r="271" spans="8:9" ht="15.5" customHeight="1" x14ac:dyDescent="0.35">
      <c r="H271" s="35"/>
      <c r="I271" s="36"/>
    </row>
    <row r="272" spans="8:9" ht="15.5" customHeight="1" x14ac:dyDescent="0.35">
      <c r="H272" s="35"/>
      <c r="I272" s="36"/>
    </row>
    <row r="273" spans="8:9" ht="15.5" customHeight="1" x14ac:dyDescent="0.35">
      <c r="H273" s="35"/>
      <c r="I273" s="36"/>
    </row>
    <row r="274" spans="8:9" ht="15.5" customHeight="1" x14ac:dyDescent="0.35">
      <c r="H274" s="35"/>
      <c r="I274" s="36"/>
    </row>
    <row r="275" spans="8:9" ht="15.5" customHeight="1" x14ac:dyDescent="0.35">
      <c r="H275" s="35"/>
      <c r="I275" s="36"/>
    </row>
    <row r="276" spans="8:9" ht="15.5" customHeight="1" x14ac:dyDescent="0.35">
      <c r="H276" s="35"/>
      <c r="I276" s="36"/>
    </row>
    <row r="277" spans="8:9" ht="15.5" customHeight="1" x14ac:dyDescent="0.35">
      <c r="H277" s="35"/>
      <c r="I277" s="36"/>
    </row>
    <row r="278" spans="8:9" ht="15.5" customHeight="1" x14ac:dyDescent="0.35">
      <c r="H278" s="35"/>
      <c r="I278" s="36"/>
    </row>
    <row r="279" spans="8:9" ht="15.5" customHeight="1" x14ac:dyDescent="0.35">
      <c r="H279" s="35"/>
      <c r="I279" s="36"/>
    </row>
    <row r="280" spans="8:9" ht="15.5" customHeight="1" x14ac:dyDescent="0.35">
      <c r="H280" s="35"/>
      <c r="I280" s="36"/>
    </row>
    <row r="281" spans="8:9" ht="15.5" customHeight="1" x14ac:dyDescent="0.35">
      <c r="H281" s="35"/>
      <c r="I281" s="36"/>
    </row>
    <row r="282" spans="8:9" ht="15.5" customHeight="1" x14ac:dyDescent="0.35">
      <c r="H282" s="35"/>
      <c r="I282" s="36"/>
    </row>
    <row r="283" spans="8:9" ht="15.5" customHeight="1" x14ac:dyDescent="0.35">
      <c r="H283" s="35"/>
      <c r="I283" s="36"/>
    </row>
    <row r="284" spans="8:9" ht="15.5" customHeight="1" x14ac:dyDescent="0.35">
      <c r="H284" s="35"/>
      <c r="I284" s="36"/>
    </row>
    <row r="285" spans="8:9" ht="15.5" customHeight="1" x14ac:dyDescent="0.35">
      <c r="H285" s="35"/>
      <c r="I285" s="36"/>
    </row>
    <row r="286" spans="8:9" ht="15.5" customHeight="1" x14ac:dyDescent="0.35">
      <c r="H286" s="35"/>
      <c r="I286" s="36"/>
    </row>
    <row r="287" spans="8:9" ht="15.5" customHeight="1" x14ac:dyDescent="0.35">
      <c r="H287" s="35"/>
      <c r="I287" s="36"/>
    </row>
    <row r="288" spans="8:9" ht="15.5" customHeight="1" x14ac:dyDescent="0.35">
      <c r="H288" s="35"/>
      <c r="I288" s="36"/>
    </row>
    <row r="289" spans="8:9" ht="15.5" customHeight="1" x14ac:dyDescent="0.35">
      <c r="H289" s="35"/>
      <c r="I289" s="36"/>
    </row>
    <row r="290" spans="8:9" ht="15.5" customHeight="1" x14ac:dyDescent="0.35">
      <c r="H290" s="35"/>
      <c r="I290" s="36"/>
    </row>
    <row r="291" spans="8:9" ht="15.5" customHeight="1" x14ac:dyDescent="0.35">
      <c r="H291" s="35"/>
      <c r="I291" s="36"/>
    </row>
    <row r="292" spans="8:9" ht="15.5" customHeight="1" x14ac:dyDescent="0.35">
      <c r="H292" s="35"/>
      <c r="I292" s="36"/>
    </row>
    <row r="293" spans="8:9" ht="15.5" customHeight="1" x14ac:dyDescent="0.35">
      <c r="H293" s="35"/>
      <c r="I293" s="36"/>
    </row>
    <row r="294" spans="8:9" ht="15.5" customHeight="1" x14ac:dyDescent="0.35">
      <c r="H294" s="35"/>
      <c r="I294" s="36"/>
    </row>
    <row r="295" spans="8:9" ht="15.5" customHeight="1" x14ac:dyDescent="0.35">
      <c r="H295" s="35"/>
      <c r="I295" s="36"/>
    </row>
    <row r="296" spans="8:9" ht="15.5" customHeight="1" x14ac:dyDescent="0.35">
      <c r="H296" s="35"/>
      <c r="I296" s="36"/>
    </row>
    <row r="297" spans="8:9" ht="15.5" customHeight="1" x14ac:dyDescent="0.35">
      <c r="H297" s="35"/>
      <c r="I297" s="36"/>
    </row>
    <row r="298" spans="8:9" ht="15.5" customHeight="1" x14ac:dyDescent="0.35">
      <c r="H298" s="35"/>
      <c r="I298" s="36"/>
    </row>
    <row r="299" spans="8:9" ht="15.5" customHeight="1" x14ac:dyDescent="0.35">
      <c r="H299" s="35"/>
      <c r="I299" s="36"/>
    </row>
    <row r="300" spans="8:9" ht="15.5" customHeight="1" x14ac:dyDescent="0.35">
      <c r="H300" s="35"/>
      <c r="I300" s="36"/>
    </row>
    <row r="301" spans="8:9" ht="15.5" customHeight="1" x14ac:dyDescent="0.35">
      <c r="H301" s="35"/>
      <c r="I301" s="36"/>
    </row>
    <row r="302" spans="8:9" ht="15.5" customHeight="1" x14ac:dyDescent="0.35">
      <c r="H302" s="35"/>
      <c r="I302" s="36"/>
    </row>
    <row r="303" spans="8:9" ht="15.5" customHeight="1" x14ac:dyDescent="0.35">
      <c r="H303" s="35"/>
      <c r="I303" s="36"/>
    </row>
    <row r="304" spans="8:9" ht="15.5" customHeight="1" x14ac:dyDescent="0.35">
      <c r="H304" s="35"/>
      <c r="I304" s="36"/>
    </row>
    <row r="305" spans="8:9" ht="15.5" customHeight="1" x14ac:dyDescent="0.35">
      <c r="H305" s="35"/>
      <c r="I305" s="36"/>
    </row>
    <row r="306" spans="8:9" ht="15.5" customHeight="1" x14ac:dyDescent="0.35">
      <c r="H306" s="35"/>
      <c r="I306" s="36"/>
    </row>
    <row r="307" spans="8:9" ht="15.5" customHeight="1" x14ac:dyDescent="0.35">
      <c r="H307" s="35"/>
      <c r="I307" s="36"/>
    </row>
    <row r="308" spans="8:9" ht="15.5" customHeight="1" x14ac:dyDescent="0.35">
      <c r="H308" s="35"/>
      <c r="I308" s="36"/>
    </row>
    <row r="309" spans="8:9" ht="15.5" customHeight="1" x14ac:dyDescent="0.35">
      <c r="H309" s="35"/>
      <c r="I309" s="36"/>
    </row>
    <row r="310" spans="8:9" ht="15.5" customHeight="1" x14ac:dyDescent="0.35">
      <c r="H310" s="35"/>
      <c r="I310" s="36"/>
    </row>
    <row r="311" spans="8:9" ht="15.5" customHeight="1" x14ac:dyDescent="0.35">
      <c r="H311" s="35"/>
      <c r="I311" s="36"/>
    </row>
    <row r="312" spans="8:9" ht="15.5" customHeight="1" x14ac:dyDescent="0.35">
      <c r="H312" s="35"/>
      <c r="I312" s="36"/>
    </row>
    <row r="313" spans="8:9" ht="15.5" customHeight="1" x14ac:dyDescent="0.35">
      <c r="H313" s="35"/>
      <c r="I313" s="36"/>
    </row>
    <row r="314" spans="8:9" ht="15.5" customHeight="1" x14ac:dyDescent="0.35">
      <c r="H314" s="35"/>
      <c r="I314" s="36"/>
    </row>
    <row r="315" spans="8:9" ht="15.5" customHeight="1" x14ac:dyDescent="0.35">
      <c r="H315" s="35"/>
      <c r="I315" s="36"/>
    </row>
    <row r="316" spans="8:9" ht="15.5" customHeight="1" x14ac:dyDescent="0.35">
      <c r="H316" s="35"/>
      <c r="I316" s="36"/>
    </row>
    <row r="317" spans="8:9" ht="15.5" customHeight="1" x14ac:dyDescent="0.35">
      <c r="H317" s="35"/>
      <c r="I317" s="36"/>
    </row>
    <row r="318" spans="8:9" ht="15.5" customHeight="1" x14ac:dyDescent="0.35">
      <c r="H318" s="35"/>
      <c r="I318" s="36"/>
    </row>
    <row r="319" spans="8:9" ht="15.5" customHeight="1" x14ac:dyDescent="0.35">
      <c r="H319" s="35"/>
      <c r="I319" s="36"/>
    </row>
    <row r="320" spans="8:9" ht="15.5" customHeight="1" x14ac:dyDescent="0.35">
      <c r="H320" s="35"/>
      <c r="I320" s="36"/>
    </row>
    <row r="321" spans="8:9" ht="15.5" customHeight="1" x14ac:dyDescent="0.35">
      <c r="H321" s="35"/>
      <c r="I321" s="36"/>
    </row>
    <row r="322" spans="8:9" ht="15.5" customHeight="1" x14ac:dyDescent="0.35">
      <c r="H322" s="35"/>
      <c r="I322" s="36"/>
    </row>
    <row r="323" spans="8:9" ht="15.5" customHeight="1" x14ac:dyDescent="0.35">
      <c r="H323" s="35"/>
      <c r="I323" s="36"/>
    </row>
    <row r="324" spans="8:9" ht="15.5" customHeight="1" x14ac:dyDescent="0.35">
      <c r="H324" s="35"/>
      <c r="I324" s="36"/>
    </row>
    <row r="325" spans="8:9" ht="15.5" customHeight="1" x14ac:dyDescent="0.35">
      <c r="H325" s="35"/>
      <c r="I325" s="36"/>
    </row>
    <row r="326" spans="8:9" ht="15.5" customHeight="1" x14ac:dyDescent="0.35">
      <c r="H326" s="35"/>
      <c r="I326" s="36"/>
    </row>
    <row r="327" spans="8:9" ht="15.5" customHeight="1" x14ac:dyDescent="0.35">
      <c r="H327" s="35"/>
      <c r="I327" s="36"/>
    </row>
    <row r="328" spans="8:9" ht="15.5" customHeight="1" x14ac:dyDescent="0.35">
      <c r="H328" s="35"/>
      <c r="I328" s="36"/>
    </row>
    <row r="329" spans="8:9" ht="15.5" customHeight="1" x14ac:dyDescent="0.35">
      <c r="H329" s="35"/>
      <c r="I329" s="36"/>
    </row>
    <row r="330" spans="8:9" ht="15.5" customHeight="1" x14ac:dyDescent="0.35">
      <c r="H330" s="35"/>
      <c r="I330" s="36"/>
    </row>
    <row r="331" spans="8:9" ht="15.5" customHeight="1" x14ac:dyDescent="0.35">
      <c r="H331" s="35"/>
      <c r="I331" s="36"/>
    </row>
    <row r="332" spans="8:9" ht="15.5" customHeight="1" x14ac:dyDescent="0.35">
      <c r="H332" s="35"/>
      <c r="I332" s="36"/>
    </row>
    <row r="333" spans="8:9" ht="15.5" customHeight="1" x14ac:dyDescent="0.35">
      <c r="H333" s="35"/>
      <c r="I333" s="36"/>
    </row>
    <row r="334" spans="8:9" ht="15.5" customHeight="1" x14ac:dyDescent="0.35">
      <c r="H334" s="35"/>
      <c r="I334" s="36"/>
    </row>
    <row r="335" spans="8:9" ht="15.5" customHeight="1" x14ac:dyDescent="0.35">
      <c r="H335" s="35"/>
      <c r="I335" s="36"/>
    </row>
    <row r="336" spans="8:9" ht="15.5" customHeight="1" x14ac:dyDescent="0.35">
      <c r="H336" s="35"/>
      <c r="I336" s="36"/>
    </row>
    <row r="337" spans="8:9" ht="15.5" customHeight="1" x14ac:dyDescent="0.35">
      <c r="H337" s="35"/>
      <c r="I337" s="36"/>
    </row>
    <row r="338" spans="8:9" ht="15.5" customHeight="1" x14ac:dyDescent="0.35">
      <c r="H338" s="35"/>
      <c r="I338" s="36"/>
    </row>
    <row r="339" spans="8:9" ht="15.5" customHeight="1" x14ac:dyDescent="0.35">
      <c r="H339" s="35"/>
      <c r="I339" s="36"/>
    </row>
    <row r="340" spans="8:9" ht="15.5" customHeight="1" x14ac:dyDescent="0.35">
      <c r="H340" s="35"/>
      <c r="I340" s="36"/>
    </row>
    <row r="341" spans="8:9" ht="15.5" customHeight="1" x14ac:dyDescent="0.35">
      <c r="H341" s="35"/>
      <c r="I341" s="36"/>
    </row>
    <row r="342" spans="8:9" ht="15.5" customHeight="1" x14ac:dyDescent="0.35">
      <c r="H342" s="35"/>
      <c r="I342" s="36"/>
    </row>
    <row r="343" spans="8:9" ht="15.5" customHeight="1" x14ac:dyDescent="0.35">
      <c r="H343" s="35"/>
      <c r="I343" s="36"/>
    </row>
    <row r="344" spans="8:9" ht="15.5" customHeight="1" x14ac:dyDescent="0.35">
      <c r="H344" s="35"/>
      <c r="I344" s="36"/>
    </row>
    <row r="345" spans="8:9" ht="15.5" customHeight="1" x14ac:dyDescent="0.35">
      <c r="H345" s="35"/>
      <c r="I345" s="36"/>
    </row>
    <row r="346" spans="8:9" ht="15.5" customHeight="1" x14ac:dyDescent="0.35">
      <c r="H346" s="35"/>
      <c r="I346" s="36"/>
    </row>
    <row r="347" spans="8:9" ht="15.5" customHeight="1" x14ac:dyDescent="0.35">
      <c r="H347" s="35"/>
      <c r="I347" s="36"/>
    </row>
    <row r="348" spans="8:9" ht="15.5" customHeight="1" x14ac:dyDescent="0.35">
      <c r="H348" s="35"/>
      <c r="I348" s="36"/>
    </row>
    <row r="349" spans="8:9" ht="15.5" customHeight="1" x14ac:dyDescent="0.35">
      <c r="H349" s="35"/>
      <c r="I349" s="36"/>
    </row>
    <row r="350" spans="8:9" ht="15.5" customHeight="1" x14ac:dyDescent="0.35">
      <c r="H350" s="35"/>
      <c r="I350" s="36"/>
    </row>
    <row r="351" spans="8:9" ht="15.5" customHeight="1" x14ac:dyDescent="0.35">
      <c r="H351" s="35"/>
      <c r="I351" s="36"/>
    </row>
    <row r="352" spans="8:9" ht="15.5" customHeight="1" x14ac:dyDescent="0.35">
      <c r="H352" s="35"/>
      <c r="I352" s="36"/>
    </row>
    <row r="353" spans="8:9" ht="15.5" customHeight="1" x14ac:dyDescent="0.35">
      <c r="H353" s="35"/>
      <c r="I353" s="36"/>
    </row>
    <row r="354" spans="8:9" ht="15.5" customHeight="1" x14ac:dyDescent="0.35">
      <c r="H354" s="35"/>
      <c r="I354" s="36"/>
    </row>
    <row r="355" spans="8:9" ht="15.5" customHeight="1" x14ac:dyDescent="0.35">
      <c r="H355" s="35"/>
      <c r="I355" s="36"/>
    </row>
    <row r="356" spans="8:9" ht="15.5" customHeight="1" x14ac:dyDescent="0.35">
      <c r="H356" s="35"/>
      <c r="I356" s="36"/>
    </row>
    <row r="357" spans="8:9" ht="15.5" customHeight="1" x14ac:dyDescent="0.35">
      <c r="H357" s="35"/>
      <c r="I357" s="36"/>
    </row>
    <row r="358" spans="8:9" ht="15.5" customHeight="1" x14ac:dyDescent="0.35">
      <c r="H358" s="35"/>
      <c r="I358" s="36"/>
    </row>
    <row r="359" spans="8:9" ht="15.5" customHeight="1" x14ac:dyDescent="0.35">
      <c r="H359" s="35"/>
      <c r="I359" s="36"/>
    </row>
    <row r="360" spans="8:9" ht="15.5" customHeight="1" x14ac:dyDescent="0.35">
      <c r="H360" s="35"/>
      <c r="I360" s="36"/>
    </row>
    <row r="361" spans="8:9" ht="15.5" customHeight="1" x14ac:dyDescent="0.35">
      <c r="H361" s="35"/>
      <c r="I361" s="36"/>
    </row>
    <row r="362" spans="8:9" ht="15.5" customHeight="1" x14ac:dyDescent="0.35">
      <c r="H362" s="35"/>
      <c r="I362" s="36"/>
    </row>
    <row r="363" spans="8:9" ht="15.5" customHeight="1" x14ac:dyDescent="0.35">
      <c r="H363" s="35"/>
      <c r="I363" s="36"/>
    </row>
    <row r="364" spans="8:9" ht="15.5" customHeight="1" x14ac:dyDescent="0.35">
      <c r="H364" s="35"/>
      <c r="I364" s="36"/>
    </row>
    <row r="365" spans="8:9" ht="15.5" customHeight="1" x14ac:dyDescent="0.35">
      <c r="H365" s="35"/>
      <c r="I365" s="36"/>
    </row>
    <row r="366" spans="8:9" ht="15.5" customHeight="1" x14ac:dyDescent="0.35">
      <c r="H366" s="35"/>
      <c r="I366" s="36"/>
    </row>
    <row r="367" spans="8:9" ht="15.5" customHeight="1" x14ac:dyDescent="0.35">
      <c r="H367" s="35"/>
      <c r="I367" s="36"/>
    </row>
    <row r="368" spans="8:9" ht="15.5" customHeight="1" x14ac:dyDescent="0.35">
      <c r="H368" s="35"/>
      <c r="I368" s="36"/>
    </row>
    <row r="369" spans="8:9" ht="15.5" customHeight="1" x14ac:dyDescent="0.35">
      <c r="H369" s="35"/>
      <c r="I369" s="36"/>
    </row>
    <row r="370" spans="8:9" ht="15.5" customHeight="1" x14ac:dyDescent="0.35">
      <c r="H370" s="35"/>
      <c r="I370" s="36"/>
    </row>
    <row r="371" spans="8:9" ht="15.5" customHeight="1" x14ac:dyDescent="0.35">
      <c r="H371" s="35"/>
      <c r="I371" s="36"/>
    </row>
    <row r="372" spans="8:9" ht="15.5" customHeight="1" x14ac:dyDescent="0.35">
      <c r="H372" s="35"/>
      <c r="I372" s="36"/>
    </row>
    <row r="373" spans="8:9" ht="15.5" customHeight="1" x14ac:dyDescent="0.35">
      <c r="H373" s="35"/>
      <c r="I373" s="36"/>
    </row>
    <row r="374" spans="8:9" ht="15.5" customHeight="1" x14ac:dyDescent="0.35">
      <c r="H374" s="35"/>
      <c r="I374" s="36"/>
    </row>
    <row r="375" spans="8:9" ht="15.5" customHeight="1" x14ac:dyDescent="0.35">
      <c r="H375" s="35"/>
      <c r="I375" s="36"/>
    </row>
    <row r="376" spans="8:9" ht="15.5" customHeight="1" x14ac:dyDescent="0.35">
      <c r="H376" s="35"/>
      <c r="I376" s="36"/>
    </row>
    <row r="377" spans="8:9" ht="15.5" customHeight="1" x14ac:dyDescent="0.35">
      <c r="H377" s="35"/>
      <c r="I377" s="36"/>
    </row>
    <row r="378" spans="8:9" ht="15.5" customHeight="1" x14ac:dyDescent="0.35">
      <c r="H378" s="35"/>
      <c r="I378" s="36"/>
    </row>
    <row r="379" spans="8:9" ht="15.5" customHeight="1" x14ac:dyDescent="0.35">
      <c r="H379" s="35"/>
      <c r="I379" s="36"/>
    </row>
    <row r="380" spans="8:9" ht="15.5" customHeight="1" x14ac:dyDescent="0.35">
      <c r="H380" s="35"/>
      <c r="I380" s="36"/>
    </row>
    <row r="381" spans="8:9" ht="15.5" customHeight="1" x14ac:dyDescent="0.35">
      <c r="H381" s="35"/>
      <c r="I381" s="36"/>
    </row>
    <row r="382" spans="8:9" ht="15.5" customHeight="1" x14ac:dyDescent="0.35">
      <c r="H382" s="35"/>
      <c r="I382" s="36"/>
    </row>
    <row r="383" spans="8:9" ht="15.5" customHeight="1" x14ac:dyDescent="0.35">
      <c r="H383" s="35"/>
      <c r="I383" s="36"/>
    </row>
    <row r="384" spans="8:9" ht="15.5" customHeight="1" x14ac:dyDescent="0.35">
      <c r="H384" s="35"/>
      <c r="I384" s="36"/>
    </row>
    <row r="385" spans="8:9" ht="15.5" customHeight="1" x14ac:dyDescent="0.35">
      <c r="H385" s="35"/>
      <c r="I385" s="36"/>
    </row>
    <row r="386" spans="8:9" ht="15.5" customHeight="1" x14ac:dyDescent="0.35">
      <c r="H386" s="35"/>
      <c r="I386" s="36"/>
    </row>
    <row r="387" spans="8:9" ht="15.5" customHeight="1" x14ac:dyDescent="0.35">
      <c r="H387" s="35"/>
      <c r="I387" s="36"/>
    </row>
    <row r="388" spans="8:9" ht="15.5" customHeight="1" x14ac:dyDescent="0.35">
      <c r="H388" s="35"/>
      <c r="I388" s="36"/>
    </row>
    <row r="389" spans="8:9" ht="15.5" customHeight="1" x14ac:dyDescent="0.35">
      <c r="H389" s="35"/>
      <c r="I389" s="36"/>
    </row>
    <row r="390" spans="8:9" ht="15.5" customHeight="1" x14ac:dyDescent="0.35">
      <c r="H390" s="35"/>
      <c r="I390" s="36"/>
    </row>
    <row r="391" spans="8:9" ht="15.5" customHeight="1" x14ac:dyDescent="0.35">
      <c r="H391" s="35"/>
      <c r="I391" s="36"/>
    </row>
    <row r="392" spans="8:9" ht="15.5" customHeight="1" x14ac:dyDescent="0.35">
      <c r="H392" s="35"/>
      <c r="I392" s="36"/>
    </row>
    <row r="393" spans="8:9" ht="15.5" customHeight="1" x14ac:dyDescent="0.35">
      <c r="H393" s="35"/>
      <c r="I393" s="36"/>
    </row>
    <row r="394" spans="8:9" ht="15.5" customHeight="1" x14ac:dyDescent="0.35">
      <c r="H394" s="35"/>
      <c r="I394" s="36"/>
    </row>
    <row r="395" spans="8:9" ht="15.5" customHeight="1" x14ac:dyDescent="0.35">
      <c r="H395" s="35"/>
      <c r="I395" s="36"/>
    </row>
    <row r="396" spans="8:9" ht="15.5" customHeight="1" x14ac:dyDescent="0.35">
      <c r="H396" s="35"/>
      <c r="I396" s="36"/>
    </row>
    <row r="397" spans="8:9" ht="15.5" customHeight="1" x14ac:dyDescent="0.35">
      <c r="H397" s="35"/>
      <c r="I397" s="36"/>
    </row>
    <row r="398" spans="8:9" ht="15.5" customHeight="1" x14ac:dyDescent="0.35">
      <c r="H398" s="35"/>
      <c r="I398" s="36"/>
    </row>
    <row r="399" spans="8:9" ht="15.5" customHeight="1" x14ac:dyDescent="0.35">
      <c r="H399" s="35"/>
      <c r="I399" s="36"/>
    </row>
    <row r="400" spans="8:9" ht="15.5" customHeight="1" x14ac:dyDescent="0.35">
      <c r="H400" s="35"/>
      <c r="I400" s="36"/>
    </row>
    <row r="401" spans="8:9" ht="15.5" customHeight="1" x14ac:dyDescent="0.35">
      <c r="H401" s="35"/>
      <c r="I401" s="36"/>
    </row>
    <row r="402" spans="8:9" ht="15.5" customHeight="1" x14ac:dyDescent="0.35">
      <c r="H402" s="35"/>
      <c r="I402" s="36"/>
    </row>
    <row r="403" spans="8:9" ht="15.5" customHeight="1" x14ac:dyDescent="0.35">
      <c r="H403" s="35"/>
      <c r="I403" s="36"/>
    </row>
    <row r="404" spans="8:9" ht="15.5" customHeight="1" x14ac:dyDescent="0.35">
      <c r="H404" s="35"/>
      <c r="I404" s="36"/>
    </row>
    <row r="405" spans="8:9" ht="15.5" customHeight="1" x14ac:dyDescent="0.35">
      <c r="H405" s="35"/>
      <c r="I405" s="36"/>
    </row>
    <row r="406" spans="8:9" ht="15.5" customHeight="1" x14ac:dyDescent="0.35">
      <c r="H406" s="35"/>
      <c r="I406" s="36"/>
    </row>
    <row r="407" spans="8:9" ht="15.5" customHeight="1" x14ac:dyDescent="0.35">
      <c r="H407" s="35"/>
      <c r="I407" s="36"/>
    </row>
    <row r="408" spans="8:9" ht="15.5" customHeight="1" x14ac:dyDescent="0.35">
      <c r="H408" s="35"/>
      <c r="I408" s="36"/>
    </row>
    <row r="409" spans="8:9" ht="15.5" customHeight="1" x14ac:dyDescent="0.35">
      <c r="H409" s="35"/>
      <c r="I409" s="36"/>
    </row>
    <row r="410" spans="8:9" ht="15.5" customHeight="1" x14ac:dyDescent="0.35">
      <c r="H410" s="35"/>
      <c r="I410" s="36"/>
    </row>
    <row r="411" spans="8:9" ht="15.5" customHeight="1" x14ac:dyDescent="0.35">
      <c r="H411" s="35"/>
      <c r="I411" s="36"/>
    </row>
    <row r="412" spans="8:9" ht="15.5" customHeight="1" x14ac:dyDescent="0.35">
      <c r="H412" s="35"/>
      <c r="I412" s="36"/>
    </row>
    <row r="413" spans="8:9" ht="15.5" customHeight="1" x14ac:dyDescent="0.35">
      <c r="H413" s="35"/>
      <c r="I413" s="36"/>
    </row>
    <row r="414" spans="8:9" ht="15.5" customHeight="1" x14ac:dyDescent="0.35">
      <c r="H414" s="35"/>
      <c r="I414" s="36"/>
    </row>
    <row r="415" spans="8:9" ht="15.5" customHeight="1" x14ac:dyDescent="0.35">
      <c r="H415" s="35"/>
      <c r="I415" s="36"/>
    </row>
    <row r="416" spans="8:9" ht="15.5" customHeight="1" x14ac:dyDescent="0.35">
      <c r="H416" s="35"/>
      <c r="I416" s="36"/>
    </row>
    <row r="417" spans="8:9" ht="15.5" customHeight="1" x14ac:dyDescent="0.35">
      <c r="H417" s="35"/>
      <c r="I417" s="36"/>
    </row>
    <row r="418" spans="8:9" ht="15.5" customHeight="1" x14ac:dyDescent="0.35">
      <c r="H418" s="35"/>
      <c r="I418" s="36"/>
    </row>
    <row r="419" spans="8:9" ht="15.5" customHeight="1" x14ac:dyDescent="0.35">
      <c r="H419" s="35"/>
      <c r="I419" s="36"/>
    </row>
    <row r="420" spans="8:9" ht="15.5" customHeight="1" x14ac:dyDescent="0.35">
      <c r="H420" s="35"/>
      <c r="I420" s="36"/>
    </row>
    <row r="421" spans="8:9" ht="15.5" customHeight="1" x14ac:dyDescent="0.35">
      <c r="H421" s="35"/>
      <c r="I421" s="36"/>
    </row>
    <row r="422" spans="8:9" ht="15.5" customHeight="1" x14ac:dyDescent="0.35">
      <c r="H422" s="35"/>
      <c r="I422" s="36"/>
    </row>
    <row r="423" spans="8:9" ht="15.5" customHeight="1" x14ac:dyDescent="0.35">
      <c r="H423" s="35"/>
      <c r="I423" s="36"/>
    </row>
    <row r="424" spans="8:9" ht="15.5" customHeight="1" x14ac:dyDescent="0.35">
      <c r="H424" s="35"/>
      <c r="I424" s="36"/>
    </row>
    <row r="425" spans="8:9" ht="15.5" customHeight="1" x14ac:dyDescent="0.35">
      <c r="H425" s="35"/>
      <c r="I425" s="36"/>
    </row>
    <row r="426" spans="8:9" ht="15.5" customHeight="1" x14ac:dyDescent="0.35">
      <c r="H426" s="35"/>
      <c r="I426" s="36"/>
    </row>
    <row r="427" spans="8:9" ht="15.5" customHeight="1" x14ac:dyDescent="0.35">
      <c r="H427" s="35"/>
      <c r="I427" s="36"/>
    </row>
    <row r="428" spans="8:9" ht="15.5" customHeight="1" x14ac:dyDescent="0.35">
      <c r="H428" s="35"/>
      <c r="I428" s="36"/>
    </row>
    <row r="429" spans="8:9" ht="15.5" customHeight="1" x14ac:dyDescent="0.35">
      <c r="H429" s="35"/>
      <c r="I429" s="36"/>
    </row>
    <row r="430" spans="8:9" ht="15.5" customHeight="1" x14ac:dyDescent="0.35">
      <c r="H430" s="35"/>
      <c r="I430" s="36"/>
    </row>
    <row r="431" spans="8:9" ht="15.5" customHeight="1" x14ac:dyDescent="0.35">
      <c r="H431" s="35"/>
      <c r="I431" s="36"/>
    </row>
    <row r="432" spans="8:9" ht="15.5" customHeight="1" x14ac:dyDescent="0.35">
      <c r="H432" s="35"/>
      <c r="I432" s="36"/>
    </row>
    <row r="433" spans="8:9" ht="15.5" customHeight="1" x14ac:dyDescent="0.35">
      <c r="H433" s="35"/>
      <c r="I433" s="36"/>
    </row>
    <row r="434" spans="8:9" ht="15.5" customHeight="1" x14ac:dyDescent="0.35">
      <c r="H434" s="35"/>
      <c r="I434" s="36"/>
    </row>
    <row r="435" spans="8:9" ht="15.5" customHeight="1" x14ac:dyDescent="0.35">
      <c r="H435" s="35"/>
      <c r="I435" s="36"/>
    </row>
    <row r="436" spans="8:9" ht="15.5" customHeight="1" x14ac:dyDescent="0.35">
      <c r="H436" s="35"/>
      <c r="I436" s="36"/>
    </row>
    <row r="437" spans="8:9" ht="15.5" customHeight="1" x14ac:dyDescent="0.35">
      <c r="H437" s="35"/>
      <c r="I437" s="36"/>
    </row>
    <row r="438" spans="8:9" ht="15.5" customHeight="1" x14ac:dyDescent="0.35">
      <c r="H438" s="35"/>
      <c r="I438" s="36"/>
    </row>
    <row r="439" spans="8:9" ht="15.5" customHeight="1" x14ac:dyDescent="0.35">
      <c r="H439" s="35"/>
      <c r="I439" s="36"/>
    </row>
    <row r="440" spans="8:9" ht="15.5" customHeight="1" x14ac:dyDescent="0.35">
      <c r="H440" s="35"/>
      <c r="I440" s="36"/>
    </row>
    <row r="441" spans="8:9" ht="15.5" customHeight="1" x14ac:dyDescent="0.35">
      <c r="H441" s="35"/>
      <c r="I441" s="36"/>
    </row>
    <row r="442" spans="8:9" ht="15.5" customHeight="1" x14ac:dyDescent="0.35">
      <c r="H442" s="35"/>
      <c r="I442" s="36"/>
    </row>
    <row r="443" spans="8:9" ht="15.5" customHeight="1" x14ac:dyDescent="0.35">
      <c r="H443" s="35"/>
      <c r="I443" s="36"/>
    </row>
    <row r="444" spans="8:9" ht="15.5" customHeight="1" x14ac:dyDescent="0.35">
      <c r="H444" s="35"/>
      <c r="I444" s="36"/>
    </row>
    <row r="445" spans="8:9" ht="15.5" customHeight="1" x14ac:dyDescent="0.35">
      <c r="H445" s="35"/>
      <c r="I445" s="36"/>
    </row>
    <row r="446" spans="8:9" ht="15.5" customHeight="1" x14ac:dyDescent="0.35">
      <c r="H446" s="35"/>
      <c r="I446" s="36"/>
    </row>
    <row r="447" spans="8:9" ht="15.5" customHeight="1" x14ac:dyDescent="0.35">
      <c r="H447" s="35"/>
      <c r="I447" s="36"/>
    </row>
    <row r="448" spans="8:9" ht="15.5" customHeight="1" x14ac:dyDescent="0.35">
      <c r="H448" s="35"/>
      <c r="I448" s="36"/>
    </row>
    <row r="449" spans="8:9" ht="15.5" customHeight="1" x14ac:dyDescent="0.35">
      <c r="H449" s="35"/>
      <c r="I449" s="36"/>
    </row>
    <row r="450" spans="8:9" ht="15.5" customHeight="1" x14ac:dyDescent="0.35">
      <c r="H450" s="35"/>
      <c r="I450" s="36"/>
    </row>
    <row r="451" spans="8:9" ht="15.5" customHeight="1" x14ac:dyDescent="0.35">
      <c r="H451" s="35"/>
      <c r="I451" s="36"/>
    </row>
    <row r="452" spans="8:9" ht="15.5" customHeight="1" x14ac:dyDescent="0.35">
      <c r="H452" s="35"/>
      <c r="I452" s="36"/>
    </row>
    <row r="453" spans="8:9" ht="15.5" customHeight="1" x14ac:dyDescent="0.35">
      <c r="H453" s="35"/>
      <c r="I453" s="36"/>
    </row>
    <row r="454" spans="8:9" ht="15.5" customHeight="1" x14ac:dyDescent="0.35">
      <c r="H454" s="35"/>
      <c r="I454" s="36"/>
    </row>
    <row r="455" spans="8:9" ht="15.5" customHeight="1" x14ac:dyDescent="0.35">
      <c r="H455" s="35"/>
      <c r="I455" s="36"/>
    </row>
    <row r="456" spans="8:9" ht="15.5" customHeight="1" x14ac:dyDescent="0.35">
      <c r="H456" s="35"/>
      <c r="I456" s="36"/>
    </row>
    <row r="457" spans="8:9" ht="15.5" customHeight="1" x14ac:dyDescent="0.35">
      <c r="H457" s="35"/>
      <c r="I457" s="36"/>
    </row>
    <row r="458" spans="8:9" ht="15.5" customHeight="1" x14ac:dyDescent="0.35">
      <c r="H458" s="35"/>
      <c r="I458" s="36"/>
    </row>
    <row r="459" spans="8:9" ht="15.5" customHeight="1" x14ac:dyDescent="0.35">
      <c r="H459" s="35"/>
      <c r="I459" s="36"/>
    </row>
    <row r="460" spans="8:9" ht="15.5" customHeight="1" x14ac:dyDescent="0.35">
      <c r="H460" s="35"/>
      <c r="I460" s="36"/>
    </row>
    <row r="461" spans="8:9" ht="15.5" customHeight="1" x14ac:dyDescent="0.35">
      <c r="H461" s="35"/>
      <c r="I461" s="36"/>
    </row>
    <row r="462" spans="8:9" ht="15.5" customHeight="1" x14ac:dyDescent="0.35">
      <c r="H462" s="35"/>
      <c r="I462" s="36"/>
    </row>
    <row r="463" spans="8:9" ht="15.5" customHeight="1" x14ac:dyDescent="0.35">
      <c r="H463" s="35"/>
      <c r="I463" s="36"/>
    </row>
    <row r="464" spans="8:9" ht="15.5" customHeight="1" x14ac:dyDescent="0.35">
      <c r="H464" s="35"/>
      <c r="I464" s="36"/>
    </row>
    <row r="465" spans="8:9" ht="15.5" customHeight="1" x14ac:dyDescent="0.35">
      <c r="H465" s="35"/>
      <c r="I465" s="36"/>
    </row>
    <row r="466" spans="8:9" ht="15.5" customHeight="1" x14ac:dyDescent="0.35">
      <c r="H466" s="35"/>
      <c r="I466" s="36"/>
    </row>
    <row r="467" spans="8:9" ht="15.5" customHeight="1" x14ac:dyDescent="0.35">
      <c r="H467" s="35"/>
      <c r="I467" s="36"/>
    </row>
    <row r="468" spans="8:9" ht="15.5" customHeight="1" x14ac:dyDescent="0.35">
      <c r="H468" s="35"/>
      <c r="I468" s="36"/>
    </row>
    <row r="469" spans="8:9" ht="15.5" customHeight="1" x14ac:dyDescent="0.35">
      <c r="H469" s="35"/>
      <c r="I469" s="36"/>
    </row>
    <row r="470" spans="8:9" ht="15.5" customHeight="1" x14ac:dyDescent="0.35">
      <c r="H470" s="35"/>
      <c r="I470" s="36"/>
    </row>
    <row r="471" spans="8:9" ht="15.5" customHeight="1" x14ac:dyDescent="0.35">
      <c r="H471" s="35"/>
      <c r="I471" s="36"/>
    </row>
    <row r="472" spans="8:9" ht="15.5" customHeight="1" x14ac:dyDescent="0.35">
      <c r="H472" s="35"/>
      <c r="I472" s="36"/>
    </row>
    <row r="473" spans="8:9" ht="15.5" customHeight="1" x14ac:dyDescent="0.35">
      <c r="H473" s="35"/>
      <c r="I473" s="36"/>
    </row>
    <row r="474" spans="8:9" ht="15.5" customHeight="1" x14ac:dyDescent="0.35">
      <c r="H474" s="35"/>
      <c r="I474" s="36"/>
    </row>
    <row r="475" spans="8:9" ht="15.5" customHeight="1" x14ac:dyDescent="0.35">
      <c r="H475" s="35"/>
      <c r="I475" s="36"/>
    </row>
    <row r="476" spans="8:9" ht="15.5" customHeight="1" x14ac:dyDescent="0.35">
      <c r="H476" s="35"/>
      <c r="I476" s="36"/>
    </row>
    <row r="477" spans="8:9" ht="15.5" customHeight="1" x14ac:dyDescent="0.35">
      <c r="H477" s="35"/>
      <c r="I477" s="36"/>
    </row>
    <row r="478" spans="8:9" ht="15.5" customHeight="1" x14ac:dyDescent="0.35">
      <c r="H478" s="35"/>
      <c r="I478" s="36"/>
    </row>
    <row r="479" spans="8:9" ht="15.5" customHeight="1" x14ac:dyDescent="0.35">
      <c r="H479" s="35"/>
      <c r="I479" s="36"/>
    </row>
    <row r="480" spans="8:9" ht="15.5" customHeight="1" x14ac:dyDescent="0.35">
      <c r="H480" s="35"/>
      <c r="I480" s="36"/>
    </row>
    <row r="481" spans="8:9" ht="15.5" customHeight="1" x14ac:dyDescent="0.35">
      <c r="H481" s="35"/>
      <c r="I481" s="36"/>
    </row>
    <row r="482" spans="8:9" ht="15.5" customHeight="1" x14ac:dyDescent="0.35">
      <c r="H482" s="35"/>
      <c r="I482" s="36"/>
    </row>
    <row r="483" spans="8:9" ht="15.5" customHeight="1" x14ac:dyDescent="0.35">
      <c r="H483" s="35"/>
      <c r="I483" s="36"/>
    </row>
    <row r="484" spans="8:9" ht="15.5" customHeight="1" x14ac:dyDescent="0.35">
      <c r="H484" s="35"/>
      <c r="I484" s="36"/>
    </row>
    <row r="485" spans="8:9" ht="15.5" customHeight="1" x14ac:dyDescent="0.35">
      <c r="H485" s="35"/>
      <c r="I485" s="36"/>
    </row>
    <row r="486" spans="8:9" ht="15.5" customHeight="1" x14ac:dyDescent="0.35">
      <c r="H486" s="35"/>
      <c r="I486" s="36"/>
    </row>
    <row r="487" spans="8:9" ht="15.5" customHeight="1" x14ac:dyDescent="0.35">
      <c r="H487" s="35"/>
      <c r="I487" s="36"/>
    </row>
    <row r="488" spans="8:9" ht="15.5" customHeight="1" x14ac:dyDescent="0.35">
      <c r="H488" s="35"/>
      <c r="I488" s="36"/>
    </row>
    <row r="489" spans="8:9" ht="15.5" customHeight="1" x14ac:dyDescent="0.35">
      <c r="H489" s="35"/>
      <c r="I489" s="36"/>
    </row>
    <row r="490" spans="8:9" ht="15.5" customHeight="1" x14ac:dyDescent="0.35">
      <c r="H490" s="35"/>
      <c r="I490" s="36"/>
    </row>
    <row r="491" spans="8:9" ht="15.5" customHeight="1" x14ac:dyDescent="0.35">
      <c r="H491" s="35"/>
      <c r="I491" s="36"/>
    </row>
    <row r="492" spans="8:9" ht="15.5" customHeight="1" x14ac:dyDescent="0.35">
      <c r="H492" s="35"/>
      <c r="I492" s="36"/>
    </row>
    <row r="493" spans="8:9" ht="15.5" customHeight="1" x14ac:dyDescent="0.35">
      <c r="H493" s="35"/>
      <c r="I493" s="36"/>
    </row>
    <row r="494" spans="8:9" ht="15.5" customHeight="1" x14ac:dyDescent="0.35">
      <c r="H494" s="35"/>
      <c r="I494" s="36"/>
    </row>
    <row r="495" spans="8:9" ht="15.5" customHeight="1" x14ac:dyDescent="0.35">
      <c r="H495" s="35"/>
      <c r="I495" s="36"/>
    </row>
    <row r="496" spans="8:9" ht="15.5" customHeight="1" x14ac:dyDescent="0.35">
      <c r="H496" s="35"/>
      <c r="I496" s="36"/>
    </row>
    <row r="497" spans="8:9" ht="15.5" customHeight="1" x14ac:dyDescent="0.35">
      <c r="H497" s="35"/>
      <c r="I497" s="36"/>
    </row>
    <row r="498" spans="8:9" ht="15.5" customHeight="1" x14ac:dyDescent="0.35">
      <c r="H498" s="35"/>
      <c r="I498" s="36"/>
    </row>
    <row r="499" spans="8:9" ht="15.5" customHeight="1" x14ac:dyDescent="0.35">
      <c r="H499" s="35"/>
      <c r="I499" s="36"/>
    </row>
    <row r="500" spans="8:9" ht="15.5" customHeight="1" x14ac:dyDescent="0.35">
      <c r="H500" s="35"/>
      <c r="I500" s="36"/>
    </row>
    <row r="501" spans="8:9" ht="15.5" customHeight="1" x14ac:dyDescent="0.35">
      <c r="H501" s="35"/>
      <c r="I501" s="36"/>
    </row>
    <row r="502" spans="8:9" ht="15.5" customHeight="1" x14ac:dyDescent="0.35">
      <c r="H502" s="35"/>
      <c r="I502" s="36"/>
    </row>
    <row r="503" spans="8:9" ht="15.5" customHeight="1" x14ac:dyDescent="0.35">
      <c r="H503" s="35"/>
      <c r="I503" s="36"/>
    </row>
    <row r="504" spans="8:9" ht="15.5" customHeight="1" x14ac:dyDescent="0.35">
      <c r="H504" s="35"/>
      <c r="I504" s="36"/>
    </row>
    <row r="505" spans="8:9" ht="15.5" customHeight="1" x14ac:dyDescent="0.35">
      <c r="H505" s="35"/>
      <c r="I505" s="36"/>
    </row>
    <row r="506" spans="8:9" ht="15.5" customHeight="1" x14ac:dyDescent="0.35">
      <c r="H506" s="35"/>
      <c r="I506" s="36"/>
    </row>
    <row r="507" spans="8:9" ht="15.5" customHeight="1" x14ac:dyDescent="0.35">
      <c r="H507" s="35"/>
      <c r="I507" s="36"/>
    </row>
    <row r="508" spans="8:9" ht="15.5" customHeight="1" x14ac:dyDescent="0.35">
      <c r="H508" s="35"/>
      <c r="I508" s="36"/>
    </row>
    <row r="509" spans="8:9" ht="15.5" customHeight="1" x14ac:dyDescent="0.35">
      <c r="H509" s="35"/>
      <c r="I509" s="36"/>
    </row>
    <row r="510" spans="8:9" ht="15.5" customHeight="1" x14ac:dyDescent="0.35">
      <c r="H510" s="35"/>
      <c r="I510" s="36"/>
    </row>
    <row r="511" spans="8:9" ht="15.5" customHeight="1" x14ac:dyDescent="0.35">
      <c r="H511" s="35"/>
      <c r="I511" s="36"/>
    </row>
    <row r="512" spans="8:9" ht="15.5" customHeight="1" x14ac:dyDescent="0.35">
      <c r="H512" s="35"/>
      <c r="I512" s="36"/>
    </row>
    <row r="513" spans="8:9" ht="15.5" customHeight="1" x14ac:dyDescent="0.35">
      <c r="H513" s="35"/>
      <c r="I513" s="36"/>
    </row>
    <row r="514" spans="8:9" ht="15.5" customHeight="1" x14ac:dyDescent="0.35">
      <c r="H514" s="35"/>
      <c r="I514" s="36"/>
    </row>
    <row r="515" spans="8:9" ht="15.5" customHeight="1" x14ac:dyDescent="0.35">
      <c r="H515" s="35"/>
      <c r="I515" s="36"/>
    </row>
    <row r="516" spans="8:9" ht="15.5" customHeight="1" x14ac:dyDescent="0.35">
      <c r="H516" s="35"/>
      <c r="I516" s="36"/>
    </row>
    <row r="517" spans="8:9" ht="15.5" customHeight="1" x14ac:dyDescent="0.35">
      <c r="H517" s="35"/>
      <c r="I517" s="36"/>
    </row>
    <row r="518" spans="8:9" ht="15.5" customHeight="1" x14ac:dyDescent="0.35">
      <c r="H518" s="35"/>
      <c r="I518" s="36"/>
    </row>
    <row r="519" spans="8:9" ht="15.5" customHeight="1" x14ac:dyDescent="0.35">
      <c r="H519" s="35"/>
      <c r="I519" s="36"/>
    </row>
    <row r="520" spans="8:9" ht="15.5" customHeight="1" x14ac:dyDescent="0.35">
      <c r="H520" s="35"/>
      <c r="I520" s="36"/>
    </row>
    <row r="521" spans="8:9" ht="15.5" customHeight="1" x14ac:dyDescent="0.35">
      <c r="H521" s="35"/>
      <c r="I521" s="36"/>
    </row>
    <row r="522" spans="8:9" ht="15.5" customHeight="1" x14ac:dyDescent="0.35">
      <c r="H522" s="35"/>
      <c r="I522" s="36"/>
    </row>
    <row r="523" spans="8:9" ht="15.5" customHeight="1" x14ac:dyDescent="0.35">
      <c r="H523" s="35"/>
      <c r="I523" s="36"/>
    </row>
    <row r="524" spans="8:9" ht="15.5" customHeight="1" x14ac:dyDescent="0.35">
      <c r="H524" s="35"/>
      <c r="I524" s="36"/>
    </row>
    <row r="525" spans="8:9" ht="15.5" customHeight="1" x14ac:dyDescent="0.35">
      <c r="H525" s="35"/>
      <c r="I525" s="36"/>
    </row>
    <row r="526" spans="8:9" ht="15.5" customHeight="1" x14ac:dyDescent="0.35">
      <c r="H526" s="35"/>
      <c r="I526" s="36"/>
    </row>
    <row r="527" spans="8:9" ht="15.5" customHeight="1" x14ac:dyDescent="0.35">
      <c r="H527" s="35"/>
      <c r="I527" s="36"/>
    </row>
    <row r="528" spans="8:9" ht="15.5" customHeight="1" x14ac:dyDescent="0.35">
      <c r="H528" s="35"/>
      <c r="I528" s="36"/>
    </row>
    <row r="529" spans="8:9" ht="15.5" customHeight="1" x14ac:dyDescent="0.35">
      <c r="H529" s="35"/>
      <c r="I529" s="36"/>
    </row>
    <row r="530" spans="8:9" ht="15.5" customHeight="1" x14ac:dyDescent="0.35">
      <c r="H530" s="35"/>
      <c r="I530" s="36"/>
    </row>
    <row r="531" spans="8:9" ht="15.5" customHeight="1" x14ac:dyDescent="0.35">
      <c r="H531" s="35"/>
      <c r="I531" s="36"/>
    </row>
    <row r="532" spans="8:9" ht="15.5" customHeight="1" x14ac:dyDescent="0.35">
      <c r="H532" s="35"/>
      <c r="I532" s="36"/>
    </row>
    <row r="533" spans="8:9" ht="15.5" customHeight="1" x14ac:dyDescent="0.35">
      <c r="H533" s="35"/>
      <c r="I533" s="36"/>
    </row>
    <row r="534" spans="8:9" ht="15.5" customHeight="1" x14ac:dyDescent="0.35">
      <c r="H534" s="35"/>
      <c r="I534" s="36"/>
    </row>
    <row r="535" spans="8:9" ht="15.5" customHeight="1" x14ac:dyDescent="0.35">
      <c r="H535" s="35"/>
      <c r="I535" s="36"/>
    </row>
    <row r="536" spans="8:9" ht="15.5" customHeight="1" x14ac:dyDescent="0.35">
      <c r="H536" s="35"/>
      <c r="I536" s="36"/>
    </row>
    <row r="537" spans="8:9" ht="15.5" customHeight="1" x14ac:dyDescent="0.35">
      <c r="H537" s="35"/>
      <c r="I537" s="36"/>
    </row>
    <row r="538" spans="8:9" ht="15.5" customHeight="1" x14ac:dyDescent="0.35">
      <c r="H538" s="35"/>
      <c r="I538" s="36"/>
    </row>
    <row r="539" spans="8:9" ht="15.5" customHeight="1" x14ac:dyDescent="0.35">
      <c r="H539" s="35"/>
      <c r="I539" s="36"/>
    </row>
    <row r="540" spans="8:9" ht="15.5" customHeight="1" x14ac:dyDescent="0.35">
      <c r="H540" s="35"/>
      <c r="I540" s="36"/>
    </row>
    <row r="541" spans="8:9" ht="15.5" customHeight="1" x14ac:dyDescent="0.35">
      <c r="H541" s="35"/>
      <c r="I541" s="36"/>
    </row>
    <row r="542" spans="8:9" ht="15.5" customHeight="1" x14ac:dyDescent="0.35">
      <c r="H542" s="35"/>
      <c r="I542" s="36"/>
    </row>
    <row r="543" spans="8:9" ht="15.5" customHeight="1" x14ac:dyDescent="0.35">
      <c r="H543" s="35"/>
      <c r="I543" s="36"/>
    </row>
    <row r="544" spans="8:9" ht="15.5" customHeight="1" x14ac:dyDescent="0.35">
      <c r="H544" s="35"/>
      <c r="I544" s="36"/>
    </row>
    <row r="545" spans="8:9" ht="15.5" customHeight="1" x14ac:dyDescent="0.35">
      <c r="H545" s="35"/>
      <c r="I545" s="36"/>
    </row>
    <row r="546" spans="8:9" ht="15.5" customHeight="1" x14ac:dyDescent="0.35">
      <c r="H546" s="35"/>
      <c r="I546" s="36"/>
    </row>
    <row r="547" spans="8:9" ht="15.5" customHeight="1" x14ac:dyDescent="0.35">
      <c r="H547" s="35"/>
      <c r="I547" s="36"/>
    </row>
    <row r="548" spans="8:9" ht="15.5" customHeight="1" x14ac:dyDescent="0.35">
      <c r="H548" s="35"/>
      <c r="I548" s="36"/>
    </row>
    <row r="549" spans="8:9" ht="15.5" customHeight="1" x14ac:dyDescent="0.35">
      <c r="H549" s="35"/>
      <c r="I549" s="36"/>
    </row>
    <row r="550" spans="8:9" ht="15.5" customHeight="1" x14ac:dyDescent="0.35">
      <c r="H550" s="35"/>
      <c r="I550" s="36"/>
    </row>
    <row r="551" spans="8:9" ht="15.5" customHeight="1" x14ac:dyDescent="0.35">
      <c r="H551" s="35"/>
      <c r="I551" s="36"/>
    </row>
    <row r="552" spans="8:9" ht="15.5" customHeight="1" x14ac:dyDescent="0.35">
      <c r="H552" s="35"/>
      <c r="I552" s="36"/>
    </row>
    <row r="553" spans="8:9" ht="15.5" customHeight="1" x14ac:dyDescent="0.35">
      <c r="H553" s="35"/>
      <c r="I553" s="36"/>
    </row>
    <row r="554" spans="8:9" ht="15.5" customHeight="1" x14ac:dyDescent="0.35">
      <c r="H554" s="35"/>
      <c r="I554" s="36"/>
    </row>
    <row r="555" spans="8:9" ht="15.5" customHeight="1" x14ac:dyDescent="0.35">
      <c r="H555" s="35"/>
      <c r="I555" s="36"/>
    </row>
    <row r="556" spans="8:9" ht="15.5" customHeight="1" x14ac:dyDescent="0.35">
      <c r="H556" s="35"/>
      <c r="I556" s="36"/>
    </row>
    <row r="557" spans="8:9" ht="15.5" customHeight="1" x14ac:dyDescent="0.35">
      <c r="H557" s="35"/>
      <c r="I557" s="36"/>
    </row>
    <row r="558" spans="8:9" ht="15.5" customHeight="1" x14ac:dyDescent="0.35">
      <c r="H558" s="35"/>
      <c r="I558" s="36"/>
    </row>
    <row r="559" spans="8:9" ht="15.5" customHeight="1" x14ac:dyDescent="0.35">
      <c r="H559" s="35"/>
      <c r="I559" s="36"/>
    </row>
    <row r="560" spans="8:9" ht="15.5" customHeight="1" x14ac:dyDescent="0.35">
      <c r="H560" s="35"/>
      <c r="I560" s="36"/>
    </row>
    <row r="561" spans="8:9" ht="15.5" customHeight="1" x14ac:dyDescent="0.35">
      <c r="H561" s="35"/>
      <c r="I561" s="36"/>
    </row>
    <row r="562" spans="8:9" ht="15.5" customHeight="1" x14ac:dyDescent="0.35">
      <c r="H562" s="35"/>
      <c r="I562" s="36"/>
    </row>
    <row r="563" spans="8:9" ht="15.5" customHeight="1" x14ac:dyDescent="0.35">
      <c r="H563" s="35"/>
      <c r="I563" s="36"/>
    </row>
    <row r="564" spans="8:9" ht="15.5" customHeight="1" x14ac:dyDescent="0.35">
      <c r="H564" s="35"/>
      <c r="I564" s="36"/>
    </row>
    <row r="565" spans="8:9" ht="15.5" customHeight="1" x14ac:dyDescent="0.35">
      <c r="H565" s="35"/>
      <c r="I565" s="36"/>
    </row>
    <row r="566" spans="8:9" ht="15.5" customHeight="1" x14ac:dyDescent="0.35">
      <c r="H566" s="35"/>
      <c r="I566" s="36"/>
    </row>
    <row r="567" spans="8:9" ht="15.5" customHeight="1" x14ac:dyDescent="0.35">
      <c r="H567" s="35"/>
      <c r="I567" s="36"/>
    </row>
    <row r="568" spans="8:9" ht="15.5" customHeight="1" x14ac:dyDescent="0.35">
      <c r="H568" s="35"/>
      <c r="I568" s="36"/>
    </row>
    <row r="569" spans="8:9" ht="15.5" customHeight="1" x14ac:dyDescent="0.35">
      <c r="H569" s="35"/>
      <c r="I569" s="36"/>
    </row>
    <row r="570" spans="8:9" ht="15.5" customHeight="1" x14ac:dyDescent="0.35">
      <c r="H570" s="35"/>
      <c r="I570" s="36"/>
    </row>
    <row r="571" spans="8:9" ht="15.5" customHeight="1" x14ac:dyDescent="0.35">
      <c r="H571" s="35"/>
      <c r="I571" s="36"/>
    </row>
    <row r="572" spans="8:9" ht="15.5" customHeight="1" x14ac:dyDescent="0.35">
      <c r="H572" s="35"/>
      <c r="I572" s="36"/>
    </row>
    <row r="573" spans="8:9" ht="15.5" customHeight="1" x14ac:dyDescent="0.35">
      <c r="H573" s="35"/>
      <c r="I573" s="36"/>
    </row>
    <row r="574" spans="8:9" ht="15.5" customHeight="1" x14ac:dyDescent="0.35">
      <c r="H574" s="35"/>
      <c r="I574" s="36"/>
    </row>
    <row r="575" spans="8:9" ht="15.5" customHeight="1" x14ac:dyDescent="0.35">
      <c r="H575" s="35"/>
      <c r="I575" s="36"/>
    </row>
    <row r="576" spans="8:9" ht="15.5" customHeight="1" x14ac:dyDescent="0.35">
      <c r="H576" s="35"/>
      <c r="I576" s="36"/>
    </row>
    <row r="577" spans="8:9" ht="15.5" customHeight="1" x14ac:dyDescent="0.35">
      <c r="H577" s="35"/>
      <c r="I577" s="36"/>
    </row>
    <row r="578" spans="8:9" ht="15.5" customHeight="1" x14ac:dyDescent="0.35">
      <c r="H578" s="35"/>
      <c r="I578" s="36"/>
    </row>
    <row r="579" spans="8:9" ht="15.5" customHeight="1" x14ac:dyDescent="0.35">
      <c r="H579" s="35"/>
      <c r="I579" s="36"/>
    </row>
    <row r="580" spans="8:9" ht="15.5" customHeight="1" x14ac:dyDescent="0.35">
      <c r="H580" s="35"/>
      <c r="I580" s="36"/>
    </row>
    <row r="581" spans="8:9" ht="15.5" customHeight="1" x14ac:dyDescent="0.35">
      <c r="H581" s="35"/>
      <c r="I581" s="36"/>
    </row>
    <row r="582" spans="8:9" ht="15.5" customHeight="1" x14ac:dyDescent="0.35">
      <c r="H582" s="35"/>
      <c r="I582" s="36"/>
    </row>
    <row r="583" spans="8:9" ht="15.5" customHeight="1" x14ac:dyDescent="0.35">
      <c r="H583" s="35"/>
      <c r="I583" s="36"/>
    </row>
    <row r="584" spans="8:9" ht="15.5" customHeight="1" x14ac:dyDescent="0.35">
      <c r="H584" s="35"/>
      <c r="I584" s="36"/>
    </row>
    <row r="585" spans="8:9" ht="15.5" customHeight="1" x14ac:dyDescent="0.35">
      <c r="H585" s="35"/>
      <c r="I585" s="36"/>
    </row>
    <row r="586" spans="8:9" ht="15.5" customHeight="1" x14ac:dyDescent="0.35">
      <c r="H586" s="35"/>
      <c r="I586" s="36"/>
    </row>
    <row r="587" spans="8:9" ht="15.5" customHeight="1" x14ac:dyDescent="0.35">
      <c r="H587" s="35"/>
      <c r="I587" s="36"/>
    </row>
    <row r="588" spans="8:9" ht="15.5" customHeight="1" x14ac:dyDescent="0.35">
      <c r="H588" s="35"/>
      <c r="I588" s="36"/>
    </row>
    <row r="589" spans="8:9" ht="15.5" customHeight="1" x14ac:dyDescent="0.35">
      <c r="H589" s="35"/>
      <c r="I589" s="36"/>
    </row>
    <row r="590" spans="8:9" ht="15.5" customHeight="1" x14ac:dyDescent="0.35">
      <c r="H590" s="35"/>
      <c r="I590" s="36"/>
    </row>
    <row r="591" spans="8:9" ht="15.5" customHeight="1" x14ac:dyDescent="0.35">
      <c r="H591" s="35"/>
      <c r="I591" s="36"/>
    </row>
    <row r="592" spans="8:9" ht="15.5" customHeight="1" x14ac:dyDescent="0.35">
      <c r="H592" s="35"/>
      <c r="I592" s="36"/>
    </row>
    <row r="593" spans="8:9" ht="15.5" customHeight="1" x14ac:dyDescent="0.35">
      <c r="H593" s="35"/>
      <c r="I593" s="36"/>
    </row>
    <row r="594" spans="8:9" ht="15.5" customHeight="1" x14ac:dyDescent="0.35">
      <c r="H594" s="35"/>
      <c r="I594" s="36"/>
    </row>
    <row r="595" spans="8:9" ht="15.5" customHeight="1" x14ac:dyDescent="0.35">
      <c r="H595" s="35"/>
      <c r="I595" s="36"/>
    </row>
    <row r="596" spans="8:9" ht="15.5" customHeight="1" x14ac:dyDescent="0.35">
      <c r="H596" s="35"/>
      <c r="I596" s="36"/>
    </row>
  </sheetData>
  <mergeCells count="11">
    <mergeCell ref="H1:I1"/>
    <mergeCell ref="D9:F9"/>
    <mergeCell ref="C8:F8"/>
    <mergeCell ref="C29:F29"/>
    <mergeCell ref="C34:F34"/>
    <mergeCell ref="D1:F1"/>
    <mergeCell ref="A29:B30"/>
    <mergeCell ref="C27:F27"/>
    <mergeCell ref="C23:F23"/>
    <mergeCell ref="C19:F19"/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14A3-1D3A-470A-86E4-E7E380DA21F8}">
  <dimension ref="A1:F36"/>
  <sheetViews>
    <sheetView workbookViewId="0">
      <selection activeCell="C17" sqref="C17"/>
    </sheetView>
  </sheetViews>
  <sheetFormatPr defaultRowHeight="17" customHeight="1" x14ac:dyDescent="0.35"/>
  <cols>
    <col min="1" max="1" width="45.26953125" style="9" customWidth="1"/>
    <col min="2" max="2" width="56.6328125" style="10" customWidth="1"/>
    <col min="3" max="3" width="16.453125" style="8" customWidth="1"/>
    <col min="5" max="5" width="14" customWidth="1"/>
  </cols>
  <sheetData>
    <row r="1" spans="1:6" ht="17" customHeight="1" x14ac:dyDescent="0.35">
      <c r="A1" s="56" t="s">
        <v>93</v>
      </c>
      <c r="B1" s="56"/>
      <c r="C1" s="56"/>
    </row>
    <row r="2" spans="1:6" ht="17" customHeight="1" x14ac:dyDescent="0.35">
      <c r="A2" s="18" t="s">
        <v>78</v>
      </c>
      <c r="B2" s="19" t="s">
        <v>65</v>
      </c>
      <c r="C2" s="18">
        <f>'Aircraft Characteristics'!B12*(('Aircraft Characteristics'!F18*'Aircraft Characteristics'!B10)*F4)*(F3)</f>
        <v>883.87402595539993</v>
      </c>
      <c r="E2" s="58" t="s">
        <v>112</v>
      </c>
      <c r="F2" s="58"/>
    </row>
    <row r="3" spans="1:6" ht="17" customHeight="1" x14ac:dyDescent="0.35">
      <c r="A3" s="20" t="s">
        <v>70</v>
      </c>
      <c r="B3" s="19" t="s">
        <v>66</v>
      </c>
      <c r="C3" s="13">
        <f>('Aircraft Characteristics'!F11)-('Mission Analysis'!C2)</f>
        <v>314222.73059272551</v>
      </c>
      <c r="E3" s="42" t="s">
        <v>111</v>
      </c>
      <c r="F3" s="43">
        <v>0.25</v>
      </c>
    </row>
    <row r="4" spans="1:6" ht="17" customHeight="1" x14ac:dyDescent="0.35">
      <c r="A4" s="20" t="s">
        <v>71</v>
      </c>
      <c r="B4" s="19" t="s">
        <v>67</v>
      </c>
      <c r="C4" s="13">
        <f>('Aircraft Characteristics'!F18*'Aircraft Characteristics'!B10)/('Mission Analysis'!C3)</f>
        <v>0.1103094179172579</v>
      </c>
      <c r="E4" s="42" t="s">
        <v>113</v>
      </c>
      <c r="F4" s="43">
        <v>0.2</v>
      </c>
    </row>
    <row r="5" spans="1:6" ht="17" customHeight="1" x14ac:dyDescent="0.35">
      <c r="A5" s="20" t="s">
        <v>69</v>
      </c>
      <c r="B5" s="19" t="s">
        <v>74</v>
      </c>
      <c r="C5" s="13">
        <f>SQRT((2.88*'Aircraft Characteristics'!F22)/((23.769*10^-4)*('Aircraft Characteristics'!B19)))</f>
        <v>189.30824466679755</v>
      </c>
    </row>
    <row r="6" spans="1:6" ht="17" customHeight="1" x14ac:dyDescent="0.35">
      <c r="A6" s="20" t="s">
        <v>68</v>
      </c>
      <c r="B6" s="19" t="s">
        <v>75</v>
      </c>
      <c r="C6" s="13">
        <f>(C5)^(2)/(550*'Aircraft Characteristics'!B11*32.1741*'Mission Analysis'!C4)</f>
        <v>21.102704365902781</v>
      </c>
    </row>
    <row r="7" spans="1:6" ht="17" customHeight="1" x14ac:dyDescent="0.35">
      <c r="A7" s="18" t="s">
        <v>76</v>
      </c>
      <c r="B7" s="19" t="s">
        <v>77</v>
      </c>
      <c r="C7" s="18">
        <f>('Aircraft Characteristics'!B12)*('Aircraft Characteristics'!F18*'Aircraft Characteristics'!B10)*('Mission Analysis'!C6/3600)</f>
        <v>103.62295703576157</v>
      </c>
    </row>
    <row r="8" spans="1:6" ht="17" customHeight="1" x14ac:dyDescent="0.35">
      <c r="A8" s="20" t="s">
        <v>79</v>
      </c>
      <c r="B8" s="19" t="s">
        <v>80</v>
      </c>
      <c r="C8" s="13">
        <f>C3-C7</f>
        <v>314119.10763568972</v>
      </c>
    </row>
    <row r="9" spans="1:6" ht="17" customHeight="1" x14ac:dyDescent="0.35">
      <c r="A9" s="20" t="s">
        <v>81</v>
      </c>
      <c r="B9" s="19" t="s">
        <v>82</v>
      </c>
      <c r="C9" s="13">
        <f>('Aircraft Characteristics'!F18*'Aircraft Characteristics'!B10)/C8</f>
        <v>0.11034580726064906</v>
      </c>
    </row>
    <row r="10" spans="1:6" ht="17" customHeight="1" x14ac:dyDescent="0.35">
      <c r="A10" s="20" t="s">
        <v>83</v>
      </c>
      <c r="B10" s="19" t="s">
        <v>84</v>
      </c>
      <c r="C10" s="13">
        <f>C8/('Aircraft Characteristics'!F24)</f>
        <v>44.226807191619535</v>
      </c>
    </row>
    <row r="11" spans="1:6" ht="17" customHeight="1" x14ac:dyDescent="0.35">
      <c r="A11" s="20" t="s">
        <v>85</v>
      </c>
      <c r="B11" s="19" t="s">
        <v>86</v>
      </c>
      <c r="C11" s="13">
        <f>SQRT((2*C10)/(23.769*10^-4))*(('Aircraft Characteristics'!F2)/(3*'Aircraft Characteristics'!B16))^(1/4)</f>
        <v>196.10183564248308</v>
      </c>
    </row>
    <row r="12" spans="1:6" ht="17" customHeight="1" x14ac:dyDescent="0.35">
      <c r="A12" s="20" t="s">
        <v>87</v>
      </c>
      <c r="B12" s="19" t="s">
        <v>88</v>
      </c>
      <c r="C12" s="13">
        <f>(550*('Aircraft Characteristics'!B11)*('Mission Analysis'!C9))-('Mission Analysis'!C11/(0.866*1^(1/2)*('Aircraft Characteristics'!F3)))</f>
        <v>38.209452563741245</v>
      </c>
    </row>
    <row r="13" spans="1:6" ht="17" customHeight="1" x14ac:dyDescent="0.35">
      <c r="A13" s="21" t="s">
        <v>89</v>
      </c>
      <c r="B13" s="19" t="s">
        <v>90</v>
      </c>
      <c r="C13" s="13">
        <f>(C12)/(550*('Aircraft Characteristics'!B11)*'Mission Analysis'!C9*1^2)</f>
        <v>0.72365744946561372</v>
      </c>
    </row>
    <row r="14" spans="1:6" ht="17" customHeight="1" x14ac:dyDescent="0.35">
      <c r="A14" s="20" t="s">
        <v>91</v>
      </c>
      <c r="B14" s="19" t="s">
        <v>92</v>
      </c>
      <c r="C14" s="13">
        <f>EXP((((7.7*10^-3)*('Aircraft Characteristics'!B12))/(('Aircraft Characteristics'!B11)*'Mission Analysis'!C13))*((EXP('Aircraft Characteristics'!B8/15250))-EXP(0/15250)))</f>
        <v>1.5472090030613652</v>
      </c>
    </row>
    <row r="15" spans="1:6" ht="17" customHeight="1" x14ac:dyDescent="0.35">
      <c r="A15" s="20" t="s">
        <v>25</v>
      </c>
      <c r="B15" s="19" t="s">
        <v>96</v>
      </c>
      <c r="C15" s="13">
        <f>(C14-1)/C14</f>
        <v>0.35367490880588026</v>
      </c>
    </row>
    <row r="16" spans="1:6" ht="17" customHeight="1" x14ac:dyDescent="0.35">
      <c r="A16" s="18" t="s">
        <v>94</v>
      </c>
      <c r="B16" s="19" t="s">
        <v>95</v>
      </c>
      <c r="C16" s="18">
        <f>0.010387717*C8</f>
        <v>3262.9803944120836</v>
      </c>
    </row>
    <row r="17" spans="1:3" ht="17" customHeight="1" x14ac:dyDescent="0.35">
      <c r="A17" s="20" t="s">
        <v>97</v>
      </c>
      <c r="B17" s="19" t="s">
        <v>98</v>
      </c>
      <c r="C17" s="13">
        <f>C8-C16</f>
        <v>310856.12724127766</v>
      </c>
    </row>
    <row r="18" spans="1:3" ht="17" customHeight="1" x14ac:dyDescent="0.35">
      <c r="A18" s="18" t="s">
        <v>99</v>
      </c>
      <c r="B18" s="19" t="s">
        <v>100</v>
      </c>
      <c r="C18" s="18">
        <f>('Aircraft Characteristics'!B20)*('Aircraft Characteristics'!F12)</f>
        <v>24395.432551913833</v>
      </c>
    </row>
    <row r="19" spans="1:3" ht="17" customHeight="1" x14ac:dyDescent="0.35">
      <c r="A19" s="18" t="s">
        <v>101</v>
      </c>
      <c r="B19" s="19" t="s">
        <v>102</v>
      </c>
      <c r="C19" s="18">
        <f>('Aircraft Characteristics'!F12)-'Mission Analysis'!C2-'Mission Analysis'!C7-'Mission Analysis'!C16-'Mission Analysis'!C18</f>
        <v>3881.3334732346993</v>
      </c>
    </row>
    <row r="20" spans="1:3" ht="17" customHeight="1" x14ac:dyDescent="0.35">
      <c r="A20" s="18" t="s">
        <v>103</v>
      </c>
      <c r="B20" s="19" t="s">
        <v>104</v>
      </c>
      <c r="C20" s="18">
        <f>(C19/('Aircraft Characteristics'!F12))*100</f>
        <v>11.932561961061253</v>
      </c>
    </row>
    <row r="21" spans="1:3" ht="17" customHeight="1" x14ac:dyDescent="0.35">
      <c r="A21" s="20"/>
      <c r="B21" s="57" t="s">
        <v>105</v>
      </c>
      <c r="C21" s="57"/>
    </row>
    <row r="22" spans="1:3" ht="17" customHeight="1" x14ac:dyDescent="0.35">
      <c r="A22" s="16"/>
      <c r="B22" s="17"/>
      <c r="C22" s="16"/>
    </row>
    <row r="23" spans="1:3" ht="17" customHeight="1" x14ac:dyDescent="0.35">
      <c r="A23" s="16"/>
      <c r="B23" s="17"/>
      <c r="C23" s="16"/>
    </row>
    <row r="24" spans="1:3" ht="17" customHeight="1" x14ac:dyDescent="0.35">
      <c r="A24" s="14"/>
      <c r="B24" s="15"/>
      <c r="C24" s="14"/>
    </row>
    <row r="25" spans="1:3" ht="17" customHeight="1" x14ac:dyDescent="0.35">
      <c r="A25" s="14"/>
      <c r="B25" s="15"/>
      <c r="C25" s="14"/>
    </row>
    <row r="26" spans="1:3" ht="17" customHeight="1" x14ac:dyDescent="0.35">
      <c r="A26" s="14"/>
      <c r="B26" s="15"/>
      <c r="C26" s="14"/>
    </row>
    <row r="27" spans="1:3" ht="17" customHeight="1" x14ac:dyDescent="0.35">
      <c r="A27" s="14"/>
      <c r="B27" s="15"/>
      <c r="C27" s="14"/>
    </row>
    <row r="28" spans="1:3" ht="17" customHeight="1" x14ac:dyDescent="0.35">
      <c r="A28" s="14"/>
      <c r="B28" s="15"/>
      <c r="C28" s="14"/>
    </row>
    <row r="29" spans="1:3" ht="17" customHeight="1" x14ac:dyDescent="0.35">
      <c r="A29" s="14"/>
      <c r="B29" s="15"/>
      <c r="C29" s="14"/>
    </row>
    <row r="30" spans="1:3" ht="17" customHeight="1" x14ac:dyDescent="0.35">
      <c r="A30" s="14"/>
      <c r="B30" s="15"/>
      <c r="C30" s="14"/>
    </row>
    <row r="31" spans="1:3" ht="17" customHeight="1" x14ac:dyDescent="0.35">
      <c r="A31" s="14"/>
      <c r="B31" s="15"/>
      <c r="C31" s="14"/>
    </row>
    <row r="32" spans="1:3" ht="17" customHeight="1" x14ac:dyDescent="0.35">
      <c r="A32" s="14"/>
      <c r="B32" s="15"/>
      <c r="C32" s="14"/>
    </row>
    <row r="33" spans="1:3" ht="17" customHeight="1" x14ac:dyDescent="0.35">
      <c r="A33" s="14"/>
      <c r="B33" s="15"/>
      <c r="C33" s="14"/>
    </row>
    <row r="34" spans="1:3" ht="17" customHeight="1" x14ac:dyDescent="0.35">
      <c r="A34" s="14"/>
      <c r="B34" s="15"/>
      <c r="C34" s="14"/>
    </row>
    <row r="35" spans="1:3" ht="17" customHeight="1" x14ac:dyDescent="0.35">
      <c r="A35" s="14"/>
      <c r="B35" s="15"/>
      <c r="C35" s="14"/>
    </row>
    <row r="36" spans="1:3" ht="17" customHeight="1" x14ac:dyDescent="0.35">
      <c r="A36" s="14"/>
      <c r="B36" s="15"/>
      <c r="C36" s="14"/>
    </row>
  </sheetData>
  <mergeCells count="3">
    <mergeCell ref="A1:C1"/>
    <mergeCell ref="B21:C2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Aircraft Characteristics</vt:lpstr>
      <vt:lpstr>Mission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Thiru</dc:creator>
  <cp:lastModifiedBy>Gerry Thiru</cp:lastModifiedBy>
  <dcterms:created xsi:type="dcterms:W3CDTF">2021-12-02T02:39:30Z</dcterms:created>
  <dcterms:modified xsi:type="dcterms:W3CDTF">2021-12-11T00:04:39Z</dcterms:modified>
</cp:coreProperties>
</file>