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C7BE68C-F628-4438-A56B-7EDFC4FFADCC}" xr6:coauthVersionLast="41" xr6:coauthVersionMax="41" xr10:uidLastSave="{00000000-0000-0000-0000-000000000000}"/>
  <bookViews>
    <workbookView xWindow="-108" yWindow="-108" windowWidth="23256" windowHeight="12576" tabRatio="0" xr2:uid="{00000000-000D-0000-FFFF-FFFF00000000}"/>
  </bookViews>
  <sheets>
    <sheet name="Inicio" sheetId="9" r:id="rId1"/>
    <sheet name="caso de estudio 1" sheetId="1" r:id="rId2"/>
    <sheet name="caso de estudio 2" sheetId="4" r:id="rId3"/>
    <sheet name="caso de estudio 3" sheetId="5" r:id="rId4"/>
    <sheet name="caso de estudio 4" sheetId="6" r:id="rId5"/>
    <sheet name="caso de estudio 5" sheetId="7" r:id="rId6"/>
    <sheet name="caso de estudio 6" sheetId="8" r:id="rId7"/>
    <sheet name="caso de estudio 7" sheetId="10" r:id="rId8"/>
    <sheet name="caso de estudio 8" sheetId="11" r:id="rId9"/>
    <sheet name="caso de estudio 9" sheetId="12" r:id="rId10"/>
    <sheet name="caso de estudio 10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5" i="13" l="1"/>
  <c r="BA15" i="13"/>
  <c r="AZ15" i="13"/>
  <c r="AY15" i="13"/>
  <c r="AX15" i="13"/>
  <c r="BB14" i="13"/>
  <c r="BA14" i="13"/>
  <c r="AZ14" i="13"/>
  <c r="AY14" i="13"/>
  <c r="AX14" i="13"/>
  <c r="BB12" i="13"/>
  <c r="BA12" i="13"/>
  <c r="AZ12" i="13"/>
  <c r="BJ9" i="13" s="1"/>
  <c r="AY12" i="13"/>
  <c r="AX12" i="13"/>
  <c r="BH9" i="13" s="1"/>
  <c r="BB30" i="13"/>
  <c r="BA30" i="13"/>
  <c r="AZ30" i="13"/>
  <c r="AY30" i="13"/>
  <c r="AX30" i="13"/>
  <c r="BL29" i="13"/>
  <c r="BK29" i="13"/>
  <c r="BJ29" i="13"/>
  <c r="BI29" i="13"/>
  <c r="BH29" i="13"/>
  <c r="BG30" i="13"/>
  <c r="BG28" i="13"/>
  <c r="BG17" i="13"/>
  <c r="BG14" i="13"/>
  <c r="BG15" i="13"/>
  <c r="BG16" i="13"/>
  <c r="BG13" i="13"/>
  <c r="BI9" i="13"/>
  <c r="BH7" i="13"/>
  <c r="BI7" i="13"/>
  <c r="BJ7" i="13"/>
  <c r="BK7" i="13"/>
  <c r="BL7" i="13"/>
  <c r="BG19" i="13"/>
  <c r="BQ6" i="13" s="1"/>
  <c r="BG32" i="13"/>
  <c r="BQ25" i="13" s="1"/>
  <c r="BS25" i="13" s="1"/>
  <c r="AX38" i="13"/>
  <c r="AR39" i="13"/>
  <c r="AR38" i="13"/>
  <c r="AR37" i="13"/>
  <c r="AR36" i="13"/>
  <c r="AR35" i="13"/>
  <c r="AR16" i="13"/>
  <c r="AR11" i="13"/>
  <c r="AQ11" i="13"/>
  <c r="AQ16" i="13"/>
  <c r="AP16" i="13"/>
  <c r="AP11" i="13"/>
  <c r="AK26" i="13"/>
  <c r="AC31" i="13"/>
  <c r="AC32" i="13"/>
  <c r="AC33" i="13"/>
  <c r="AC30" i="13"/>
  <c r="AB34" i="13"/>
  <c r="BL9" i="13" l="1"/>
  <c r="BK9" i="13"/>
  <c r="BS6" i="13"/>
  <c r="AR40" i="13"/>
  <c r="AP17" i="13"/>
  <c r="AQ17" i="13"/>
  <c r="AQ18" i="13" s="1"/>
  <c r="AR17" i="13"/>
  <c r="AC34" i="13"/>
  <c r="AH10" i="13" s="1"/>
  <c r="AP35" i="13" l="1"/>
  <c r="AQ35" i="13" s="1"/>
  <c r="AR18" i="13"/>
  <c r="AH6" i="13"/>
  <c r="AH7" i="13"/>
  <c r="AH8" i="13"/>
  <c r="AH9" i="13"/>
  <c r="AS35" i="13" l="1"/>
  <c r="AP36" i="13" s="1"/>
  <c r="AQ36" i="13" s="1"/>
  <c r="AS36" i="13" s="1"/>
  <c r="AP37" i="13" s="1"/>
  <c r="AQ37" i="13" s="1"/>
  <c r="AS37" i="13" s="1"/>
  <c r="AP38" i="13" s="1"/>
  <c r="AQ38" i="13" l="1"/>
  <c r="AS38" i="13" s="1"/>
  <c r="AP39" i="13" s="1"/>
  <c r="AQ39" i="13" l="1"/>
  <c r="AS39" i="13" s="1"/>
  <c r="AP40" i="13" s="1"/>
  <c r="AQ40" i="13" l="1"/>
  <c r="AS40" i="13" s="1"/>
  <c r="AA33" i="13" l="1"/>
  <c r="AA32" i="13"/>
  <c r="AA31" i="13"/>
  <c r="AA30" i="13"/>
  <c r="AB21" i="13"/>
  <c r="AB20" i="13"/>
  <c r="AA21" i="13"/>
  <c r="AA20" i="13"/>
  <c r="AA19" i="13"/>
  <c r="AB19" i="13" s="1"/>
  <c r="AA18" i="13"/>
  <c r="AB18" i="13" s="1"/>
  <c r="AA17" i="13"/>
  <c r="AB17" i="13" s="1"/>
  <c r="Y22" i="13"/>
  <c r="O23" i="13"/>
  <c r="Q23" i="13"/>
  <c r="R23" i="13" s="1"/>
  <c r="W7" i="13" s="1"/>
  <c r="R18" i="13"/>
  <c r="R19" i="13"/>
  <c r="R20" i="13"/>
  <c r="R21" i="13"/>
  <c r="R22" i="13"/>
  <c r="R17" i="13"/>
  <c r="R10" i="13"/>
  <c r="X10" i="13" s="1"/>
  <c r="AI10" i="13" s="1"/>
  <c r="AJ10" i="13" s="1"/>
  <c r="BB13" i="13" s="1"/>
  <c r="BL10" i="13" s="1"/>
  <c r="R6" i="13"/>
  <c r="X6" i="13" s="1"/>
  <c r="AI6" i="13" s="1"/>
  <c r="AJ6" i="13" s="1"/>
  <c r="AX13" i="13" s="1"/>
  <c r="BH10" i="13" s="1"/>
  <c r="P7" i="13"/>
  <c r="R7" i="13" s="1"/>
  <c r="X7" i="13" s="1"/>
  <c r="P8" i="13"/>
  <c r="R8" i="13" s="1"/>
  <c r="X8" i="13" s="1"/>
  <c r="AI8" i="13" s="1"/>
  <c r="AJ8" i="13" s="1"/>
  <c r="AZ13" i="13" s="1"/>
  <c r="BJ10" i="13" s="1"/>
  <c r="P9" i="13"/>
  <c r="R9" i="13" s="1"/>
  <c r="X9" i="13" s="1"/>
  <c r="AI9" i="13" s="1"/>
  <c r="AJ9" i="13" s="1"/>
  <c r="BA13" i="13" s="1"/>
  <c r="BK10" i="13" s="1"/>
  <c r="P10" i="13"/>
  <c r="P6" i="13"/>
  <c r="O9" i="13"/>
  <c r="F27" i="13"/>
  <c r="F28" i="13"/>
  <c r="F29" i="13"/>
  <c r="F30" i="13"/>
  <c r="F26" i="13"/>
  <c r="G18" i="13"/>
  <c r="E30" i="13" s="1"/>
  <c r="N10" i="13" s="1"/>
  <c r="G17" i="13"/>
  <c r="E29" i="13" s="1"/>
  <c r="G16" i="13"/>
  <c r="E28" i="13" s="1"/>
  <c r="N8" i="13" s="1"/>
  <c r="G15" i="13"/>
  <c r="E27" i="13" s="1"/>
  <c r="N7" i="13" s="1"/>
  <c r="G14" i="13"/>
  <c r="E26" i="13" s="1"/>
  <c r="N6" i="13" s="1"/>
  <c r="BC16" i="12"/>
  <c r="BD25" i="12"/>
  <c r="BD26" i="12"/>
  <c r="BD27" i="12"/>
  <c r="BD28" i="12"/>
  <c r="BC15" i="12"/>
  <c r="BB25" i="12"/>
  <c r="BB26" i="12"/>
  <c r="BB27" i="12"/>
  <c r="BB28" i="12"/>
  <c r="BB24" i="12"/>
  <c r="BD24" i="12" s="1"/>
  <c r="BD12" i="12"/>
  <c r="BD8" i="12"/>
  <c r="BD9" i="12"/>
  <c r="BD10" i="12"/>
  <c r="BD11" i="12"/>
  <c r="BD7" i="12"/>
  <c r="BB11" i="12"/>
  <c r="BB12" i="12" s="1"/>
  <c r="BB10" i="12"/>
  <c r="BB9" i="12"/>
  <c r="BB8" i="12"/>
  <c r="BB7" i="12"/>
  <c r="AP19" i="12"/>
  <c r="AY8" i="12" s="1"/>
  <c r="AY12" i="12" s="1"/>
  <c r="AO19" i="12"/>
  <c r="AX8" i="12" s="1"/>
  <c r="AX12" i="12" s="1"/>
  <c r="AN19" i="12"/>
  <c r="AW8" i="12" s="1"/>
  <c r="AW12" i="12" s="1"/>
  <c r="AM10" i="12"/>
  <c r="AM19" i="12" s="1"/>
  <c r="AV8" i="12" s="1"/>
  <c r="AV12" i="12" s="1"/>
  <c r="AL19" i="12"/>
  <c r="AU8" i="12" s="1"/>
  <c r="AU12" i="12" s="1"/>
  <c r="AE18" i="12"/>
  <c r="AF18" i="12"/>
  <c r="AG18" i="12"/>
  <c r="AE17" i="12"/>
  <c r="AF17" i="12"/>
  <c r="AG17" i="12"/>
  <c r="AD18" i="12"/>
  <c r="AD17" i="12"/>
  <c r="AE10" i="12"/>
  <c r="AE12" i="12" s="1"/>
  <c r="AF10" i="12"/>
  <c r="AF12" i="12" s="1"/>
  <c r="AG10" i="12"/>
  <c r="AG12" i="12" s="1"/>
  <c r="AD10" i="12"/>
  <c r="AD12" i="12" s="1"/>
  <c r="X25" i="12"/>
  <c r="W25" i="12"/>
  <c r="V25" i="12"/>
  <c r="Y25" i="12"/>
  <c r="W6" i="13" l="1"/>
  <c r="Y6" i="13" s="1"/>
  <c r="AX11" i="13" s="1"/>
  <c r="W10" i="13"/>
  <c r="W9" i="13"/>
  <c r="W8" i="13"/>
  <c r="Y8" i="13" s="1"/>
  <c r="AZ11" i="13" s="1"/>
  <c r="Y10" i="13"/>
  <c r="BB11" i="13" s="1"/>
  <c r="AI7" i="13"/>
  <c r="AJ7" i="13" s="1"/>
  <c r="Y7" i="13"/>
  <c r="AY11" i="13" s="1"/>
  <c r="Y9" i="13"/>
  <c r="BA11" i="13" s="1"/>
  <c r="O6" i="13"/>
  <c r="O10" i="13"/>
  <c r="AA22" i="13"/>
  <c r="AB22" i="13" s="1"/>
  <c r="O8" i="13"/>
  <c r="G29" i="13"/>
  <c r="H29" i="13" s="1"/>
  <c r="I29" i="13" s="1"/>
  <c r="BA7" i="13" s="1"/>
  <c r="O7" i="13"/>
  <c r="N9" i="13"/>
  <c r="G28" i="13"/>
  <c r="H28" i="13" s="1"/>
  <c r="I28" i="13" s="1"/>
  <c r="AZ7" i="13" s="1"/>
  <c r="G30" i="13"/>
  <c r="H30" i="13" s="1"/>
  <c r="I30" i="13" s="1"/>
  <c r="BB7" i="13" s="1"/>
  <c r="G26" i="13"/>
  <c r="H26" i="13" s="1"/>
  <c r="I26" i="13" s="1"/>
  <c r="AX7" i="13" s="1"/>
  <c r="G27" i="13"/>
  <c r="H27" i="13" s="1"/>
  <c r="I27" i="13" s="1"/>
  <c r="AY7" i="13" s="1"/>
  <c r="BD29" i="12"/>
  <c r="BB29" i="12"/>
  <c r="AG19" i="12"/>
  <c r="AD19" i="12"/>
  <c r="AF19" i="12"/>
  <c r="AE19" i="12"/>
  <c r="Y11" i="12"/>
  <c r="Y14" i="12" s="1"/>
  <c r="Y17" i="12" s="1"/>
  <c r="Y19" i="12" s="1"/>
  <c r="X11" i="12"/>
  <c r="X14" i="12" s="1"/>
  <c r="X17" i="12" s="1"/>
  <c r="X19" i="12" s="1"/>
  <c r="W11" i="12"/>
  <c r="W14" i="12" s="1"/>
  <c r="W17" i="12" s="1"/>
  <c r="W19" i="12" s="1"/>
  <c r="V11" i="12"/>
  <c r="V14" i="12" s="1"/>
  <c r="V17" i="12" s="1"/>
  <c r="AY9" i="13" l="1"/>
  <c r="BI6" i="13"/>
  <c r="BH6" i="13"/>
  <c r="AX9" i="13"/>
  <c r="BK8" i="13"/>
  <c r="BA16" i="13"/>
  <c r="BA17" i="13" s="1"/>
  <c r="BB9" i="13"/>
  <c r="BL6" i="13"/>
  <c r="BI8" i="13"/>
  <c r="BA9" i="13"/>
  <c r="BK6" i="13"/>
  <c r="AJ11" i="13"/>
  <c r="AY13" i="13"/>
  <c r="BI10" i="13" s="1"/>
  <c r="BL8" i="13"/>
  <c r="BB16" i="13"/>
  <c r="BB17" i="13" s="1"/>
  <c r="BJ8" i="13"/>
  <c r="AZ16" i="13"/>
  <c r="BJ6" i="13"/>
  <c r="AZ9" i="13"/>
  <c r="AZ17" i="13" s="1"/>
  <c r="BH8" i="13"/>
  <c r="AX16" i="13"/>
  <c r="BC33" i="12"/>
  <c r="BC32" i="12"/>
  <c r="V19" i="12"/>
  <c r="P9" i="12"/>
  <c r="O7" i="12"/>
  <c r="G18" i="11"/>
  <c r="G19" i="11" s="1"/>
  <c r="H19" i="11"/>
  <c r="H18" i="11"/>
  <c r="H11" i="11"/>
  <c r="G11" i="11"/>
  <c r="I18" i="10"/>
  <c r="H18" i="10"/>
  <c r="I17" i="10"/>
  <c r="H17" i="10"/>
  <c r="T6" i="10"/>
  <c r="T7" i="10" s="1"/>
  <c r="T8" i="10" s="1"/>
  <c r="T10" i="10" s="1"/>
  <c r="S6" i="10"/>
  <c r="N6" i="10"/>
  <c r="H6" i="10"/>
  <c r="H7" i="10" s="1"/>
  <c r="H8" i="10" s="1"/>
  <c r="H10" i="10" s="1"/>
  <c r="I16" i="10" s="1"/>
  <c r="G7" i="10"/>
  <c r="M6" i="10"/>
  <c r="M7" i="10" s="1"/>
  <c r="G6" i="10"/>
  <c r="CR28" i="8"/>
  <c r="CQ28" i="8"/>
  <c r="CR19" i="8"/>
  <c r="CQ19" i="8"/>
  <c r="CP19" i="8"/>
  <c r="CR18" i="8"/>
  <c r="CQ18" i="8"/>
  <c r="CP18" i="8"/>
  <c r="CP9" i="8"/>
  <c r="CQ9" i="8"/>
  <c r="CR9" i="8"/>
  <c r="CR8" i="8"/>
  <c r="CQ8" i="8"/>
  <c r="CP8" i="8"/>
  <c r="CO26" i="8"/>
  <c r="CN26" i="8"/>
  <c r="CR24" i="8"/>
  <c r="CQ24" i="8"/>
  <c r="CP24" i="8"/>
  <c r="CR23" i="8"/>
  <c r="CQ23" i="8"/>
  <c r="CP23" i="8"/>
  <c r="CR22" i="8"/>
  <c r="CQ22" i="8"/>
  <c r="CP22" i="8"/>
  <c r="CR17" i="8"/>
  <c r="CQ17" i="8"/>
  <c r="CP17" i="8"/>
  <c r="CR16" i="8"/>
  <c r="CQ16" i="8"/>
  <c r="CP16" i="8"/>
  <c r="CR15" i="8"/>
  <c r="CQ15" i="8"/>
  <c r="CP15" i="8"/>
  <c r="CO11" i="8"/>
  <c r="CN11" i="8"/>
  <c r="CR7" i="8"/>
  <c r="CQ7" i="8"/>
  <c r="CP7" i="8"/>
  <c r="CR6" i="8"/>
  <c r="CQ6" i="8"/>
  <c r="CP6" i="8"/>
  <c r="CR5" i="8"/>
  <c r="CQ5" i="8"/>
  <c r="CP5" i="8"/>
  <c r="BS16" i="8"/>
  <c r="BS9" i="8"/>
  <c r="BU17" i="8"/>
  <c r="BU11" i="8"/>
  <c r="BP7" i="8"/>
  <c r="BP10" i="8" s="1"/>
  <c r="BP12" i="8" s="1"/>
  <c r="BP14" i="8" s="1"/>
  <c r="BO7" i="8"/>
  <c r="BO10" i="8" s="1"/>
  <c r="BO12" i="8" s="1"/>
  <c r="BO14" i="8" s="1"/>
  <c r="BN7" i="8"/>
  <c r="BN10" i="8" s="1"/>
  <c r="BN12" i="8" s="1"/>
  <c r="BN14" i="8" s="1"/>
  <c r="BM7" i="8"/>
  <c r="BH9" i="8"/>
  <c r="BC29" i="8"/>
  <c r="BC27" i="8"/>
  <c r="BC25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BC22" i="8"/>
  <c r="BC21" i="8"/>
  <c r="BC20" i="8"/>
  <c r="BC19" i="8"/>
  <c r="BC18" i="8"/>
  <c r="BC17" i="8"/>
  <c r="BC16" i="8"/>
  <c r="BC15" i="8"/>
  <c r="BC14" i="8"/>
  <c r="BC13" i="8"/>
  <c r="BC12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BC9" i="8"/>
  <c r="BC8" i="8"/>
  <c r="BC7" i="8"/>
  <c r="BA29" i="13" l="1"/>
  <c r="BA31" i="13" s="1"/>
  <c r="BA18" i="13"/>
  <c r="BA19" i="13"/>
  <c r="AX17" i="13"/>
  <c r="BB18" i="13"/>
  <c r="BB29" i="13"/>
  <c r="BB31" i="13" s="1"/>
  <c r="BB19" i="13"/>
  <c r="AZ29" i="13"/>
  <c r="AZ31" i="13" s="1"/>
  <c r="AZ18" i="13"/>
  <c r="AZ19" i="13"/>
  <c r="AY16" i="13"/>
  <c r="AY17" i="13"/>
  <c r="P8" i="12"/>
  <c r="P7" i="12"/>
  <c r="N8" i="12" s="1"/>
  <c r="G8" i="10"/>
  <c r="G10" i="10" s="1"/>
  <c r="H16" i="10" s="1"/>
  <c r="S7" i="10"/>
  <c r="S8" i="10" s="1"/>
  <c r="S10" i="10" s="1"/>
  <c r="N7" i="10"/>
  <c r="N8" i="10" s="1"/>
  <c r="N10" i="10" s="1"/>
  <c r="M8" i="10"/>
  <c r="M10" i="10" s="1"/>
  <c r="CQ26" i="8"/>
  <c r="CQ11" i="8"/>
  <c r="CR26" i="8"/>
  <c r="CR11" i="8"/>
  <c r="BU19" i="8"/>
  <c r="BM10" i="8"/>
  <c r="BM12" i="8" s="1"/>
  <c r="BM14" i="8" s="1"/>
  <c r="AV24" i="8"/>
  <c r="AR24" i="8"/>
  <c r="AZ24" i="8"/>
  <c r="AT24" i="8"/>
  <c r="BB24" i="8"/>
  <c r="BH24" i="8"/>
  <c r="BH26" i="8" s="1"/>
  <c r="AU24" i="8"/>
  <c r="AX24" i="8"/>
  <c r="AY24" i="8"/>
  <c r="AW24" i="8"/>
  <c r="AQ24" i="8"/>
  <c r="AQ26" i="8" s="1"/>
  <c r="BA24" i="8"/>
  <c r="BC23" i="8"/>
  <c r="AS24" i="8"/>
  <c r="BC10" i="8"/>
  <c r="AZ32" i="13" l="1"/>
  <c r="AZ38" i="13" s="1"/>
  <c r="AZ33" i="13"/>
  <c r="BB37" i="13"/>
  <c r="BB39" i="13" s="1"/>
  <c r="BL31" i="13" s="1"/>
  <c r="BL11" i="13"/>
  <c r="BL19" i="13" s="1"/>
  <c r="AX29" i="13"/>
  <c r="AX31" i="13" s="1"/>
  <c r="AX33" i="13" s="1"/>
  <c r="AX18" i="13"/>
  <c r="BK11" i="13"/>
  <c r="BK19" i="13" s="1"/>
  <c r="BA37" i="13"/>
  <c r="BB32" i="13"/>
  <c r="BB38" i="13" s="1"/>
  <c r="BB33" i="13"/>
  <c r="AY29" i="13"/>
  <c r="AY31" i="13" s="1"/>
  <c r="AY18" i="13"/>
  <c r="AY19" i="13"/>
  <c r="AZ37" i="13"/>
  <c r="AZ39" i="13" s="1"/>
  <c r="BJ31" i="13" s="1"/>
  <c r="BJ11" i="13"/>
  <c r="BJ19" i="13" s="1"/>
  <c r="BA32" i="13"/>
  <c r="BA38" i="13" s="1"/>
  <c r="P10" i="12"/>
  <c r="Q7" i="12"/>
  <c r="O8" i="12"/>
  <c r="N9" i="12" s="1"/>
  <c r="AR26" i="8"/>
  <c r="AS26" i="8" s="1"/>
  <c r="AT26" i="8" s="1"/>
  <c r="AU26" i="8" s="1"/>
  <c r="AV26" i="8" s="1"/>
  <c r="AW26" i="8" s="1"/>
  <c r="AX26" i="8" s="1"/>
  <c r="AY26" i="8" s="1"/>
  <c r="AZ26" i="8" s="1"/>
  <c r="BA26" i="8" s="1"/>
  <c r="BB26" i="8" s="1"/>
  <c r="AQ30" i="8"/>
  <c r="AQ31" i="8" s="1"/>
  <c r="AR31" i="8" s="1"/>
  <c r="AS31" i="8" s="1"/>
  <c r="AT31" i="8" s="1"/>
  <c r="AU31" i="8" s="1"/>
  <c r="AV31" i="8" s="1"/>
  <c r="AW31" i="8" s="1"/>
  <c r="AX31" i="8" s="1"/>
  <c r="AY31" i="8" s="1"/>
  <c r="AZ31" i="8" s="1"/>
  <c r="BA31" i="8" s="1"/>
  <c r="BB31" i="8" s="1"/>
  <c r="BC24" i="8"/>
  <c r="BC26" i="8" s="1"/>
  <c r="BC30" i="8"/>
  <c r="BQ10" i="13" l="1"/>
  <c r="BS10" i="13" s="1"/>
  <c r="BK28" i="13"/>
  <c r="BQ9" i="13"/>
  <c r="BS9" i="13" s="1"/>
  <c r="BJ28" i="13"/>
  <c r="BJ32" i="13" s="1"/>
  <c r="BQ28" i="13" s="1"/>
  <c r="BS28" i="13" s="1"/>
  <c r="AX19" i="13"/>
  <c r="AX37" i="13"/>
  <c r="AX39" i="13" s="1"/>
  <c r="BH31" i="13" s="1"/>
  <c r="BH11" i="13"/>
  <c r="BH19" i="13" s="1"/>
  <c r="AY32" i="13"/>
  <c r="AY38" i="13" s="1"/>
  <c r="BQ11" i="13"/>
  <c r="BS11" i="13" s="1"/>
  <c r="BL28" i="13"/>
  <c r="BL32" i="13" s="1"/>
  <c r="BQ30" i="13" s="1"/>
  <c r="BS30" i="13" s="1"/>
  <c r="BA39" i="13"/>
  <c r="BK31" i="13" s="1"/>
  <c r="BI11" i="13"/>
  <c r="BI19" i="13" s="1"/>
  <c r="AY37" i="13"/>
  <c r="BA33" i="13"/>
  <c r="Q8" i="12"/>
  <c r="O9" i="12"/>
  <c r="Q9" i="12" s="1"/>
  <c r="N10" i="12" s="1"/>
  <c r="AN80" i="8"/>
  <c r="AM80" i="8"/>
  <c r="AK80" i="8"/>
  <c r="AJ80" i="8"/>
  <c r="AH80" i="8"/>
  <c r="AG80" i="8"/>
  <c r="AN71" i="8"/>
  <c r="AM71" i="8"/>
  <c r="AK71" i="8"/>
  <c r="AJ71" i="8"/>
  <c r="AH71" i="8"/>
  <c r="AG71" i="8"/>
  <c r="AN58" i="8"/>
  <c r="AM58" i="8"/>
  <c r="AK58" i="8"/>
  <c r="AJ58" i="8"/>
  <c r="AH58" i="8"/>
  <c r="AG58" i="8"/>
  <c r="AN49" i="8"/>
  <c r="AM49" i="8"/>
  <c r="AK49" i="8"/>
  <c r="AJ49" i="8"/>
  <c r="AH49" i="8"/>
  <c r="AG49" i="8"/>
  <c r="AN36" i="8"/>
  <c r="AM36" i="8"/>
  <c r="AK36" i="8"/>
  <c r="AJ36" i="8"/>
  <c r="AH36" i="8"/>
  <c r="AG36" i="8"/>
  <c r="AN27" i="8"/>
  <c r="AM27" i="8"/>
  <c r="AK27" i="8"/>
  <c r="AJ27" i="8"/>
  <c r="AH27" i="8"/>
  <c r="AG27" i="8"/>
  <c r="AN18" i="8"/>
  <c r="AM18" i="8"/>
  <c r="AK18" i="8"/>
  <c r="AJ18" i="8"/>
  <c r="AH18" i="8"/>
  <c r="AG18" i="8"/>
  <c r="AE11" i="8"/>
  <c r="BQ7" i="13" l="1"/>
  <c r="BS7" i="13" s="1"/>
  <c r="BH28" i="13"/>
  <c r="BH32" i="13" s="1"/>
  <c r="BQ26" i="13" s="1"/>
  <c r="BS26" i="13" s="1"/>
  <c r="BQ8" i="13"/>
  <c r="BS8" i="13" s="1"/>
  <c r="BI28" i="13"/>
  <c r="BK32" i="13"/>
  <c r="BQ29" i="13" s="1"/>
  <c r="BS29" i="13" s="1"/>
  <c r="AY39" i="13"/>
  <c r="BI31" i="13" s="1"/>
  <c r="AY33" i="13"/>
  <c r="Q10" i="12"/>
  <c r="O10" i="12"/>
  <c r="AE20" i="8"/>
  <c r="AC20" i="8"/>
  <c r="AC11" i="8"/>
  <c r="Z21" i="8"/>
  <c r="Z20" i="8"/>
  <c r="Z19" i="8"/>
  <c r="Z18" i="8"/>
  <c r="Z17" i="8"/>
  <c r="Z16" i="8"/>
  <c r="Z15" i="8"/>
  <c r="Z14" i="8"/>
  <c r="Z13" i="8"/>
  <c r="Z12" i="8"/>
  <c r="Z11" i="8"/>
  <c r="Z10" i="8"/>
  <c r="W22" i="8"/>
  <c r="Y22" i="8"/>
  <c r="X22" i="8"/>
  <c r="S22" i="8"/>
  <c r="R22" i="8"/>
  <c r="N10" i="8"/>
  <c r="N12" i="8" s="1"/>
  <c r="N14" i="8" s="1"/>
  <c r="N16" i="8" s="1"/>
  <c r="M10" i="8"/>
  <c r="M12" i="8" s="1"/>
  <c r="M14" i="8" s="1"/>
  <c r="M16" i="8" s="1"/>
  <c r="L10" i="8"/>
  <c r="L12" i="8" s="1"/>
  <c r="L14" i="8" s="1"/>
  <c r="L16" i="8" s="1"/>
  <c r="DX14" i="9"/>
  <c r="EA25" i="9"/>
  <c r="EA24" i="9"/>
  <c r="EA23" i="9"/>
  <c r="EA22" i="9"/>
  <c r="EA21" i="9"/>
  <c r="EA20" i="9"/>
  <c r="EA19" i="9"/>
  <c r="EA18" i="9"/>
  <c r="EA17" i="9"/>
  <c r="EA16" i="9"/>
  <c r="EA15" i="9"/>
  <c r="EA14" i="9"/>
  <c r="DZ25" i="9"/>
  <c r="DZ24" i="9"/>
  <c r="DZ23" i="9"/>
  <c r="DZ22" i="9"/>
  <c r="DZ21" i="9"/>
  <c r="DZ20" i="9"/>
  <c r="DZ19" i="9"/>
  <c r="DZ18" i="9"/>
  <c r="DZ17" i="9"/>
  <c r="DZ16" i="9"/>
  <c r="DZ15" i="9"/>
  <c r="DZ14" i="9"/>
  <c r="G12" i="9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D10" i="9"/>
  <c r="E10" i="9"/>
  <c r="E21" i="9"/>
  <c r="E20" i="9"/>
  <c r="E19" i="9"/>
  <c r="E18" i="9"/>
  <c r="E17" i="9"/>
  <c r="E16" i="9"/>
  <c r="E15" i="9"/>
  <c r="E14" i="9"/>
  <c r="E13" i="9"/>
  <c r="E12" i="9"/>
  <c r="E11" i="9"/>
  <c r="D21" i="9"/>
  <c r="D20" i="9"/>
  <c r="D19" i="9"/>
  <c r="D18" i="9"/>
  <c r="D17" i="9"/>
  <c r="D16" i="9"/>
  <c r="D15" i="9"/>
  <c r="D14" i="9"/>
  <c r="D13" i="9"/>
  <c r="D12" i="9"/>
  <c r="D11" i="9"/>
  <c r="H23" i="8"/>
  <c r="H27" i="8" s="1"/>
  <c r="G23" i="8"/>
  <c r="G27" i="8" s="1"/>
  <c r="F23" i="8"/>
  <c r="F27" i="8" s="1"/>
  <c r="H11" i="8"/>
  <c r="H14" i="8" s="1"/>
  <c r="G11" i="8"/>
  <c r="G14" i="8" s="1"/>
  <c r="F11" i="8"/>
  <c r="F14" i="8" s="1"/>
  <c r="G69" i="7"/>
  <c r="E69" i="7"/>
  <c r="E65" i="7"/>
  <c r="G67" i="7"/>
  <c r="L31" i="7"/>
  <c r="L37" i="7" s="1"/>
  <c r="L41" i="7" s="1"/>
  <c r="G54" i="7"/>
  <c r="G53" i="7"/>
  <c r="G52" i="7"/>
  <c r="G51" i="7"/>
  <c r="G50" i="7"/>
  <c r="G49" i="7"/>
  <c r="G48" i="7"/>
  <c r="M35" i="7"/>
  <c r="L36" i="7"/>
  <c r="K36" i="7"/>
  <c r="J36" i="7"/>
  <c r="J37" i="7" s="1"/>
  <c r="J41" i="7" s="1"/>
  <c r="I36" i="7"/>
  <c r="H36" i="7"/>
  <c r="G36" i="7"/>
  <c r="M34" i="7"/>
  <c r="M33" i="7"/>
  <c r="M30" i="7"/>
  <c r="M31" i="7" s="1"/>
  <c r="M29" i="7"/>
  <c r="K31" i="7"/>
  <c r="K37" i="7" s="1"/>
  <c r="K41" i="7" s="1"/>
  <c r="J31" i="7"/>
  <c r="I31" i="7"/>
  <c r="H31" i="7"/>
  <c r="G31" i="7"/>
  <c r="G37" i="7" s="1"/>
  <c r="M28" i="7"/>
  <c r="I5" i="7"/>
  <c r="I9" i="7"/>
  <c r="F20" i="7"/>
  <c r="F19" i="7"/>
  <c r="I8" i="7" s="1"/>
  <c r="F18" i="7"/>
  <c r="I7" i="7" s="1"/>
  <c r="F17" i="7"/>
  <c r="I6" i="7" s="1"/>
  <c r="F16" i="7"/>
  <c r="F15" i="7"/>
  <c r="I4" i="7" s="1"/>
  <c r="E21" i="7"/>
  <c r="F5" i="7"/>
  <c r="J5" i="7" s="1"/>
  <c r="F6" i="7"/>
  <c r="J6" i="7" s="1"/>
  <c r="F7" i="7"/>
  <c r="J7" i="7" s="1"/>
  <c r="F8" i="7"/>
  <c r="J8" i="7" s="1"/>
  <c r="F9" i="7"/>
  <c r="J9" i="7" s="1"/>
  <c r="F4" i="7"/>
  <c r="F10" i="7" s="1"/>
  <c r="E10" i="7"/>
  <c r="F49" i="6"/>
  <c r="F48" i="6"/>
  <c r="F51" i="6"/>
  <c r="E51" i="6"/>
  <c r="F50" i="6"/>
  <c r="E50" i="6"/>
  <c r="E49" i="6"/>
  <c r="E48" i="6"/>
  <c r="F46" i="6"/>
  <c r="F45" i="6"/>
  <c r="F44" i="6"/>
  <c r="F43" i="6"/>
  <c r="F42" i="6"/>
  <c r="E46" i="6"/>
  <c r="E45" i="6"/>
  <c r="E44" i="6"/>
  <c r="E43" i="6"/>
  <c r="E42" i="6"/>
  <c r="G33" i="6"/>
  <c r="G32" i="6"/>
  <c r="G31" i="6"/>
  <c r="G28" i="6"/>
  <c r="G27" i="6"/>
  <c r="G26" i="6"/>
  <c r="G23" i="6"/>
  <c r="G22" i="6"/>
  <c r="G21" i="6"/>
  <c r="G15" i="6"/>
  <c r="G14" i="6"/>
  <c r="G11" i="6"/>
  <c r="G10" i="6"/>
  <c r="G6" i="6"/>
  <c r="G7" i="6"/>
  <c r="G5" i="6"/>
  <c r="I33" i="6"/>
  <c r="I32" i="6"/>
  <c r="I31" i="6"/>
  <c r="H33" i="6"/>
  <c r="H32" i="6"/>
  <c r="H31" i="6"/>
  <c r="I28" i="6"/>
  <c r="I27" i="6"/>
  <c r="I26" i="6"/>
  <c r="I23" i="6"/>
  <c r="I22" i="6"/>
  <c r="I21" i="6"/>
  <c r="H28" i="6"/>
  <c r="H27" i="6"/>
  <c r="H26" i="6"/>
  <c r="H23" i="6"/>
  <c r="H22" i="6"/>
  <c r="H21" i="6"/>
  <c r="F35" i="6"/>
  <c r="E35" i="6"/>
  <c r="F17" i="6"/>
  <c r="E17" i="6"/>
  <c r="I15" i="6"/>
  <c r="H15" i="6"/>
  <c r="I14" i="6"/>
  <c r="H14" i="6"/>
  <c r="I11" i="6"/>
  <c r="H11" i="6"/>
  <c r="I10" i="6"/>
  <c r="H10" i="6"/>
  <c r="H7" i="6"/>
  <c r="H6" i="6"/>
  <c r="H5" i="6"/>
  <c r="I7" i="6"/>
  <c r="I6" i="6"/>
  <c r="I5" i="6"/>
  <c r="AL15" i="5"/>
  <c r="AL12" i="5"/>
  <c r="AL9" i="5"/>
  <c r="AL6" i="5"/>
  <c r="AK9" i="5"/>
  <c r="AK6" i="5"/>
  <c r="AG18" i="5"/>
  <c r="AG17" i="5"/>
  <c r="AG16" i="5"/>
  <c r="AG9" i="5"/>
  <c r="AG8" i="5"/>
  <c r="AG7" i="5"/>
  <c r="AG6" i="5"/>
  <c r="AE18" i="5"/>
  <c r="AE17" i="5"/>
  <c r="AE16" i="5"/>
  <c r="AE15" i="5"/>
  <c r="AE14" i="5"/>
  <c r="AE10" i="5"/>
  <c r="AE8" i="5"/>
  <c r="AE6" i="5"/>
  <c r="AE7" i="5"/>
  <c r="AA7" i="5"/>
  <c r="U18" i="5"/>
  <c r="U17" i="5"/>
  <c r="AA8" i="5" s="1"/>
  <c r="U16" i="5"/>
  <c r="U15" i="5"/>
  <c r="U14" i="5"/>
  <c r="U9" i="5"/>
  <c r="U8" i="5"/>
  <c r="U7" i="5"/>
  <c r="U6" i="5"/>
  <c r="J39" i="5"/>
  <c r="I39" i="5"/>
  <c r="P83" i="5"/>
  <c r="O83" i="5"/>
  <c r="M83" i="5"/>
  <c r="L83" i="5"/>
  <c r="J83" i="5"/>
  <c r="I83" i="5"/>
  <c r="P74" i="5"/>
  <c r="O74" i="5"/>
  <c r="M74" i="5"/>
  <c r="L74" i="5"/>
  <c r="J74" i="5"/>
  <c r="I74" i="5"/>
  <c r="P61" i="5"/>
  <c r="O61" i="5"/>
  <c r="M61" i="5"/>
  <c r="L61" i="5"/>
  <c r="J61" i="5"/>
  <c r="I61" i="5"/>
  <c r="P52" i="5"/>
  <c r="O52" i="5"/>
  <c r="M52" i="5"/>
  <c r="L52" i="5"/>
  <c r="J52" i="5"/>
  <c r="I52" i="5"/>
  <c r="P30" i="5"/>
  <c r="O30" i="5"/>
  <c r="M30" i="5"/>
  <c r="L30" i="5"/>
  <c r="J30" i="5"/>
  <c r="I30" i="5"/>
  <c r="P21" i="5"/>
  <c r="O21" i="5"/>
  <c r="M21" i="5"/>
  <c r="L21" i="5"/>
  <c r="J21" i="5"/>
  <c r="I21" i="5"/>
  <c r="P12" i="5"/>
  <c r="O12" i="5"/>
  <c r="M12" i="5"/>
  <c r="L12" i="5"/>
  <c r="J12" i="5"/>
  <c r="I12" i="5"/>
  <c r="G14" i="5"/>
  <c r="G13" i="5"/>
  <c r="G6" i="5"/>
  <c r="G10" i="5" s="1"/>
  <c r="E15" i="5"/>
  <c r="E14" i="5"/>
  <c r="E12" i="5"/>
  <c r="E11" i="5"/>
  <c r="E10" i="5"/>
  <c r="E7" i="5"/>
  <c r="E6" i="5"/>
  <c r="AK15" i="4"/>
  <c r="AK12" i="4"/>
  <c r="AL15" i="4"/>
  <c r="AK15" i="5" s="1"/>
  <c r="AL9" i="4"/>
  <c r="AL6" i="4"/>
  <c r="AA5" i="4"/>
  <c r="AA6" i="4"/>
  <c r="AA8" i="4"/>
  <c r="AA9" i="4"/>
  <c r="AA12" i="4" s="1"/>
  <c r="AE15" i="4"/>
  <c r="AE14" i="4"/>
  <c r="AE13" i="4"/>
  <c r="AE12" i="4"/>
  <c r="AE17" i="4" s="1"/>
  <c r="AE8" i="4"/>
  <c r="AE7" i="4"/>
  <c r="AE6" i="4"/>
  <c r="AG15" i="4"/>
  <c r="AG14" i="4"/>
  <c r="AG6" i="4"/>
  <c r="AG9" i="4"/>
  <c r="AG8" i="4"/>
  <c r="AG7" i="4"/>
  <c r="AA11" i="4"/>
  <c r="AA7" i="4"/>
  <c r="U16" i="4"/>
  <c r="U13" i="4"/>
  <c r="U14" i="4"/>
  <c r="U15" i="4"/>
  <c r="U12" i="4"/>
  <c r="U7" i="4"/>
  <c r="U6" i="4"/>
  <c r="P74" i="4"/>
  <c r="O74" i="4"/>
  <c r="M74" i="4"/>
  <c r="L74" i="4"/>
  <c r="J74" i="4"/>
  <c r="I74" i="4"/>
  <c r="P65" i="4"/>
  <c r="O65" i="4"/>
  <c r="M65" i="4"/>
  <c r="L65" i="4"/>
  <c r="J65" i="4"/>
  <c r="I65" i="4"/>
  <c r="P52" i="4"/>
  <c r="O52" i="4"/>
  <c r="M52" i="4"/>
  <c r="L52" i="4"/>
  <c r="J52" i="4"/>
  <c r="I52" i="4"/>
  <c r="P43" i="4"/>
  <c r="O43" i="4"/>
  <c r="M43" i="4"/>
  <c r="L43" i="4"/>
  <c r="J43" i="4"/>
  <c r="I43" i="4"/>
  <c r="P30" i="4"/>
  <c r="O30" i="4"/>
  <c r="M30" i="4"/>
  <c r="L30" i="4"/>
  <c r="J30" i="4"/>
  <c r="I30" i="4"/>
  <c r="P21" i="4"/>
  <c r="O21" i="4"/>
  <c r="M21" i="4"/>
  <c r="L21" i="4"/>
  <c r="J21" i="4"/>
  <c r="I21" i="4"/>
  <c r="P12" i="4"/>
  <c r="O12" i="4"/>
  <c r="M12" i="4"/>
  <c r="L12" i="4"/>
  <c r="J12" i="4"/>
  <c r="I12" i="4"/>
  <c r="E10" i="4"/>
  <c r="U6" i="1"/>
  <c r="O6" i="1"/>
  <c r="O7" i="1"/>
  <c r="O12" i="1"/>
  <c r="O13" i="1"/>
  <c r="O14" i="1"/>
  <c r="O15" i="1"/>
  <c r="J74" i="1"/>
  <c r="I74" i="1"/>
  <c r="G74" i="1"/>
  <c r="F74" i="1"/>
  <c r="D74" i="1"/>
  <c r="C74" i="1"/>
  <c r="J65" i="1"/>
  <c r="I65" i="1"/>
  <c r="G65" i="1"/>
  <c r="F65" i="1"/>
  <c r="D65" i="1"/>
  <c r="C65" i="1"/>
  <c r="G13" i="4" s="1"/>
  <c r="G16" i="4" s="1"/>
  <c r="J52" i="1"/>
  <c r="I52" i="1"/>
  <c r="G52" i="1"/>
  <c r="F52" i="1"/>
  <c r="D52" i="1"/>
  <c r="C52" i="1"/>
  <c r="G6" i="4" s="1"/>
  <c r="J43" i="1"/>
  <c r="I43" i="1"/>
  <c r="U8" i="1" s="1"/>
  <c r="G43" i="1"/>
  <c r="F43" i="1"/>
  <c r="U7" i="1" s="1"/>
  <c r="D43" i="1"/>
  <c r="C43" i="1"/>
  <c r="G7" i="4" s="1"/>
  <c r="J30" i="1"/>
  <c r="I30" i="1"/>
  <c r="G30" i="1"/>
  <c r="F30" i="1"/>
  <c r="D30" i="1"/>
  <c r="C30" i="1"/>
  <c r="E11" i="4" s="1"/>
  <c r="J21" i="1"/>
  <c r="S14" i="1" s="1"/>
  <c r="I21" i="1"/>
  <c r="G21" i="1"/>
  <c r="F21" i="1"/>
  <c r="S13" i="1" s="1"/>
  <c r="D21" i="1"/>
  <c r="C21" i="1"/>
  <c r="E8" i="4" s="1"/>
  <c r="J12" i="1"/>
  <c r="I12" i="1"/>
  <c r="S8" i="1" s="1"/>
  <c r="G12" i="1"/>
  <c r="F12" i="1"/>
  <c r="S7" i="1" s="1"/>
  <c r="C12" i="1"/>
  <c r="D12" i="1"/>
  <c r="BI32" i="13" l="1"/>
  <c r="BQ27" i="13" s="1"/>
  <c r="BS27" i="13" s="1"/>
  <c r="BS31" i="13" s="1"/>
  <c r="BQ34" i="13" s="1"/>
  <c r="BQ35" i="13"/>
  <c r="BS35" i="13" s="1"/>
  <c r="BQ16" i="13"/>
  <c r="BS16" i="13" s="1"/>
  <c r="BS12" i="13"/>
  <c r="BQ15" i="13" s="1"/>
  <c r="Z22" i="8"/>
  <c r="AC22" i="8"/>
  <c r="S17" i="1"/>
  <c r="S15" i="1"/>
  <c r="E9" i="4"/>
  <c r="U9" i="1"/>
  <c r="U14" i="1"/>
  <c r="U16" i="1" s="1"/>
  <c r="U10" i="1"/>
  <c r="G8" i="4"/>
  <c r="S12" i="1"/>
  <c r="E7" i="4"/>
  <c r="O17" i="1"/>
  <c r="Q3" i="9"/>
  <c r="EA26" i="9"/>
  <c r="DZ26" i="9"/>
  <c r="DY14" i="9"/>
  <c r="DX15" i="9"/>
  <c r="DX16" i="9" s="1"/>
  <c r="DX17" i="9" s="1"/>
  <c r="DX18" i="9" s="1"/>
  <c r="DX19" i="9" s="1"/>
  <c r="DX20" i="9" s="1"/>
  <c r="DX21" i="9" s="1"/>
  <c r="DX22" i="9" s="1"/>
  <c r="DX23" i="9" s="1"/>
  <c r="DX24" i="9" s="1"/>
  <c r="DX25" i="9" s="1"/>
  <c r="EB17" i="9"/>
  <c r="EB25" i="9"/>
  <c r="EB22" i="9"/>
  <c r="EB21" i="9"/>
  <c r="EB19" i="9"/>
  <c r="EB20" i="9"/>
  <c r="EB16" i="9"/>
  <c r="EB24" i="9"/>
  <c r="EB15" i="9"/>
  <c r="EB23" i="9"/>
  <c r="EB18" i="9"/>
  <c r="EB14" i="9"/>
  <c r="EC14" i="9" s="1"/>
  <c r="H37" i="7"/>
  <c r="H41" i="7" s="1"/>
  <c r="I37" i="7"/>
  <c r="I41" i="7" s="1"/>
  <c r="M36" i="7"/>
  <c r="G41" i="7"/>
  <c r="M37" i="7"/>
  <c r="G38" i="7"/>
  <c r="H38" i="7" s="1"/>
  <c r="I38" i="7" s="1"/>
  <c r="J38" i="7" s="1"/>
  <c r="K38" i="7" s="1"/>
  <c r="L38" i="7" s="1"/>
  <c r="J4" i="7"/>
  <c r="F21" i="7"/>
  <c r="H17" i="6"/>
  <c r="I17" i="6"/>
  <c r="H35" i="6"/>
  <c r="I35" i="6"/>
  <c r="AE20" i="5"/>
  <c r="AE12" i="5"/>
  <c r="AG11" i="5"/>
  <c r="AG20" i="5"/>
  <c r="U11" i="5"/>
  <c r="AA14" i="5"/>
  <c r="U20" i="5"/>
  <c r="G16" i="5"/>
  <c r="G17" i="5" s="1"/>
  <c r="E17" i="5"/>
  <c r="AA13" i="4"/>
  <c r="AG16" i="4"/>
  <c r="AG10" i="4"/>
  <c r="AG19" i="4" s="1"/>
  <c r="AE10" i="4"/>
  <c r="AE19" i="4" s="1"/>
  <c r="U17" i="4"/>
  <c r="U9" i="4"/>
  <c r="U19" i="4" s="1"/>
  <c r="G10" i="4"/>
  <c r="G19" i="4" s="1"/>
  <c r="O9" i="1"/>
  <c r="O19" i="1" s="1"/>
  <c r="BR15" i="13" l="1"/>
  <c r="BS15" i="13"/>
  <c r="BS34" i="13"/>
  <c r="BR34" i="13"/>
  <c r="U19" i="1"/>
  <c r="S6" i="1"/>
  <c r="S10" i="1" s="1"/>
  <c r="Z6" i="1" s="1"/>
  <c r="AK6" i="4" s="1"/>
  <c r="E6" i="4"/>
  <c r="E17" i="4" s="1"/>
  <c r="E19" i="4" s="1"/>
  <c r="G17" i="4"/>
  <c r="Q2" i="9"/>
  <c r="DY15" i="9"/>
  <c r="EC15" i="9"/>
  <c r="G42" i="7"/>
  <c r="H42" i="7" s="1"/>
  <c r="I42" i="7" s="1"/>
  <c r="J42" i="7" s="1"/>
  <c r="K42" i="7" s="1"/>
  <c r="L42" i="7" s="1"/>
  <c r="M41" i="7"/>
  <c r="E64" i="7" s="1"/>
  <c r="AE22" i="5"/>
  <c r="AG22" i="5"/>
  <c r="U22" i="5"/>
  <c r="S19" i="1" l="1"/>
  <c r="DY16" i="9"/>
  <c r="EC16" i="9"/>
  <c r="AL12" i="4" l="1"/>
  <c r="AK12" i="5" s="1"/>
  <c r="Z9" i="1"/>
  <c r="AK9" i="4" s="1"/>
  <c r="DY17" i="9"/>
  <c r="EC17" i="9"/>
  <c r="DY18" i="9" l="1"/>
  <c r="EC18" i="9"/>
  <c r="DY19" i="9" l="1"/>
  <c r="EC19" i="9"/>
  <c r="DY20" i="9" l="1"/>
  <c r="EC20" i="9"/>
  <c r="DY21" i="9" l="1"/>
  <c r="EC21" i="9"/>
  <c r="DY22" i="9" l="1"/>
  <c r="EC22" i="9"/>
  <c r="DY23" i="9" l="1"/>
  <c r="EC23" i="9"/>
  <c r="DY24" i="9" l="1"/>
  <c r="EC24" i="9"/>
  <c r="DY25" i="9" l="1"/>
  <c r="EC25" i="9"/>
  <c r="AE22" i="8"/>
  <c r="BS19" i="8"/>
</calcChain>
</file>

<file path=xl/sharedStrings.xml><?xml version="1.0" encoding="utf-8"?>
<sst xmlns="http://schemas.openxmlformats.org/spreadsheetml/2006/main" count="1296" uniqueCount="665">
  <si>
    <t>Desarrollo del Libro Mayor (Cuentas T)</t>
  </si>
  <si>
    <t>Caja</t>
  </si>
  <si>
    <t>Clientes</t>
  </si>
  <si>
    <t>Inv. Prod. Term.</t>
  </si>
  <si>
    <t>Terreno</t>
  </si>
  <si>
    <t>Edificio</t>
  </si>
  <si>
    <t>Mobiliario</t>
  </si>
  <si>
    <t>Activos Intangibles</t>
  </si>
  <si>
    <t>Proveedores</t>
  </si>
  <si>
    <t>Prest. Bancario</t>
  </si>
  <si>
    <t>Intereses por Pagar</t>
  </si>
  <si>
    <t>Deudas por pagar</t>
  </si>
  <si>
    <t>Ingresos</t>
  </si>
  <si>
    <t>Préstamos bancarios</t>
  </si>
  <si>
    <t>Total</t>
  </si>
  <si>
    <t>+</t>
  </si>
  <si>
    <t>A. INGRESOS</t>
  </si>
  <si>
    <t>B. EGRESOS</t>
  </si>
  <si>
    <t>Gastos de Operación</t>
  </si>
  <si>
    <t>Pago de inmueble</t>
  </si>
  <si>
    <t>Pago de proveedores</t>
  </si>
  <si>
    <t>Compra de muebles</t>
  </si>
  <si>
    <t>ACTIVOS - CASO 1 (Ref. Tabla 3)</t>
  </si>
  <si>
    <t>PASIVOS - CASO 1 (Ref. Tabla 4)</t>
  </si>
  <si>
    <t>PATRIMONIO - CASO 1 (Ref. Tabla 5)</t>
  </si>
  <si>
    <t>Cuenta saldo de caja (1) - (2)</t>
  </si>
  <si>
    <t>Total (1)</t>
  </si>
  <si>
    <t>Total (2)</t>
  </si>
  <si>
    <t>Presupuesto de Caja</t>
  </si>
  <si>
    <t>(Referencia Tabla 6)</t>
  </si>
  <si>
    <t>(Referencia Tabla 7)</t>
  </si>
  <si>
    <t>Productos terminados</t>
  </si>
  <si>
    <t>ACTIVOS</t>
  </si>
  <si>
    <t>Préstamo bancario</t>
  </si>
  <si>
    <t>Interés por pagar</t>
  </si>
  <si>
    <t>PATRIMONIO</t>
  </si>
  <si>
    <t>Capital Social</t>
  </si>
  <si>
    <t>PASIVOS</t>
  </si>
  <si>
    <t>Evaluacion de Resultados</t>
  </si>
  <si>
    <t>Balance de Apertura Final</t>
  </si>
  <si>
    <t>(Referencia Tabla 8)</t>
  </si>
  <si>
    <t>Liquidez Riesgo Financiero C/P</t>
  </si>
  <si>
    <t>(Act. Corriente / Pas Corriente)</t>
  </si>
  <si>
    <t>Recomendable</t>
  </si>
  <si>
    <t>Estabilidad: Solidez</t>
  </si>
  <si>
    <t>(Patrimonio / Activo Total)</t>
  </si>
  <si>
    <t>Incrementos de Activos</t>
  </si>
  <si>
    <t>&gt;=  5 %</t>
  </si>
  <si>
    <t>&gt;=  45 %</t>
  </si>
  <si>
    <t>&gt;=  20 %</t>
  </si>
  <si>
    <t>-</t>
  </si>
  <si>
    <t>Rentabilidad de Capital</t>
  </si>
  <si>
    <t>(Utilidad Neta / Capital Social)</t>
  </si>
  <si>
    <t>&gt;=  10 %</t>
  </si>
  <si>
    <t>(Referencia Tabla 11)</t>
  </si>
  <si>
    <t>Balance de Apertura 31/12/1969</t>
  </si>
  <si>
    <t>Muebles</t>
  </si>
  <si>
    <t>Intangible</t>
  </si>
  <si>
    <t>Deuda SR. Guzmán</t>
  </si>
  <si>
    <t>Proveedor Casa Alemana</t>
  </si>
  <si>
    <t>Aporte Sr. Del Solar US$ 15,000</t>
  </si>
  <si>
    <t>Aporte Sr. Bosch US$ 15,000</t>
  </si>
  <si>
    <t>Utilidades por distribuir</t>
  </si>
  <si>
    <t>PATRIMONIO - CASO 2 (Ref. Tabla 14)</t>
  </si>
  <si>
    <t>PASIVOS - CASO 2 (Ref. Tabla 13)</t>
  </si>
  <si>
    <t>ACTIVOS - CASO 2 (Ref. Tabla 12)</t>
  </si>
  <si>
    <t>(Referencia Tabla 15)</t>
  </si>
  <si>
    <t>Cobranza por ventas</t>
  </si>
  <si>
    <t>Gastos admin + comerc.</t>
  </si>
  <si>
    <t>Pago deuda de inmueble</t>
  </si>
  <si>
    <t>Cancelación de préstamo</t>
  </si>
  <si>
    <t>Pago de ineteres de préstamo</t>
  </si>
  <si>
    <t>Estado de Ganancias y Pérdidas</t>
  </si>
  <si>
    <t>(Referencia Tabla 16)</t>
  </si>
  <si>
    <t>Ventas netas</t>
  </si>
  <si>
    <t>Costo de ventas</t>
  </si>
  <si>
    <t>Utilidad bruta</t>
  </si>
  <si>
    <t>Utilidad Bruta(1)</t>
  </si>
  <si>
    <t>Gastos adm + comerc</t>
  </si>
  <si>
    <t>Gastos financieros</t>
  </si>
  <si>
    <t>Depreciación</t>
  </si>
  <si>
    <t>Amortización de Intangibles</t>
  </si>
  <si>
    <t>Total de gastos operativos (2)</t>
  </si>
  <si>
    <t>Utilidad Neta</t>
  </si>
  <si>
    <t>Balance Final al 31 de diciembre de 1970</t>
  </si>
  <si>
    <t>(Referencia Tabla 17)</t>
  </si>
  <si>
    <t>Utilidad Retenida</t>
  </si>
  <si>
    <t>(Activos 2 - Activos 1)/Activos 1</t>
  </si>
  <si>
    <t>Balance de Apertura 31/12/1970</t>
  </si>
  <si>
    <t>(Referencia Tabla 19)</t>
  </si>
  <si>
    <t>Materia prima</t>
  </si>
  <si>
    <t>Productos en proceso</t>
  </si>
  <si>
    <t>Maquinaria</t>
  </si>
  <si>
    <t>Activos intangibles</t>
  </si>
  <si>
    <t>Utilidad retenida</t>
  </si>
  <si>
    <t>ACTIVOS - CASO 3 (Ref. Tabla 20)</t>
  </si>
  <si>
    <t>PASIVOS - CASO 3 (Ref. Tabla 21)</t>
  </si>
  <si>
    <t>PATRIMONIO - CASO 3 (Ref. Tabla 22)</t>
  </si>
  <si>
    <t>Utilidad por distribuir</t>
  </si>
  <si>
    <t>Ventas al contado</t>
  </si>
  <si>
    <t>Cobranza de ventas</t>
  </si>
  <si>
    <t>Pago al contado</t>
  </si>
  <si>
    <t>Mano de obra</t>
  </si>
  <si>
    <t>Gastos administrativos</t>
  </si>
  <si>
    <t>Gastos de comercialización</t>
  </si>
  <si>
    <t>(Referencia Tabla 23)</t>
  </si>
  <si>
    <t>(Referencia Tabla 24)</t>
  </si>
  <si>
    <t>Gastos comerciales</t>
  </si>
  <si>
    <t>(Referencia Tabla 25)</t>
  </si>
  <si>
    <t>Utilidad retenida (1970)</t>
  </si>
  <si>
    <t>Utilidad retenida (1971)</t>
  </si>
  <si>
    <t>(Referencia Tabla 26)</t>
  </si>
  <si>
    <t>Caja - Banco</t>
  </si>
  <si>
    <t>Cuentas por cobrar</t>
  </si>
  <si>
    <t>Existencias</t>
  </si>
  <si>
    <t>Fuente</t>
  </si>
  <si>
    <t>BALANCE 1976</t>
  </si>
  <si>
    <t>BALANCE 1977</t>
  </si>
  <si>
    <t>FUENTE</t>
  </si>
  <si>
    <t>APLICACIÓN</t>
  </si>
  <si>
    <t>Activo Corriente</t>
  </si>
  <si>
    <t>Activo Fijo</t>
  </si>
  <si>
    <t>Inmuebles</t>
  </si>
  <si>
    <t>Maquinarias</t>
  </si>
  <si>
    <t>Activo Intangible</t>
  </si>
  <si>
    <t>Cargas diferidas</t>
  </si>
  <si>
    <t>Inversiones en valores</t>
  </si>
  <si>
    <t>TOTAL ACTIVOS</t>
  </si>
  <si>
    <t>PASIVO Y CAPITAL</t>
  </si>
  <si>
    <t>Pasivo Corriente</t>
  </si>
  <si>
    <t>Caja - Banco (Sobregiro)</t>
  </si>
  <si>
    <t>Pasivo no Corriente</t>
  </si>
  <si>
    <t>Patrimonio</t>
  </si>
  <si>
    <t>Cuentas por pagar (diversas)</t>
  </si>
  <si>
    <t>Tributos</t>
  </si>
  <si>
    <t>Prov. Indemn Beneficios Sociales</t>
  </si>
  <si>
    <t>Préstamos largo plazo</t>
  </si>
  <si>
    <t>Capital social</t>
  </si>
  <si>
    <t>Reservas legales</t>
  </si>
  <si>
    <t>Pérdidas acumuladas</t>
  </si>
  <si>
    <t>Variación</t>
  </si>
  <si>
    <t>Activo</t>
  </si>
  <si>
    <t>Pasivo</t>
  </si>
  <si>
    <t>Aplicación</t>
  </si>
  <si>
    <t>∆+</t>
  </si>
  <si>
    <t>∆-</t>
  </si>
  <si>
    <t>Recordar:</t>
  </si>
  <si>
    <t>Movimiento de Fondos</t>
  </si>
  <si>
    <t>US$</t>
  </si>
  <si>
    <t>%</t>
  </si>
  <si>
    <t>A. Aplicaciones</t>
  </si>
  <si>
    <t xml:space="preserve">     En Activo corriente</t>
  </si>
  <si>
    <t xml:space="preserve">     En Activo Intangible</t>
  </si>
  <si>
    <t xml:space="preserve">     Pago de tributos y préstamo de largo plazo</t>
  </si>
  <si>
    <t xml:space="preserve">     En pérdidas acumuladas</t>
  </si>
  <si>
    <t xml:space="preserve">     Depreciaciones Activos fijos</t>
  </si>
  <si>
    <t>En deudas a corto plazo</t>
  </si>
  <si>
    <t>En indemnización</t>
  </si>
  <si>
    <t>MOVIMIENTO DE FONDOS</t>
  </si>
  <si>
    <t>Mes</t>
  </si>
  <si>
    <t>Ventas (Unidades)</t>
  </si>
  <si>
    <t>Ingresos (US$)</t>
  </si>
  <si>
    <t>Enero</t>
  </si>
  <si>
    <t>Febrero</t>
  </si>
  <si>
    <t>Marzo</t>
  </si>
  <si>
    <t>Abril</t>
  </si>
  <si>
    <t>Mayo</t>
  </si>
  <si>
    <t>Junio</t>
  </si>
  <si>
    <t>Plan de Ventas (Ref. Tabla 33)</t>
  </si>
  <si>
    <t>Compras (Unidades)</t>
  </si>
  <si>
    <t>Egresos (US$)</t>
  </si>
  <si>
    <t>Plan de comprar (Ref. Tabla 34)</t>
  </si>
  <si>
    <t>Concepto</t>
  </si>
  <si>
    <t xml:space="preserve">     Contado (40%)</t>
  </si>
  <si>
    <t xml:space="preserve">     Crédito a 30 días (30%)</t>
  </si>
  <si>
    <t xml:space="preserve">     Crédito a 60 días (30%)</t>
  </si>
  <si>
    <t>TOTAL (1)</t>
  </si>
  <si>
    <t>Egresos</t>
  </si>
  <si>
    <t xml:space="preserve">     Compra de mercaderia</t>
  </si>
  <si>
    <t xml:space="preserve">     Sueldo de personal</t>
  </si>
  <si>
    <t xml:space="preserve">     Impuestos (dos armadas)</t>
  </si>
  <si>
    <t>TOTAL (2)</t>
  </si>
  <si>
    <t>Flujo de caja (1) - (2)</t>
  </si>
  <si>
    <t>Nuevo Flujo de caja</t>
  </si>
  <si>
    <t>Nuevo Saldo de Caja</t>
  </si>
  <si>
    <t xml:space="preserve">     Saldo de caja acumulado</t>
  </si>
  <si>
    <t xml:space="preserve">     Préstamo a corto plazo (+)</t>
  </si>
  <si>
    <t xml:space="preserve">     Amortización de préstamo (-)</t>
  </si>
  <si>
    <t>PRONOSTICO DE CAJA (Ref. Tabla 35)</t>
  </si>
  <si>
    <t>Ventas Netas</t>
  </si>
  <si>
    <t>Costo de Mercaderia</t>
  </si>
  <si>
    <t>Gastos en personal</t>
  </si>
  <si>
    <t>Utilidad antes de impuestos</t>
  </si>
  <si>
    <t>Impuesto (30%)</t>
  </si>
  <si>
    <t>Estado de Ganancias y Pérdidas (Ref. Tabla 36)</t>
  </si>
  <si>
    <t>Balance General</t>
  </si>
  <si>
    <t>(Referencia Tabla 37)</t>
  </si>
  <si>
    <t>Activo corriente</t>
  </si>
  <si>
    <t>Efectivo (Caja)</t>
  </si>
  <si>
    <t>Inventario</t>
  </si>
  <si>
    <t>TOTAL</t>
  </si>
  <si>
    <t>Fábrica y equipo (neto)</t>
  </si>
  <si>
    <t>Otro activo</t>
  </si>
  <si>
    <t>TOTAL ACTIVO</t>
  </si>
  <si>
    <t>PASIVOS Y CAPITALES</t>
  </si>
  <si>
    <t>Pasivo corriente</t>
  </si>
  <si>
    <t>Cuentas por pagar - comerciales</t>
  </si>
  <si>
    <t>Reserva para impuestos*</t>
  </si>
  <si>
    <t>Acumulaciones varias</t>
  </si>
  <si>
    <t>Hipoteca de plazos corrientes</t>
  </si>
  <si>
    <t>TOTAL PASIVO CORRIENTE</t>
  </si>
  <si>
    <t>Hipoteca por pagar</t>
  </si>
  <si>
    <t xml:space="preserve">Capital acciones comunes** </t>
  </si>
  <si>
    <t>Superávit ganado</t>
  </si>
  <si>
    <t>TOTAL PASIVO Y CAPITAL</t>
  </si>
  <si>
    <t>ESTADO 1</t>
  </si>
  <si>
    <t xml:space="preserve">POWER MOWERS INC </t>
  </si>
  <si>
    <t>BALANCES GENERALES AL 31 DE DICIEMBRE 1954 A 1956</t>
  </si>
  <si>
    <t>(Miles de US$)</t>
  </si>
  <si>
    <t>* Reserva para Impuestos federales sobre utilidades.</t>
  </si>
  <si>
    <t>** Capital de acciones comunes: 500 acciones $ 12.00 valor nominal.</t>
  </si>
  <si>
    <t>GESTIÓN FINANCIERA INDUSTRIAL</t>
  </si>
  <si>
    <t>Julio</t>
  </si>
  <si>
    <t>Agosto</t>
  </si>
  <si>
    <t>Setiembre</t>
  </si>
  <si>
    <t>Octubre</t>
  </si>
  <si>
    <t>Noviembre</t>
  </si>
  <si>
    <t>Diciembre</t>
  </si>
  <si>
    <t>Dato 2</t>
  </si>
  <si>
    <t>Dato 1</t>
  </si>
  <si>
    <t>Ingreso</t>
  </si>
  <si>
    <t>Diferencia</t>
  </si>
  <si>
    <t>Flujo Neto</t>
  </si>
  <si>
    <t>Ultimo mes</t>
  </si>
  <si>
    <t>Ultimo año</t>
  </si>
  <si>
    <t>Var</t>
  </si>
  <si>
    <t>CASO DE ESTUDIO 2</t>
  </si>
  <si>
    <t>CASO DE ESTUDIO 1</t>
  </si>
  <si>
    <t>CASO DE ESTUDIO 3</t>
  </si>
  <si>
    <t>CASO DE ESTUDIO 4</t>
  </si>
  <si>
    <t>CASO DE ESTUDIO 5</t>
  </si>
  <si>
    <t>CASO DE ESTUDIO 6</t>
  </si>
  <si>
    <t>ESTADO 2</t>
  </si>
  <si>
    <t>Estado de Ganancias y Pérdidas (De 1954 a 1956)</t>
  </si>
  <si>
    <t>Gastos de operación</t>
  </si>
  <si>
    <t>Utilidad antes de Impuestos</t>
  </si>
  <si>
    <t>Impuestos Federales sobre Utilidades</t>
  </si>
  <si>
    <t>Utilidades Netas</t>
  </si>
  <si>
    <t>Dividendos a Acciones comunes</t>
  </si>
  <si>
    <t>Utilidades retenidas</t>
  </si>
  <si>
    <t>ESTADO 3</t>
  </si>
  <si>
    <t>Ventas mensuales estimadas y saldos de cuentas por cobrar 1957</t>
  </si>
  <si>
    <t>Ref. Tabla 38</t>
  </si>
  <si>
    <t>Meses</t>
  </si>
  <si>
    <t>Venta Neta</t>
  </si>
  <si>
    <t>Cta. por cobrar    fin de mes</t>
  </si>
  <si>
    <t>ESTADO 3 (Reformulado)</t>
  </si>
  <si>
    <t>Ref. Tabla 39</t>
  </si>
  <si>
    <t>Cta. a cobrar (Mes anterior)</t>
  </si>
  <si>
    <t>Ingresos por ventas</t>
  </si>
  <si>
    <t>Balance de Apertura</t>
  </si>
  <si>
    <t>Costo de ventas (*)</t>
  </si>
  <si>
    <t>(*) Incluye depreciación por método directo</t>
  </si>
  <si>
    <t>US$ 355 en 1954</t>
  </si>
  <si>
    <t>US$ 370 en 1955</t>
  </si>
  <si>
    <t>US$ 470 en 1956</t>
  </si>
  <si>
    <t>Ref. Tabla 40</t>
  </si>
  <si>
    <t>Ref. Tabla 41</t>
  </si>
  <si>
    <t>(Referencia Tabla 42)</t>
  </si>
  <si>
    <t>Efectivo</t>
  </si>
  <si>
    <t>Cuentas por Cobrar</t>
  </si>
  <si>
    <t>Cuentas por pagar</t>
  </si>
  <si>
    <t>Reserva para impuestos</t>
  </si>
  <si>
    <t>Hipotecas a plazos</t>
  </si>
  <si>
    <t>Total del pasivo corriente</t>
  </si>
  <si>
    <t>Total de activo corriente</t>
  </si>
  <si>
    <t>Capital en acciones comunes</t>
  </si>
  <si>
    <t>Superavit ganado</t>
  </si>
  <si>
    <t>Fabrica y Equipos</t>
  </si>
  <si>
    <t>Otros Activos</t>
  </si>
  <si>
    <t>Total Activos</t>
  </si>
  <si>
    <t>Total Pasivo + Capital</t>
  </si>
  <si>
    <t>ACTIVOS - CASO 6 (Ref. Tabla 43)</t>
  </si>
  <si>
    <t>Fabrica y Equipo</t>
  </si>
  <si>
    <t>Intereses por pagar</t>
  </si>
  <si>
    <t>PASIVOS - CASO 6 (Ref. Tabla 44)</t>
  </si>
  <si>
    <t>Reserva Impuestos</t>
  </si>
  <si>
    <t>Hipoteca plazo cte</t>
  </si>
  <si>
    <t>PATRIMONIO - CASO 6 (Ref. Tabla 45)</t>
  </si>
  <si>
    <t>Capital en acciones</t>
  </si>
  <si>
    <t>Descripción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</si>
  <si>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</si>
  <si>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</si>
  <si>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</si>
  <si>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</si>
  <si>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</si>
  <si>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</si>
  <si>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</si>
  <si>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</si>
  <si>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</si>
  <si>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</si>
  <si>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</si>
  <si>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</si>
  <si>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1. INGRESOS</t>
  </si>
  <si>
    <t>Cuentas por Cobrar Inicial</t>
  </si>
  <si>
    <t>Ventas</t>
  </si>
  <si>
    <t>Cuentas por Cobrar Final</t>
  </si>
  <si>
    <t>Total Ingresos</t>
  </si>
  <si>
    <t>2.EGRESOS</t>
  </si>
  <si>
    <t>Comprar de Equipo</t>
  </si>
  <si>
    <t>Compra de Materia Prima</t>
  </si>
  <si>
    <t>Gastos de Fabricación</t>
  </si>
  <si>
    <t>Pago Impuestos 1956</t>
  </si>
  <si>
    <t>Pago Impuestos 1957</t>
  </si>
  <si>
    <t>Otras Erogaciones por Equipo</t>
  </si>
  <si>
    <t>Amortización de Hipoteca</t>
  </si>
  <si>
    <t>Pago de Interes por Hipoteca</t>
  </si>
  <si>
    <t>Pago Dividendos</t>
  </si>
  <si>
    <t>Pago Préstamo Pendiente 1956</t>
  </si>
  <si>
    <t>Total Egresos</t>
  </si>
  <si>
    <t>3. FLUJO DE CAJA</t>
  </si>
  <si>
    <t>Caja Inicial</t>
  </si>
  <si>
    <t>4. SALDO CAJA (ACUM.)</t>
  </si>
  <si>
    <t>5. PRESTAMO CORTO PLAZO</t>
  </si>
  <si>
    <t>Saldo Deudor Préstamo</t>
  </si>
  <si>
    <t>6. Amortización Prestamo</t>
  </si>
  <si>
    <t>Nuevo Flujo de Caja</t>
  </si>
  <si>
    <t>7. NUEVO SALDO CAJA (ACUM.)</t>
  </si>
  <si>
    <t>(Referencia Tabla 46)</t>
  </si>
  <si>
    <t>Pronóstico de caja - Caso 6</t>
  </si>
  <si>
    <t>Saldo Inicial</t>
  </si>
  <si>
    <t>Cobranza ventas</t>
  </si>
  <si>
    <t>(Referencia Tabla 47)</t>
  </si>
  <si>
    <t>Equipo nuevo</t>
  </si>
  <si>
    <t>Compra de materia prima</t>
  </si>
  <si>
    <t>Gastos generales</t>
  </si>
  <si>
    <t>Pago de impuestos 1957</t>
  </si>
  <si>
    <t>Otras erogaciones</t>
  </si>
  <si>
    <t>Pago de intereses por hipoteca</t>
  </si>
  <si>
    <t>Pago de impuesto pendiente 1956</t>
  </si>
  <si>
    <t>Préstamo pendiente de pago</t>
  </si>
  <si>
    <t>Amortización de hipoteca</t>
  </si>
  <si>
    <t>Pago de dividendos</t>
  </si>
  <si>
    <t>Amortización de préstamo C/P</t>
  </si>
  <si>
    <t>Total ingresos</t>
  </si>
  <si>
    <t>Total egresos</t>
  </si>
  <si>
    <t>B. EGRESOS    (2)</t>
  </si>
  <si>
    <t>A. INGRESOS   (1)</t>
  </si>
  <si>
    <t>(1) Incluye caja inicial y préstamo bancario con plazos</t>
  </si>
  <si>
    <t>(2) Incluye amortización de préstamos con plazos</t>
  </si>
  <si>
    <t>Impuestos federales</t>
  </si>
  <si>
    <t>Utilidad Bruta</t>
  </si>
  <si>
    <t>Dividendos</t>
  </si>
  <si>
    <t>Utiliddes retenidas</t>
  </si>
  <si>
    <t>Incluye depreciación</t>
  </si>
  <si>
    <t>(Referencia Tabla 48)</t>
  </si>
  <si>
    <t>(Referencia Tabla 49)</t>
  </si>
  <si>
    <t>Hipoteca a plazos</t>
  </si>
  <si>
    <t>Capital</t>
  </si>
  <si>
    <t>Balance General al 31/12/1957</t>
  </si>
  <si>
    <t>Análisis de índices financieros - Caso 6</t>
  </si>
  <si>
    <t>Índice de Liquidez</t>
  </si>
  <si>
    <t>Criterio</t>
  </si>
  <si>
    <t>Liquidez común</t>
  </si>
  <si>
    <t>Liquidez ácida</t>
  </si>
  <si>
    <t>Inventario / Capital de trabajo</t>
  </si>
  <si>
    <t>Endeudamiento</t>
  </si>
  <si>
    <t>Solidez</t>
  </si>
  <si>
    <t>Riesgo financiero con plazo</t>
  </si>
  <si>
    <t>Inmovilización</t>
  </si>
  <si>
    <t>Índice de Actividad</t>
  </si>
  <si>
    <t>Índice de Solvencia</t>
  </si>
  <si>
    <t>Rotación de inventario</t>
  </si>
  <si>
    <t>Rotación de caja</t>
  </si>
  <si>
    <t>Índice de Rentabilidad</t>
  </si>
  <si>
    <t>Margen bruto</t>
  </si>
  <si>
    <t>Margen neto</t>
  </si>
  <si>
    <t>Productividad de activos</t>
  </si>
  <si>
    <t>Retorno de patrimonio</t>
  </si>
  <si>
    <t>MOVIMIENTO DE FONDOS (Ref. Tabla 51)</t>
  </si>
  <si>
    <t>BALANCE 1956</t>
  </si>
  <si>
    <t>BALANCE 1957</t>
  </si>
  <si>
    <t>Activos</t>
  </si>
  <si>
    <t>PASIVO</t>
  </si>
  <si>
    <t>CASO DE ESTUDIO 7</t>
  </si>
  <si>
    <t>Escenario 1 caso 7 (Ref. Tabla 52)</t>
  </si>
  <si>
    <t>Utilidad bruta antes de intereses e impuestos</t>
  </si>
  <si>
    <t>Intereses</t>
  </si>
  <si>
    <t>Impuestos</t>
  </si>
  <si>
    <t>Numero de acciones</t>
  </si>
  <si>
    <t>Utilidad por acción</t>
  </si>
  <si>
    <t>Financiamiento Emisión-Acción</t>
  </si>
  <si>
    <t>Financiamiento Deuda-Banco</t>
  </si>
  <si>
    <t>¿Cómo se comportaría el sistema, si la utilidad bruta es de US$ 4 000 000?</t>
  </si>
  <si>
    <t>Escenario 2 caso 7 (Ref. Tabla 53)</t>
  </si>
  <si>
    <t>¿Cómo se comportaría el sistema, si la utilidad bruta es de US$ 2 000 000?</t>
  </si>
  <si>
    <t>Escenario 3 caso 7 (Ref. Tabla 54)</t>
  </si>
  <si>
    <t>Escenario 1</t>
  </si>
  <si>
    <t>Escenario 2</t>
  </si>
  <si>
    <t>Escenario 3</t>
  </si>
  <si>
    <t>Utilidad (US$ Millones)</t>
  </si>
  <si>
    <t>Datos:</t>
  </si>
  <si>
    <t>Interés</t>
  </si>
  <si>
    <t>Valor de acción</t>
  </si>
  <si>
    <t>Impuesto sobre utilidad</t>
  </si>
  <si>
    <t>anual (Sistema financiero)</t>
  </si>
  <si>
    <t>anual</t>
  </si>
  <si>
    <t>Empresa "A"</t>
  </si>
  <si>
    <t>Empresa "B"</t>
  </si>
  <si>
    <t>Pasivo (25%)</t>
  </si>
  <si>
    <t>Activo Total</t>
  </si>
  <si>
    <t>Nivel de endeudamiento - Caso 8 (Ref. Tabla 55)</t>
  </si>
  <si>
    <t>Utilidades de interés e impuesto</t>
  </si>
  <si>
    <t>Interés del 25%</t>
  </si>
  <si>
    <t>Utilidades antes de impuestos</t>
  </si>
  <si>
    <t>Nivel de endeudamiento - Caso 8 (Ref. Tabla 56)</t>
  </si>
  <si>
    <t>Impuestos sobre utilidades (30%)</t>
  </si>
  <si>
    <t>Inversión (Descripción)</t>
  </si>
  <si>
    <t>Inversión intangible</t>
  </si>
  <si>
    <t>Inversión fija</t>
  </si>
  <si>
    <t>Inversión capital de trabajo</t>
  </si>
  <si>
    <t>Inversión total (US$)</t>
  </si>
  <si>
    <t>Estados financieros</t>
  </si>
  <si>
    <t>Accionistas recursos propios</t>
  </si>
  <si>
    <t>Bancos - préstamos</t>
  </si>
  <si>
    <t>Información financiamiento - Caso 9 (Ref. Tabla 57)</t>
  </si>
  <si>
    <t>Aplicación a Pequeñas Empresas Industriales</t>
  </si>
  <si>
    <t>Forma de pago - Caso 9 (Ref. Tabla 58)</t>
  </si>
  <si>
    <t>Año</t>
  </si>
  <si>
    <t>Interes     (10%)</t>
  </si>
  <si>
    <t>Cuota préstamo</t>
  </si>
  <si>
    <t>Amortización prinicpal</t>
  </si>
  <si>
    <t>Saldo principal</t>
  </si>
  <si>
    <t>Monto de préstamo (US$)</t>
  </si>
  <si>
    <t>Modalidad de créditos</t>
  </si>
  <si>
    <t>Tasa de interés (%)</t>
  </si>
  <si>
    <t>Plazos (años)</t>
  </si>
  <si>
    <t>Cuota (cálculo)</t>
  </si>
  <si>
    <t>Cuota fija</t>
  </si>
  <si>
    <t>Ref. Tabla 59</t>
  </si>
  <si>
    <t>Estado de Ganancias y Pérdidas (Sin financiamiento)</t>
  </si>
  <si>
    <t>valor residual</t>
  </si>
  <si>
    <t>Costo de ventas (60%)</t>
  </si>
  <si>
    <t>Utilidad Operativa</t>
  </si>
  <si>
    <t>Amortización intangible</t>
  </si>
  <si>
    <t>Impuesto a la renta (30%)</t>
  </si>
  <si>
    <t>T</t>
  </si>
  <si>
    <t>Ahorro Fiscal</t>
  </si>
  <si>
    <t>Años</t>
  </si>
  <si>
    <r>
      <t>A</t>
    </r>
    <r>
      <rPr>
        <sz val="8"/>
        <color theme="1"/>
        <rFont val="Calibri"/>
        <family val="2"/>
        <scheme val="minor"/>
      </rPr>
      <t>0</t>
    </r>
  </si>
  <si>
    <t>Estado de Ganancias y Pérdidas (Con financiamiento)</t>
  </si>
  <si>
    <t>Ref. Tabla 60</t>
  </si>
  <si>
    <t>Utilidad antes de inter. E imp.</t>
  </si>
  <si>
    <t>Gasto financiero</t>
  </si>
  <si>
    <t>Ahorro Fiscal 2</t>
  </si>
  <si>
    <t>T'</t>
  </si>
  <si>
    <r>
      <t>AF</t>
    </r>
    <r>
      <rPr>
        <sz val="8"/>
        <color theme="1"/>
        <rFont val="Calibri"/>
        <family val="2"/>
        <scheme val="minor"/>
      </rPr>
      <t>2</t>
    </r>
  </si>
  <si>
    <t>Flujo de Caja (Sin Financiamiento)</t>
  </si>
  <si>
    <t>Ref. Tabla 61</t>
  </si>
  <si>
    <t>Valor residual</t>
  </si>
  <si>
    <t>INVERSIÓN</t>
  </si>
  <si>
    <t>Capital de trabajo</t>
  </si>
  <si>
    <t>Rec. Capital de trabajo</t>
  </si>
  <si>
    <t>Flujo de caja económico</t>
  </si>
  <si>
    <t>Flujo de Caja (Con Financiamiento)</t>
  </si>
  <si>
    <t>Ref. Tabla 62</t>
  </si>
  <si>
    <t>Servicio de deuda (cuota)</t>
  </si>
  <si>
    <t>Préstamo</t>
  </si>
  <si>
    <t>Ahorro fiscal</t>
  </si>
  <si>
    <t>Flujo de caja financiero</t>
  </si>
  <si>
    <t>Evaluación económica</t>
  </si>
  <si>
    <t>Ref. Tabla 63</t>
  </si>
  <si>
    <t>Valor actual</t>
  </si>
  <si>
    <t>Flujo económico</t>
  </si>
  <si>
    <t>Valor actual neto</t>
  </si>
  <si>
    <t>COK (%):</t>
  </si>
  <si>
    <t>VAN económico:</t>
  </si>
  <si>
    <t>TIR económico:</t>
  </si>
  <si>
    <t>Factor desc (12%)</t>
  </si>
  <si>
    <t>&gt; 0, entonces se acepta el proyecto</t>
  </si>
  <si>
    <t>&gt; 12%, El proyecto de inversión es rentable.</t>
  </si>
  <si>
    <t>Evaluación financiera</t>
  </si>
  <si>
    <t>Ref. Tabla 64</t>
  </si>
  <si>
    <t>Flujo financiero</t>
  </si>
  <si>
    <t>Caso 10 - Ref. Tabla 67</t>
  </si>
  <si>
    <t>Caso 10 - Ref. Tabla 68</t>
  </si>
  <si>
    <t>Ingresos anuales</t>
  </si>
  <si>
    <t>Consideraciones</t>
  </si>
  <si>
    <t>Periodo</t>
  </si>
  <si>
    <t>años</t>
  </si>
  <si>
    <t>Dias anuales</t>
  </si>
  <si>
    <t>dias</t>
  </si>
  <si>
    <t>TC</t>
  </si>
  <si>
    <t>Caso 10 - Ref. Tabla 69</t>
  </si>
  <si>
    <t>A</t>
  </si>
  <si>
    <t>B</t>
  </si>
  <si>
    <t>C</t>
  </si>
  <si>
    <t>Inversión (US$)</t>
  </si>
  <si>
    <t>(*) capacidad máxima de produccion de panes diarios</t>
  </si>
  <si>
    <t>1. Plan de ventas fisico diario</t>
  </si>
  <si>
    <t>2. Análisis de ingresos anuales</t>
  </si>
  <si>
    <t>3. Alternativas de inversión</t>
  </si>
  <si>
    <t>4. Plan de producción</t>
  </si>
  <si>
    <t>Caso 10 - Ref. Tabla 70</t>
  </si>
  <si>
    <t>5. Requerimiento de insumos</t>
  </si>
  <si>
    <t>Caso 10 - Ref. Tabla 71</t>
  </si>
  <si>
    <t>Insumos</t>
  </si>
  <si>
    <t>Consumo</t>
  </si>
  <si>
    <t>C.U. (S/.)</t>
  </si>
  <si>
    <t>C.U. (US$)</t>
  </si>
  <si>
    <t>Harina</t>
  </si>
  <si>
    <t>Levadura</t>
  </si>
  <si>
    <t>Enzimas</t>
  </si>
  <si>
    <t>Sal</t>
  </si>
  <si>
    <t>Azúcar</t>
  </si>
  <si>
    <t>Agua</t>
  </si>
  <si>
    <t>gr</t>
  </si>
  <si>
    <t>Und x un pan</t>
  </si>
  <si>
    <t>En el proceso de producción se genera mermas y desperdicios</t>
  </si>
  <si>
    <t>Desperdicio por unidad de pan = MP unitaria - producto final unitario</t>
  </si>
  <si>
    <t>Desperdicio por unidad de pan = 47 gr - 30 gr</t>
  </si>
  <si>
    <t>Desperdicio por unidad de pan = 17 gr</t>
  </si>
  <si>
    <t>6. Costo anualizado de insumos</t>
  </si>
  <si>
    <t>Caso 10 - Ref. Tabla 72</t>
  </si>
  <si>
    <t>Caso 10 - Ref. Tabla 73</t>
  </si>
  <si>
    <t>Puesto de trabajo</t>
  </si>
  <si>
    <t>Recepción de MP</t>
  </si>
  <si>
    <t>Proceso de fabricación</t>
  </si>
  <si>
    <t>Despacho</t>
  </si>
  <si>
    <t>Administración</t>
  </si>
  <si>
    <t>Cant.</t>
  </si>
  <si>
    <t>Sueldo</t>
  </si>
  <si>
    <t>Remuneraciónes</t>
  </si>
  <si>
    <t>(US$ mensuales)</t>
  </si>
  <si>
    <t>Remuneracion anual</t>
  </si>
  <si>
    <t>7. Requerimiento de mano de obra</t>
  </si>
  <si>
    <t>8. Requerimiento de energía</t>
  </si>
  <si>
    <t>Caso 10 - Ref. Tabla 74</t>
  </si>
  <si>
    <t>Recursos</t>
  </si>
  <si>
    <t>Electricidad</t>
  </si>
  <si>
    <t>Combustible</t>
  </si>
  <si>
    <t>Lubricantes</t>
  </si>
  <si>
    <t>UM</t>
  </si>
  <si>
    <t>Kw</t>
  </si>
  <si>
    <t>Gls</t>
  </si>
  <si>
    <t>m3</t>
  </si>
  <si>
    <t>mensual</t>
  </si>
  <si>
    <t>Caso 10 - Ref. Tabla 75</t>
  </si>
  <si>
    <t>Costo unitario (US$)</t>
  </si>
  <si>
    <t>Costo unitario (S/.)</t>
  </si>
  <si>
    <t>Caso 10 - Ref. Tabla 76</t>
  </si>
  <si>
    <t>Mezcladora</t>
  </si>
  <si>
    <t>Batidora</t>
  </si>
  <si>
    <t>Amasadora</t>
  </si>
  <si>
    <t>Moldes y bandejas</t>
  </si>
  <si>
    <t>Horno eléctrico</t>
  </si>
  <si>
    <t>Precio</t>
  </si>
  <si>
    <t>diarias (unid)</t>
  </si>
  <si>
    <t>diarios</t>
  </si>
  <si>
    <t>anuales (S/.)</t>
  </si>
  <si>
    <t>(US$)</t>
  </si>
  <si>
    <t>(S/. x und.)</t>
  </si>
  <si>
    <t>Instalaciones eléctricas</t>
  </si>
  <si>
    <t>Instalaciones de agua e instalaciones sanitarias</t>
  </si>
  <si>
    <t>Monto</t>
  </si>
  <si>
    <t>Caso 10 - Ref. Tabla 78</t>
  </si>
  <si>
    <t>Accionistas</t>
  </si>
  <si>
    <t>COFIDE</t>
  </si>
  <si>
    <t>Estado de financiamiento</t>
  </si>
  <si>
    <t>A) Inversión fija</t>
  </si>
  <si>
    <t>Construcción civil</t>
  </si>
  <si>
    <t>Maquinaria - Equipo</t>
  </si>
  <si>
    <t>Estudios - Patentes</t>
  </si>
  <si>
    <t>Total (A):</t>
  </si>
  <si>
    <t>Demanda</t>
  </si>
  <si>
    <t>Cobertura de</t>
  </si>
  <si>
    <t>Venta</t>
  </si>
  <si>
    <t>Precio de</t>
  </si>
  <si>
    <t>insatisfecha</t>
  </si>
  <si>
    <t>mercado (%)</t>
  </si>
  <si>
    <t>(unidades)</t>
  </si>
  <si>
    <t>mercado</t>
  </si>
  <si>
    <t>B) Capital de trabajo (2 meses)</t>
  </si>
  <si>
    <t>Total (B):</t>
  </si>
  <si>
    <t>Stock de materiales</t>
  </si>
  <si>
    <t>Planilla de personal</t>
  </si>
  <si>
    <t>Stock de energía</t>
  </si>
  <si>
    <t>(%)</t>
  </si>
  <si>
    <t>Condiciones de préstamo</t>
  </si>
  <si>
    <t>Modalidad de crédito</t>
  </si>
  <si>
    <t>Plazpo (años)</t>
  </si>
  <si>
    <t>Caso 10 - Ref. Tabla 79</t>
  </si>
  <si>
    <t>Saldo</t>
  </si>
  <si>
    <t>principal</t>
  </si>
  <si>
    <t>(10%)</t>
  </si>
  <si>
    <t>Cuota</t>
  </si>
  <si>
    <t>préstamo</t>
  </si>
  <si>
    <t>Alternativas</t>
  </si>
  <si>
    <t>Capacidad</t>
  </si>
  <si>
    <t>Inversión</t>
  </si>
  <si>
    <t>de hornos</t>
  </si>
  <si>
    <t>máxima (*)</t>
  </si>
  <si>
    <t>CASO DE ESTUDIO 10</t>
  </si>
  <si>
    <t>CASO DE ESTUDIO 9</t>
  </si>
  <si>
    <t>CASO DE ESTUDIO 8</t>
  </si>
  <si>
    <t>PROYECTO PANADERÍA</t>
  </si>
  <si>
    <t>9. Costo anualizado de requerimiento de energia</t>
  </si>
  <si>
    <t>10. Maquinarias y equipos</t>
  </si>
  <si>
    <t>11. Inversión y financiamiento</t>
  </si>
  <si>
    <t>12. Cronograma de pago anual</t>
  </si>
  <si>
    <t>13. Estado de ganacias y pérdidas sin financiamiento</t>
  </si>
  <si>
    <t>Caso 10 - Ref. Tabla 80</t>
  </si>
  <si>
    <t>diarias (und.)</t>
  </si>
  <si>
    <t>(unds x dia)</t>
  </si>
  <si>
    <t>Prod. Proyec.</t>
  </si>
  <si>
    <t>(horno)</t>
  </si>
  <si>
    <t>utilizada</t>
  </si>
  <si>
    <t>(Unds. X año)</t>
  </si>
  <si>
    <t>Producción</t>
  </si>
  <si>
    <t>(Unds. x año)</t>
  </si>
  <si>
    <t>Costo de</t>
  </si>
  <si>
    <t>consumo MP</t>
  </si>
  <si>
    <t>Costo consumo</t>
  </si>
  <si>
    <t>de energía</t>
  </si>
  <si>
    <t>(descripción)</t>
  </si>
  <si>
    <t>Cap. Instalada</t>
  </si>
  <si>
    <t>Valor de recuperación</t>
  </si>
  <si>
    <t>Energía</t>
  </si>
  <si>
    <t>Total 1 (US$)</t>
  </si>
  <si>
    <t>Total 2 (US$)</t>
  </si>
  <si>
    <t>Utilidad neta US$</t>
  </si>
  <si>
    <t>14. Estado de ganacias y pérdidas con financiamiento</t>
  </si>
  <si>
    <t>Caso 10 - Ref. Tabla 81</t>
  </si>
  <si>
    <t>Utilidad antes de intr. e imp.</t>
  </si>
  <si>
    <t>Utilidad neta (US$)</t>
  </si>
  <si>
    <t>Ahorro fiscal 2 (AF2)</t>
  </si>
  <si>
    <t>Flujo de caja sin financiamiento</t>
  </si>
  <si>
    <t>Caso 10 - Ref. Tabla 82</t>
  </si>
  <si>
    <t>Recuperación terreno</t>
  </si>
  <si>
    <t>Obras civiles</t>
  </si>
  <si>
    <t>Maquinaria  - Equipo</t>
  </si>
  <si>
    <t>Estudio - Patente</t>
  </si>
  <si>
    <t>Recuperación capital de trabajo</t>
  </si>
  <si>
    <t>Flujo de caja económica (US$)</t>
  </si>
  <si>
    <t>Flujo de caja con financiamiento</t>
  </si>
  <si>
    <t>Caso 10 - Ref. Tabla 83</t>
  </si>
  <si>
    <t>Pago de deuda (cuota)</t>
  </si>
  <si>
    <t>Flujo de caja financiero (US$)</t>
  </si>
  <si>
    <t>Caso 10 - Ref. Tabla 84</t>
  </si>
  <si>
    <t>Flujo econom</t>
  </si>
  <si>
    <t>descuento</t>
  </si>
  <si>
    <t>Factor de</t>
  </si>
  <si>
    <t>neto (US$)</t>
  </si>
  <si>
    <t>COK</t>
  </si>
  <si>
    <t>VAN econ</t>
  </si>
  <si>
    <t>TIR econ</t>
  </si>
  <si>
    <t>&lt; 12%</t>
  </si>
  <si>
    <t>Caso 10 - Ref. Tabla 85</t>
  </si>
  <si>
    <t>Flujo financ</t>
  </si>
  <si>
    <t>VAN financ</t>
  </si>
  <si>
    <t>TIR financ</t>
  </si>
  <si>
    <t>Utilidad operativa (1) - (2)</t>
  </si>
  <si>
    <t>Ahorro fiscal 2</t>
  </si>
  <si>
    <t>Se podria aceptar el proyecto, pero con el calcuo del TIR se descarta el proyecto</t>
  </si>
  <si>
    <t xml:space="preserve">Amortización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</si>
</sst>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-[$$-540A]* #,##0.00_ ;_-[$$-540A]* \-#,##0.00\ ;_-[$$-540A]* &quot;-&quot;??_ ;_-@_ "/>
    <numFmt numFmtId="165" formatCode="_-[$$-540A]* #,##0_ ;_-[$$-540A]* \-#,##0\ ;_-[$$-540A]* &quot;-&quot;??_ ;_-@_ "/>
    <numFmt numFmtId="166" formatCode="_-[$$-540A]* #,##0_ ;_-[$$-540A]* \-#,##0\ ;_-[$$-540A]* &quot;-&quot;_ ;_-@_ "/>
    <numFmt numFmtId="167" formatCode="0.0%"/>
    <numFmt numFmtId="168" formatCode="_-* #,##0.00000_-;\-* #,##0.00000_-;_-* &quot;-&quot;??_-;_-@_-"/>
    <numFmt numFmtId="169" formatCode="_-* #,##0_-;\-* #,##0_-;_-* &quot;-&quot;??_-;_-@_-"/>
    <numFmt numFmtId="170" formatCode="_-[$$-540A]* #,##0.00_ ;_-[$$-540A]* \-#,##0.00\ ;_-[$$-540A]* &quot;-&quot;_ ;_-@_ "/>
    <numFmt numFmtId="171" formatCode="_-[$$-540A]* #,##0.000_ ;_-[$$-540A]* \-#,##0.000\ ;_-[$$-540A]* &quot;-&quot;_ ;_-@_ "/>
    <numFmt numFmtId="172" formatCode="_-* #,##0.000_-;\-* #,##0.000_-;_-* &quot;-&quot;??_-;_-@_-"/>
    <numFmt numFmtId="173" formatCode="_-&quot;S/&quot;* #,##0_-;\-&quot;S/&quot;* #,##0_-;_-&quot;S/&quot;* &quot;-&quot;??_-;_-@_-"/>
    <numFmt numFmtId="174" formatCode="_-&quot;S/&quot;* #,##0.0000_-;\-&quot;S/&quot;* #,##0.0000_-;_-&quot;S/&quot;* &quot;-&quot;??_-;_-@_-"/>
    <numFmt numFmtId="175" formatCode="_-[$$-540A]* #,##0.00000_ ;_-[$$-540A]* \-#,##0.00000\ ;_-[$$-540A]* &quot;-&quot;??_ ;_-@_ "/>
    <numFmt numFmtId="176" formatCode="0.000"/>
    <numFmt numFmtId="177" formatCode="#,##0_ ;[Red]\-#,##0\ 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Aparajita"/>
      <family val="1"/>
    </font>
    <font>
      <b/>
      <i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8"/>
      <color theme="2" tint="-0.749992370372631"/>
      <name val="Times New Roman"/>
      <family val="1"/>
    </font>
    <font>
      <sz val="2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1F3864"/>
      </left>
      <right/>
      <top style="thick">
        <color rgb="FF1F3864"/>
      </top>
      <bottom style="thick">
        <color rgb="FF1F3864"/>
      </bottom>
      <diagonal/>
    </border>
    <border>
      <left/>
      <right style="thick">
        <color rgb="FF1F3864"/>
      </right>
      <top style="thick">
        <color rgb="FF1F3864"/>
      </top>
      <bottom style="thick">
        <color rgb="FF1F3864"/>
      </bottom>
      <diagonal/>
    </border>
    <border>
      <left style="thick">
        <color rgb="FF1F3864"/>
      </left>
      <right/>
      <top/>
      <bottom/>
      <diagonal/>
    </border>
    <border>
      <left/>
      <right style="thick">
        <color rgb="FF1F3864"/>
      </right>
      <top/>
      <bottom/>
      <diagonal/>
    </border>
    <border>
      <left/>
      <right style="thick">
        <color rgb="FF1F3864"/>
      </right>
      <top/>
      <bottom style="thick">
        <color rgb="FF1F3864"/>
      </bottom>
      <diagonal/>
    </border>
    <border>
      <left style="thick">
        <color rgb="FF1F3864"/>
      </left>
      <right/>
      <top/>
      <bottom style="thick">
        <color rgb="FF1F3864"/>
      </bottom>
      <diagonal/>
    </border>
    <border>
      <left style="thick">
        <color rgb="FF1F3864"/>
      </left>
      <right/>
      <top style="thick">
        <color rgb="FF1F3864"/>
      </top>
      <bottom/>
      <diagonal/>
    </border>
    <border>
      <left/>
      <right style="thick">
        <color rgb="FF1F3864"/>
      </right>
      <top style="thick">
        <color rgb="FF1F3864"/>
      </top>
      <bottom/>
      <diagonal/>
    </border>
    <border>
      <left style="thick">
        <color rgb="FF4472C4"/>
      </left>
      <right/>
      <top/>
      <bottom/>
      <diagonal/>
    </border>
    <border>
      <left style="thick">
        <color rgb="FF4472C4"/>
      </left>
      <right/>
      <top/>
      <bottom style="thick">
        <color rgb="FF1F38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9">
    <xf numFmtId="0" fontId="0" fillId="0" borderId="0" xfId="0"/>
    <xf numFmtId="0" fontId="6" fillId="2" borderId="0" xfId="0" applyFont="1" applyFill="1"/>
    <xf numFmtId="0" fontId="0" fillId="2" borderId="0" xfId="0" applyFill="1"/>
    <xf numFmtId="165" fontId="0" fillId="2" borderId="0" xfId="1" applyNumberFormat="1" applyFont="1" applyFill="1"/>
    <xf numFmtId="0" fontId="5" fillId="2" borderId="0" xfId="0" applyFont="1" applyFill="1"/>
    <xf numFmtId="0" fontId="8" fillId="2" borderId="0" xfId="0" applyFont="1" applyFill="1"/>
    <xf numFmtId="165" fontId="0" fillId="4" borderId="0" xfId="1" applyNumberFormat="1" applyFont="1" applyFill="1"/>
    <xf numFmtId="165" fontId="0" fillId="4" borderId="2" xfId="1" applyNumberFormat="1" applyFont="1" applyFill="1" applyBorder="1"/>
    <xf numFmtId="165" fontId="0" fillId="4" borderId="3" xfId="1" applyNumberFormat="1" applyFont="1" applyFill="1" applyBorder="1"/>
    <xf numFmtId="165" fontId="0" fillId="4" borderId="1" xfId="1" applyNumberFormat="1" applyFont="1" applyFill="1" applyBorder="1"/>
    <xf numFmtId="165" fontId="0" fillId="4" borderId="4" xfId="1" applyNumberFormat="1" applyFont="1" applyFill="1" applyBorder="1"/>
    <xf numFmtId="165" fontId="0" fillId="2" borderId="5" xfId="1" applyNumberFormat="1" applyFont="1" applyFill="1" applyBorder="1"/>
    <xf numFmtId="0" fontId="0" fillId="2" borderId="0" xfId="0" applyFill="1" applyAlignment="1">
      <alignment horizontal="left"/>
    </xf>
    <xf numFmtId="166" fontId="0" fillId="2" borderId="0" xfId="2" applyNumberFormat="1" applyFont="1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166" fontId="6" fillId="2" borderId="0" xfId="0" applyNumberFormat="1" applyFont="1" applyFill="1"/>
    <xf numFmtId="165" fontId="0" fillId="2" borderId="0" xfId="0" applyNumberFormat="1" applyFill="1"/>
    <xf numFmtId="166" fontId="9" fillId="5" borderId="7" xfId="0" applyNumberFormat="1" applyFont="1" applyFill="1" applyBorder="1"/>
    <xf numFmtId="0" fontId="0" fillId="5" borderId="0" xfId="0" applyFill="1"/>
    <xf numFmtId="0" fontId="4" fillId="5" borderId="0" xfId="0" applyFont="1" applyFill="1"/>
    <xf numFmtId="0" fontId="10" fillId="5" borderId="0" xfId="0" applyFont="1" applyFill="1"/>
    <xf numFmtId="165" fontId="6" fillId="2" borderId="0" xfId="0" applyNumberFormat="1" applyFont="1" applyFill="1"/>
    <xf numFmtId="165" fontId="9" fillId="5" borderId="0" xfId="0" applyNumberFormat="1" applyFont="1" applyFill="1"/>
    <xf numFmtId="0" fontId="0" fillId="2" borderId="3" xfId="0" applyFill="1" applyBorder="1"/>
    <xf numFmtId="165" fontId="0" fillId="2" borderId="1" xfId="0" applyNumberFormat="1" applyFill="1" applyBorder="1"/>
    <xf numFmtId="0" fontId="0" fillId="2" borderId="0" xfId="0" applyFill="1" applyAlignment="1">
      <alignment horizontal="center" vertical="center"/>
    </xf>
    <xf numFmtId="0" fontId="14" fillId="2" borderId="0" xfId="0" applyFont="1" applyFill="1"/>
    <xf numFmtId="0" fontId="15" fillId="2" borderId="0" xfId="0" applyFont="1" applyFill="1"/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9" fontId="0" fillId="2" borderId="3" xfId="3" applyFont="1" applyFill="1" applyBorder="1"/>
    <xf numFmtId="0" fontId="14" fillId="2" borderId="10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0" fillId="2" borderId="0" xfId="0" applyFont="1" applyFill="1"/>
    <xf numFmtId="165" fontId="9" fillId="2" borderId="0" xfId="0" applyNumberFormat="1" applyFont="1" applyFill="1"/>
    <xf numFmtId="0" fontId="17" fillId="2" borderId="3" xfId="0" applyFont="1" applyFill="1" applyBorder="1"/>
    <xf numFmtId="0" fontId="6" fillId="3" borderId="6" xfId="0" applyFont="1" applyFill="1" applyBorder="1"/>
    <xf numFmtId="166" fontId="6" fillId="3" borderId="6" xfId="0" applyNumberFormat="1" applyFont="1" applyFill="1" applyBorder="1"/>
    <xf numFmtId="0" fontId="6" fillId="5" borderId="6" xfId="0" applyFont="1" applyFill="1" applyBorder="1"/>
    <xf numFmtId="0" fontId="10" fillId="5" borderId="6" xfId="0" applyFont="1" applyFill="1" applyBorder="1"/>
    <xf numFmtId="166" fontId="10" fillId="5" borderId="6" xfId="0" applyNumberFormat="1" applyFont="1" applyFill="1" applyBorder="1"/>
    <xf numFmtId="167" fontId="0" fillId="2" borderId="3" xfId="3" applyNumberFormat="1" applyFont="1" applyFill="1" applyBorder="1"/>
    <xf numFmtId="0" fontId="4" fillId="2" borderId="0" xfId="0" applyFont="1" applyFill="1"/>
    <xf numFmtId="0" fontId="4" fillId="2" borderId="3" xfId="0" applyFont="1" applyFill="1" applyBorder="1"/>
    <xf numFmtId="0" fontId="3" fillId="3" borderId="8" xfId="0" applyFont="1" applyFill="1" applyBorder="1" applyAlignment="1">
      <alignment horizontal="center" vertical="center"/>
    </xf>
    <xf numFmtId="0" fontId="6" fillId="7" borderId="17" xfId="0" applyFont="1" applyFill="1" applyBorder="1"/>
    <xf numFmtId="0" fontId="0" fillId="2" borderId="17" xfId="0" applyFill="1" applyBorder="1"/>
    <xf numFmtId="0" fontId="9" fillId="5" borderId="18" xfId="0" applyFont="1" applyFill="1" applyBorder="1" applyAlignment="1">
      <alignment horizontal="center"/>
    </xf>
    <xf numFmtId="0" fontId="0" fillId="7" borderId="17" xfId="0" applyFill="1" applyBorder="1"/>
    <xf numFmtId="165" fontId="0" fillId="2" borderId="17" xfId="0" applyNumberFormat="1" applyFill="1" applyBorder="1"/>
    <xf numFmtId="165" fontId="6" fillId="7" borderId="17" xfId="0" applyNumberFormat="1" applyFont="1" applyFill="1" applyBorder="1"/>
    <xf numFmtId="165" fontId="9" fillId="5" borderId="18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/>
    </xf>
    <xf numFmtId="168" fontId="0" fillId="2" borderId="17" xfId="1" applyNumberFormat="1" applyFont="1" applyFill="1" applyBorder="1"/>
    <xf numFmtId="165" fontId="4" fillId="2" borderId="17" xfId="0" applyNumberFormat="1" applyFont="1" applyFill="1" applyBorder="1" applyAlignment="1">
      <alignment horizontal="center" vertical="center"/>
    </xf>
    <xf numFmtId="165" fontId="0" fillId="4" borderId="17" xfId="0" applyNumberFormat="1" applyFill="1" applyBorder="1"/>
    <xf numFmtId="0" fontId="0" fillId="2" borderId="8" xfId="0" applyFill="1" applyBorder="1"/>
    <xf numFmtId="0" fontId="18" fillId="2" borderId="8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3" fillId="8" borderId="14" xfId="0" applyFont="1" applyFill="1" applyBorder="1"/>
    <xf numFmtId="0" fontId="12" fillId="5" borderId="14" xfId="0" applyFont="1" applyFill="1" applyBorder="1"/>
    <xf numFmtId="0" fontId="12" fillId="5" borderId="13" xfId="0" applyFont="1" applyFill="1" applyBorder="1"/>
    <xf numFmtId="165" fontId="0" fillId="8" borderId="14" xfId="0" applyNumberFormat="1" applyFill="1" applyBorder="1"/>
    <xf numFmtId="165" fontId="0" fillId="2" borderId="14" xfId="0" applyNumberFormat="1" applyFill="1" applyBorder="1"/>
    <xf numFmtId="165" fontId="12" fillId="5" borderId="14" xfId="0" applyNumberFormat="1" applyFont="1" applyFill="1" applyBorder="1"/>
    <xf numFmtId="165" fontId="12" fillId="5" borderId="13" xfId="0" applyNumberFormat="1" applyFont="1" applyFill="1" applyBorder="1"/>
    <xf numFmtId="0" fontId="0" fillId="8" borderId="14" xfId="0" applyFill="1" applyBorder="1"/>
    <xf numFmtId="9" fontId="0" fillId="2" borderId="14" xfId="3" applyFont="1" applyFill="1" applyBorder="1" applyAlignment="1">
      <alignment horizontal="center" vertical="center"/>
    </xf>
    <xf numFmtId="9" fontId="12" fillId="5" borderId="14" xfId="3" applyFont="1" applyFill="1" applyBorder="1" applyAlignment="1">
      <alignment horizontal="center" vertical="center"/>
    </xf>
    <xf numFmtId="9" fontId="12" fillId="5" borderId="13" xfId="3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9" fontId="4" fillId="5" borderId="0" xfId="1" applyNumberFormat="1" applyFont="1" applyFill="1"/>
    <xf numFmtId="169" fontId="0" fillId="2" borderId="0" xfId="1" applyNumberFormat="1" applyFont="1" applyFill="1"/>
    <xf numFmtId="0" fontId="4" fillId="5" borderId="0" xfId="0" applyFont="1" applyFill="1" applyAlignment="1">
      <alignment horizontal="center" vertical="center"/>
    </xf>
    <xf numFmtId="169" fontId="0" fillId="2" borderId="0" xfId="0" applyNumberFormat="1" applyFill="1"/>
    <xf numFmtId="0" fontId="9" fillId="5" borderId="8" xfId="0" applyFont="1" applyFill="1" applyBorder="1"/>
    <xf numFmtId="0" fontId="9" fillId="5" borderId="8" xfId="0" applyFont="1" applyFill="1" applyBorder="1" applyAlignment="1">
      <alignment horizontal="center"/>
    </xf>
    <xf numFmtId="0" fontId="0" fillId="3" borderId="0" xfId="0" applyFill="1"/>
    <xf numFmtId="0" fontId="6" fillId="5" borderId="0" xfId="0" applyFont="1" applyFill="1"/>
    <xf numFmtId="0" fontId="10" fillId="9" borderId="0" xfId="0" applyFont="1" applyFill="1"/>
    <xf numFmtId="0" fontId="4" fillId="10" borderId="0" xfId="0" applyFont="1" applyFill="1"/>
    <xf numFmtId="0" fontId="9" fillId="5" borderId="0" xfId="0" applyFont="1" applyFill="1"/>
    <xf numFmtId="0" fontId="4" fillId="9" borderId="0" xfId="0" applyFont="1" applyFill="1"/>
    <xf numFmtId="165" fontId="0" fillId="2" borderId="0" xfId="2" applyNumberFormat="1" applyFont="1" applyFill="1" applyAlignment="1">
      <alignment horizontal="right"/>
    </xf>
    <xf numFmtId="165" fontId="4" fillId="9" borderId="0" xfId="2" applyNumberFormat="1" applyFont="1" applyFill="1" applyAlignment="1">
      <alignment horizontal="right"/>
    </xf>
    <xf numFmtId="165" fontId="10" fillId="5" borderId="0" xfId="2" applyNumberFormat="1" applyFont="1" applyFill="1" applyAlignment="1">
      <alignment horizontal="right"/>
    </xf>
    <xf numFmtId="0" fontId="0" fillId="2" borderId="4" xfId="0" applyFill="1" applyBorder="1"/>
    <xf numFmtId="0" fontId="3" fillId="3" borderId="20" xfId="0" applyFont="1" applyFill="1" applyBorder="1" applyAlignment="1">
      <alignment horizontal="center" vertical="center" wrapText="1"/>
    </xf>
    <xf numFmtId="165" fontId="0" fillId="2" borderId="22" xfId="0" applyNumberForma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165" fontId="0" fillId="2" borderId="22" xfId="0" applyNumberFormat="1" applyFill="1" applyBorder="1" applyAlignment="1">
      <alignment horizontal="right" vertical="center" wrapText="1"/>
    </xf>
    <xf numFmtId="0" fontId="0" fillId="2" borderId="24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165" fontId="0" fillId="2" borderId="23" xfId="0" applyNumberFormat="1" applyFill="1" applyBorder="1" applyAlignment="1">
      <alignment horizontal="right" vertical="center" wrapText="1"/>
    </xf>
    <xf numFmtId="165" fontId="3" fillId="8" borderId="23" xfId="0" applyNumberFormat="1" applyFont="1" applyFill="1" applyBorder="1" applyAlignment="1">
      <alignment horizontal="right" vertical="center" wrapText="1"/>
    </xf>
    <xf numFmtId="0" fontId="3" fillId="11" borderId="20" xfId="0" applyFont="1" applyFill="1" applyBorder="1" applyAlignment="1">
      <alignment horizontal="center" vertical="center" wrapText="1"/>
    </xf>
    <xf numFmtId="164" fontId="0" fillId="2" borderId="22" xfId="0" applyNumberFormat="1" applyFill="1" applyBorder="1" applyAlignment="1">
      <alignment vertical="center" wrapText="1"/>
    </xf>
    <xf numFmtId="165" fontId="19" fillId="12" borderId="23" xfId="0" applyNumberFormat="1" applyFont="1" applyFill="1" applyBorder="1" applyAlignment="1">
      <alignment horizontal="right" vertical="center" wrapText="1"/>
    </xf>
    <xf numFmtId="0" fontId="0" fillId="2" borderId="27" xfId="0" applyFill="1" applyBorder="1" applyAlignment="1">
      <alignment vertical="center" wrapText="1"/>
    </xf>
    <xf numFmtId="0" fontId="0" fillId="2" borderId="28" xfId="0" applyFill="1" applyBorder="1" applyAlignment="1">
      <alignment vertical="center" wrapText="1"/>
    </xf>
    <xf numFmtId="0" fontId="20" fillId="13" borderId="0" xfId="0" applyFont="1" applyFill="1"/>
    <xf numFmtId="0" fontId="20" fillId="13" borderId="0" xfId="0" applyFont="1" applyFill="1" applyAlignment="1">
      <alignment horizontal="center"/>
    </xf>
    <xf numFmtId="0" fontId="21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/>
    </xf>
    <xf numFmtId="0" fontId="22" fillId="13" borderId="0" xfId="1" applyNumberFormat="1" applyFont="1" applyFill="1"/>
    <xf numFmtId="0" fontId="4" fillId="13" borderId="0" xfId="0" applyFont="1" applyFill="1"/>
    <xf numFmtId="9" fontId="20" fillId="2" borderId="17" xfId="3" applyFont="1" applyFill="1" applyBorder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4" borderId="0" xfId="0" applyFill="1"/>
    <xf numFmtId="0" fontId="6" fillId="14" borderId="0" xfId="0" applyFont="1" applyFill="1"/>
    <xf numFmtId="0" fontId="24" fillId="5" borderId="0" xfId="0" applyFont="1" applyFill="1" applyAlignment="1">
      <alignment horizontal="center" vertical="center" textRotation="90"/>
    </xf>
    <xf numFmtId="165" fontId="16" fillId="0" borderId="14" xfId="2" applyNumberFormat="1" applyFont="1" applyBorder="1" applyAlignment="1">
      <alignment horizontal="right" vertical="center" wrapText="1"/>
    </xf>
    <xf numFmtId="165" fontId="16" fillId="0" borderId="14" xfId="0" applyNumberFormat="1" applyFont="1" applyBorder="1" applyAlignment="1">
      <alignment horizontal="right" vertical="center" wrapText="1"/>
    </xf>
    <xf numFmtId="165" fontId="25" fillId="3" borderId="8" xfId="2" applyNumberFormat="1" applyFont="1" applyFill="1" applyBorder="1" applyAlignment="1">
      <alignment horizontal="right" vertical="center" wrapText="1"/>
    </xf>
    <xf numFmtId="0" fontId="0" fillId="2" borderId="14" xfId="0" applyFill="1" applyBorder="1" applyAlignment="1">
      <alignment horizontal="left" vertical="center"/>
    </xf>
    <xf numFmtId="166" fontId="16" fillId="0" borderId="14" xfId="2" applyNumberFormat="1" applyFont="1" applyBorder="1" applyAlignment="1">
      <alignment horizontal="center" vertical="center" wrapText="1"/>
    </xf>
    <xf numFmtId="165" fontId="0" fillId="2" borderId="30" xfId="0" applyNumberFormat="1" applyFill="1" applyBorder="1"/>
    <xf numFmtId="0" fontId="15" fillId="3" borderId="8" xfId="0" applyFont="1" applyFill="1" applyBorder="1" applyAlignment="1">
      <alignment horizontal="center" vertical="center"/>
    </xf>
    <xf numFmtId="165" fontId="15" fillId="3" borderId="8" xfId="2" applyNumberFormat="1" applyFont="1" applyFill="1" applyBorder="1" applyAlignment="1">
      <alignment horizontal="right" vertical="center" wrapText="1"/>
    </xf>
    <xf numFmtId="166" fontId="15" fillId="3" borderId="8" xfId="2" applyNumberFormat="1" applyFont="1" applyFill="1" applyBorder="1" applyAlignment="1">
      <alignment horizontal="center" vertical="center" wrapText="1"/>
    </xf>
    <xf numFmtId="165" fontId="15" fillId="3" borderId="6" xfId="0" applyNumberFormat="1" applyFont="1" applyFill="1" applyBorder="1"/>
    <xf numFmtId="165" fontId="15" fillId="3" borderId="16" xfId="0" applyNumberFormat="1" applyFont="1" applyFill="1" applyBorder="1"/>
    <xf numFmtId="166" fontId="0" fillId="2" borderId="1" xfId="2" applyNumberFormat="1" applyFont="1" applyFill="1" applyBorder="1"/>
    <xf numFmtId="0" fontId="26" fillId="10" borderId="32" xfId="0" applyFont="1" applyFill="1" applyBorder="1" applyAlignment="1">
      <alignment horizontal="center" vertical="center"/>
    </xf>
    <xf numFmtId="0" fontId="26" fillId="10" borderId="33" xfId="0" applyFont="1" applyFill="1" applyBorder="1" applyAlignment="1">
      <alignment horizontal="center" vertical="center"/>
    </xf>
    <xf numFmtId="0" fontId="26" fillId="10" borderId="7" xfId="0" applyFont="1" applyFill="1" applyBorder="1" applyAlignment="1">
      <alignment horizontal="center" vertical="center"/>
    </xf>
    <xf numFmtId="0" fontId="27" fillId="0" borderId="3" xfId="0" applyFont="1" applyBorder="1"/>
    <xf numFmtId="165" fontId="28" fillId="0" borderId="14" xfId="2" applyNumberFormat="1" applyFont="1" applyBorder="1"/>
    <xf numFmtId="165" fontId="28" fillId="0" borderId="0" xfId="2" applyNumberFormat="1" applyFont="1"/>
    <xf numFmtId="0" fontId="28" fillId="0" borderId="3" xfId="0" applyFont="1" applyBorder="1"/>
    <xf numFmtId="0" fontId="27" fillId="8" borderId="9" xfId="0" applyFont="1" applyFill="1" applyBorder="1"/>
    <xf numFmtId="165" fontId="28" fillId="8" borderId="8" xfId="2" applyNumberFormat="1" applyFont="1" applyFill="1" applyBorder="1"/>
    <xf numFmtId="165" fontId="28" fillId="8" borderId="6" xfId="2" applyNumberFormat="1" applyFont="1" applyFill="1" applyBorder="1"/>
    <xf numFmtId="0" fontId="28" fillId="0" borderId="4" xfId="0" applyFont="1" applyBorder="1"/>
    <xf numFmtId="165" fontId="28" fillId="0" borderId="34" xfId="2" applyNumberFormat="1" applyFont="1" applyBorder="1"/>
    <xf numFmtId="165" fontId="28" fillId="0" borderId="1" xfId="2" applyNumberFormat="1" applyFont="1" applyBorder="1"/>
    <xf numFmtId="0" fontId="26" fillId="15" borderId="35" xfId="0" applyFont="1" applyFill="1" applyBorder="1"/>
    <xf numFmtId="165" fontId="29" fillId="15" borderId="36" xfId="2" applyNumberFormat="1" applyFont="1" applyFill="1" applyBorder="1"/>
    <xf numFmtId="165" fontId="29" fillId="15" borderId="37" xfId="2" applyNumberFormat="1" applyFont="1" applyFill="1" applyBorder="1"/>
    <xf numFmtId="0" fontId="27" fillId="0" borderId="4" xfId="0" applyFont="1" applyBorder="1"/>
    <xf numFmtId="0" fontId="26" fillId="5" borderId="11" xfId="0" applyFont="1" applyFill="1" applyBorder="1"/>
    <xf numFmtId="165" fontId="29" fillId="5" borderId="13" xfId="2" applyNumberFormat="1" applyFont="1" applyFill="1" applyBorder="1"/>
    <xf numFmtId="165" fontId="29" fillId="5" borderId="10" xfId="2" applyNumberFormat="1" applyFont="1" applyFill="1" applyBorder="1"/>
    <xf numFmtId="0" fontId="10" fillId="5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165" fontId="10" fillId="5" borderId="0" xfId="0" applyNumberFormat="1" applyFont="1" applyFill="1"/>
    <xf numFmtId="9" fontId="0" fillId="0" borderId="0" xfId="0" applyNumberFormat="1"/>
    <xf numFmtId="166" fontId="0" fillId="0" borderId="0" xfId="0" applyNumberFormat="1"/>
    <xf numFmtId="166" fontId="0" fillId="3" borderId="0" xfId="0" applyNumberFormat="1" applyFill="1"/>
    <xf numFmtId="0" fontId="0" fillId="0" borderId="3" xfId="0" applyBorder="1"/>
    <xf numFmtId="0" fontId="0" fillId="0" borderId="30" xfId="0" applyBorder="1"/>
    <xf numFmtId="0" fontId="12" fillId="5" borderId="11" xfId="0" applyFont="1" applyFill="1" applyBorder="1"/>
    <xf numFmtId="0" fontId="12" fillId="5" borderId="10" xfId="0" applyFont="1" applyFill="1" applyBorder="1"/>
    <xf numFmtId="166" fontId="0" fillId="0" borderId="14" xfId="0" applyNumberFormat="1" applyBorder="1"/>
    <xf numFmtId="169" fontId="0" fillId="0" borderId="14" xfId="1" applyNumberFormat="1" applyFont="1" applyBorder="1"/>
    <xf numFmtId="164" fontId="12" fillId="5" borderId="13" xfId="0" applyNumberFormat="1" applyFont="1" applyFill="1" applyBorder="1"/>
    <xf numFmtId="0" fontId="0" fillId="16" borderId="9" xfId="0" applyFill="1" applyBorder="1"/>
    <xf numFmtId="0" fontId="0" fillId="16" borderId="6" xfId="0" applyFill="1" applyBorder="1"/>
    <xf numFmtId="166" fontId="0" fillId="16" borderId="8" xfId="0" applyNumberFormat="1" applyFill="1" applyBorder="1"/>
    <xf numFmtId="9" fontId="0" fillId="0" borderId="14" xfId="0" applyNumberFormat="1" applyBorder="1"/>
    <xf numFmtId="0" fontId="0" fillId="16" borderId="8" xfId="0" applyFill="1" applyBorder="1"/>
    <xf numFmtId="0" fontId="0" fillId="0" borderId="14" xfId="0" applyBorder="1"/>
    <xf numFmtId="0" fontId="30" fillId="17" borderId="6" xfId="0" applyFont="1" applyFill="1" applyBorder="1" applyAlignment="1">
      <alignment horizontal="center" vertical="center" wrapText="1"/>
    </xf>
    <xf numFmtId="0" fontId="30" fillId="17" borderId="16" xfId="0" applyFont="1" applyFill="1" applyBorder="1" applyAlignment="1">
      <alignment horizontal="center" vertical="center" wrapText="1"/>
    </xf>
    <xf numFmtId="170" fontId="12" fillId="5" borderId="13" xfId="0" applyNumberFormat="1" applyFont="1" applyFill="1" applyBorder="1"/>
    <xf numFmtId="0" fontId="4" fillId="0" borderId="0" xfId="0" applyFont="1"/>
    <xf numFmtId="0" fontId="20" fillId="0" borderId="0" xfId="0" applyFont="1"/>
    <xf numFmtId="170" fontId="20" fillId="0" borderId="0" xfId="0" applyNumberFormat="1" applyFont="1"/>
    <xf numFmtId="164" fontId="20" fillId="0" borderId="0" xfId="0" applyNumberFormat="1" applyFont="1"/>
    <xf numFmtId="0" fontId="0" fillId="0" borderId="11" xfId="0" applyBorder="1"/>
    <xf numFmtId="0" fontId="0" fillId="0" borderId="10" xfId="0" applyBorder="1"/>
    <xf numFmtId="0" fontId="0" fillId="0" borderId="31" xfId="0" applyBorder="1"/>
    <xf numFmtId="0" fontId="30" fillId="17" borderId="8" xfId="0" applyFont="1" applyFill="1" applyBorder="1" applyAlignment="1">
      <alignment horizontal="center" vertical="center" wrapText="1"/>
    </xf>
    <xf numFmtId="166" fontId="0" fillId="0" borderId="13" xfId="0" applyNumberFormat="1" applyBorder="1"/>
    <xf numFmtId="166" fontId="0" fillId="0" borderId="10" xfId="0" applyNumberFormat="1" applyBorder="1"/>
    <xf numFmtId="0" fontId="2" fillId="17" borderId="9" xfId="0" applyFont="1" applyFill="1" applyBorder="1"/>
    <xf numFmtId="0" fontId="2" fillId="17" borderId="6" xfId="0" applyFont="1" applyFill="1" applyBorder="1"/>
    <xf numFmtId="0" fontId="2" fillId="17" borderId="16" xfId="0" applyFont="1" applyFill="1" applyBorder="1"/>
    <xf numFmtId="166" fontId="2" fillId="17" borderId="6" xfId="0" applyNumberFormat="1" applyFont="1" applyFill="1" applyBorder="1"/>
    <xf numFmtId="166" fontId="2" fillId="17" borderId="8" xfId="0" applyNumberFormat="1" applyFont="1" applyFill="1" applyBorder="1"/>
    <xf numFmtId="0" fontId="0" fillId="3" borderId="3" xfId="0" applyFill="1" applyBorder="1"/>
    <xf numFmtId="0" fontId="0" fillId="3" borderId="30" xfId="0" applyFill="1" applyBorder="1"/>
    <xf numFmtId="166" fontId="0" fillId="3" borderId="14" xfId="0" applyNumberFormat="1" applyFill="1" applyBorder="1"/>
    <xf numFmtId="166" fontId="0" fillId="0" borderId="0" xfId="3" applyNumberFormat="1" applyFont="1"/>
    <xf numFmtId="166" fontId="0" fillId="0" borderId="8" xfId="3" applyNumberFormat="1" applyFont="1" applyBorder="1"/>
    <xf numFmtId="0" fontId="32" fillId="9" borderId="8" xfId="0" applyFont="1" applyFill="1" applyBorder="1" applyAlignment="1">
      <alignment horizontal="center" vertical="center" wrapText="1"/>
    </xf>
    <xf numFmtId="166" fontId="0" fillId="0" borderId="16" xfId="3" applyNumberFormat="1" applyFont="1" applyBorder="1"/>
    <xf numFmtId="0" fontId="0" fillId="0" borderId="9" xfId="0" applyBorder="1"/>
    <xf numFmtId="0" fontId="0" fillId="0" borderId="16" xfId="0" applyBorder="1"/>
    <xf numFmtId="0" fontId="0" fillId="0" borderId="9" xfId="0" applyBorder="1" applyAlignment="1">
      <alignment horizontal="right"/>
    </xf>
    <xf numFmtId="0" fontId="4" fillId="9" borderId="9" xfId="0" applyFont="1" applyFill="1" applyBorder="1"/>
    <xf numFmtId="171" fontId="4" fillId="9" borderId="8" xfId="3" applyNumberFormat="1" applyFont="1" applyFill="1" applyBorder="1"/>
    <xf numFmtId="166" fontId="4" fillId="9" borderId="16" xfId="3" applyNumberFormat="1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165" fontId="0" fillId="2" borderId="8" xfId="0" applyNumberFormat="1" applyFill="1" applyBorder="1"/>
    <xf numFmtId="0" fontId="33" fillId="18" borderId="8" xfId="0" applyFont="1" applyFill="1" applyBorder="1" applyAlignment="1">
      <alignment horizontal="center" vertical="center"/>
    </xf>
    <xf numFmtId="0" fontId="0" fillId="2" borderId="39" xfId="0" applyFill="1" applyBorder="1"/>
    <xf numFmtId="0" fontId="0" fillId="2" borderId="30" xfId="0" applyFill="1" applyBorder="1" applyAlignment="1">
      <alignment horizontal="left"/>
    </xf>
    <xf numFmtId="0" fontId="0" fillId="2" borderId="30" xfId="0" applyFill="1" applyBorder="1"/>
    <xf numFmtId="0" fontId="6" fillId="3" borderId="9" xfId="0" applyFont="1" applyFill="1" applyBorder="1"/>
    <xf numFmtId="0" fontId="6" fillId="3" borderId="16" xfId="0" applyFont="1" applyFill="1" applyBorder="1"/>
    <xf numFmtId="165" fontId="0" fillId="2" borderId="12" xfId="0" applyNumberFormat="1" applyFill="1" applyBorder="1"/>
    <xf numFmtId="166" fontId="6" fillId="3" borderId="8" xfId="0" applyNumberFormat="1" applyFont="1" applyFill="1" applyBorder="1"/>
    <xf numFmtId="0" fontId="4" fillId="9" borderId="9" xfId="0" applyFont="1" applyFill="1" applyBorder="1" applyAlignment="1">
      <alignment horizontal="center" vertical="center"/>
    </xf>
    <xf numFmtId="165" fontId="0" fillId="3" borderId="14" xfId="0" applyNumberFormat="1" applyFill="1" applyBorder="1"/>
    <xf numFmtId="0" fontId="36" fillId="18" borderId="9" xfId="0" applyFont="1" applyFill="1" applyBorder="1" applyAlignment="1">
      <alignment horizontal="center" vertical="center"/>
    </xf>
    <xf numFmtId="165" fontId="0" fillId="0" borderId="0" xfId="0" applyNumberFormat="1"/>
    <xf numFmtId="0" fontId="36" fillId="18" borderId="8" xfId="0" applyFont="1" applyFill="1" applyBorder="1" applyAlignment="1">
      <alignment horizontal="center" vertical="center"/>
    </xf>
    <xf numFmtId="165" fontId="0" fillId="0" borderId="13" xfId="0" applyNumberFormat="1" applyBorder="1"/>
    <xf numFmtId="165" fontId="0" fillId="0" borderId="8" xfId="0" applyNumberFormat="1" applyBorder="1"/>
    <xf numFmtId="0" fontId="0" fillId="18" borderId="9" xfId="0" applyFill="1" applyBorder="1"/>
    <xf numFmtId="0" fontId="0" fillId="18" borderId="6" xfId="0" applyFill="1" applyBorder="1"/>
    <xf numFmtId="0" fontId="0" fillId="18" borderId="16" xfId="0" applyFill="1" applyBorder="1"/>
    <xf numFmtId="165" fontId="0" fillId="18" borderId="8" xfId="0" applyNumberFormat="1" applyFill="1" applyBorder="1"/>
    <xf numFmtId="0" fontId="0" fillId="0" borderId="0" xfId="0" applyAlignment="1">
      <alignment horizontal="center" vertical="center"/>
    </xf>
    <xf numFmtId="165" fontId="0" fillId="0" borderId="14" xfId="0" applyNumberFormat="1" applyBorder="1"/>
    <xf numFmtId="172" fontId="0" fillId="0" borderId="14" xfId="1" applyNumberFormat="1" applyFont="1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3" fillId="18" borderId="41" xfId="0" applyFont="1" applyFill="1" applyBorder="1"/>
    <xf numFmtId="165" fontId="3" fillId="18" borderId="36" xfId="0" applyNumberFormat="1" applyFont="1" applyFill="1" applyBorder="1"/>
    <xf numFmtId="0" fontId="3" fillId="18" borderId="36" xfId="0" applyFont="1" applyFill="1" applyBorder="1"/>
    <xf numFmtId="165" fontId="3" fillId="18" borderId="42" xfId="0" applyNumberFormat="1" applyFont="1" applyFill="1" applyBorder="1"/>
    <xf numFmtId="0" fontId="35" fillId="18" borderId="41" xfId="0" applyFont="1" applyFill="1" applyBorder="1" applyAlignment="1">
      <alignment horizontal="center" vertical="center"/>
    </xf>
    <xf numFmtId="0" fontId="36" fillId="18" borderId="36" xfId="0" applyFont="1" applyFill="1" applyBorder="1" applyAlignment="1">
      <alignment horizontal="center" vertical="center"/>
    </xf>
    <xf numFmtId="0" fontId="36" fillId="18" borderId="42" xfId="0" applyFont="1" applyFill="1" applyBorder="1" applyAlignment="1">
      <alignment horizontal="center" vertical="center"/>
    </xf>
    <xf numFmtId="0" fontId="5" fillId="0" borderId="0" xfId="0" applyFont="1"/>
    <xf numFmtId="16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0" fillId="0" borderId="0" xfId="0" applyNumberFormat="1"/>
    <xf numFmtId="44" fontId="0" fillId="0" borderId="0" xfId="2" applyFont="1"/>
    <xf numFmtId="0" fontId="0" fillId="0" borderId="8" xfId="0" applyBorder="1"/>
    <xf numFmtId="9" fontId="0" fillId="0" borderId="8" xfId="0" applyNumberFormat="1" applyBorder="1"/>
    <xf numFmtId="44" fontId="0" fillId="0" borderId="8" xfId="2" applyFont="1" applyBorder="1"/>
    <xf numFmtId="0" fontId="13" fillId="19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69" fontId="0" fillId="0" borderId="8" xfId="1" applyNumberFormat="1" applyFon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173" fontId="0" fillId="0" borderId="8" xfId="2" applyNumberFormat="1" applyFont="1" applyBorder="1" applyAlignment="1">
      <alignment horizontal="center" vertical="center"/>
    </xf>
    <xf numFmtId="164" fontId="0" fillId="0" borderId="8" xfId="2" applyNumberFormat="1" applyFont="1" applyBorder="1"/>
    <xf numFmtId="169" fontId="13" fillId="0" borderId="0" xfId="1" applyNumberFormat="1" applyFont="1" applyAlignment="1">
      <alignment horizontal="left" vertical="center"/>
    </xf>
    <xf numFmtId="169" fontId="0" fillId="0" borderId="8" xfId="0" applyNumberFormat="1" applyBorder="1" applyAlignment="1">
      <alignment horizontal="center" vertical="center"/>
    </xf>
    <xf numFmtId="169" fontId="0" fillId="0" borderId="0" xfId="1" applyNumberFormat="1" applyFont="1"/>
    <xf numFmtId="169" fontId="0" fillId="0" borderId="8" xfId="1" applyNumberFormat="1" applyFont="1" applyBorder="1"/>
    <xf numFmtId="169" fontId="0" fillId="0" borderId="0" xfId="0" applyNumberFormat="1"/>
    <xf numFmtId="175" fontId="0" fillId="0" borderId="8" xfId="2" applyNumberFormat="1" applyFont="1" applyBorder="1" applyAlignment="1">
      <alignment horizontal="center" vertical="center"/>
    </xf>
    <xf numFmtId="169" fontId="0" fillId="0" borderId="8" xfId="1" applyNumberFormat="1" applyFont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0" fontId="13" fillId="19" borderId="14" xfId="0" applyFont="1" applyFill="1" applyBorder="1" applyAlignment="1">
      <alignment horizontal="center" vertical="center" wrapText="1"/>
    </xf>
    <xf numFmtId="165" fontId="0" fillId="0" borderId="8" xfId="2" applyNumberFormat="1" applyFont="1" applyBorder="1"/>
    <xf numFmtId="0" fontId="0" fillId="19" borderId="9" xfId="0" applyFill="1" applyBorder="1"/>
    <xf numFmtId="0" fontId="0" fillId="19" borderId="6" xfId="0" applyFill="1" applyBorder="1"/>
    <xf numFmtId="0" fontId="0" fillId="19" borderId="16" xfId="0" applyFill="1" applyBorder="1"/>
    <xf numFmtId="0" fontId="0" fillId="0" borderId="12" xfId="0" applyBorder="1" applyAlignment="1">
      <alignment horizontal="center"/>
    </xf>
    <xf numFmtId="165" fontId="0" fillId="0" borderId="12" xfId="2" applyNumberFormat="1" applyFont="1" applyBorder="1"/>
    <xf numFmtId="165" fontId="0" fillId="0" borderId="12" xfId="0" applyNumberFormat="1" applyBorder="1"/>
    <xf numFmtId="0" fontId="6" fillId="19" borderId="43" xfId="0" applyFont="1" applyFill="1" applyBorder="1"/>
    <xf numFmtId="0" fontId="6" fillId="19" borderId="37" xfId="0" applyFont="1" applyFill="1" applyBorder="1"/>
    <xf numFmtId="0" fontId="6" fillId="19" borderId="44" xfId="0" applyFont="1" applyFill="1" applyBorder="1"/>
    <xf numFmtId="0" fontId="6" fillId="19" borderId="36" xfId="0" applyFont="1" applyFill="1" applyBorder="1" applyAlignment="1">
      <alignment horizontal="center"/>
    </xf>
    <xf numFmtId="165" fontId="6" fillId="19" borderId="36" xfId="0" applyNumberFormat="1" applyFont="1" applyFill="1" applyBorder="1"/>
    <xf numFmtId="165" fontId="6" fillId="19" borderId="42" xfId="0" applyNumberFormat="1" applyFont="1" applyFill="1" applyBorder="1"/>
    <xf numFmtId="0" fontId="5" fillId="0" borderId="8" xfId="0" applyFont="1" applyBorder="1" applyAlignment="1">
      <alignment horizontal="center"/>
    </xf>
    <xf numFmtId="0" fontId="13" fillId="19" borderId="9" xfId="0" applyFont="1" applyFill="1" applyBorder="1" applyAlignment="1">
      <alignment horizontal="center" vertical="center" wrapText="1"/>
    </xf>
    <xf numFmtId="0" fontId="13" fillId="19" borderId="16" xfId="0" applyFont="1" applyFill="1" applyBorder="1" applyAlignment="1">
      <alignment horizontal="center" vertical="center" wrapText="1"/>
    </xf>
    <xf numFmtId="165" fontId="0" fillId="0" borderId="13" xfId="2" applyNumberFormat="1" applyFont="1" applyBorder="1"/>
    <xf numFmtId="0" fontId="13" fillId="19" borderId="12" xfId="0" applyFont="1" applyFill="1" applyBorder="1" applyAlignment="1">
      <alignment horizontal="center" vertical="center" wrapText="1"/>
    </xf>
    <xf numFmtId="0" fontId="13" fillId="19" borderId="13" xfId="0" applyFont="1" applyFill="1" applyBorder="1" applyAlignment="1">
      <alignment horizontal="center" vertical="center" wrapText="1"/>
    </xf>
    <xf numFmtId="43" fontId="0" fillId="0" borderId="8" xfId="1" applyFont="1" applyBorder="1"/>
    <xf numFmtId="175" fontId="0" fillId="0" borderId="8" xfId="0" applyNumberFormat="1" applyBorder="1"/>
    <xf numFmtId="175" fontId="0" fillId="19" borderId="8" xfId="0" applyNumberFormat="1" applyFill="1" applyBorder="1"/>
    <xf numFmtId="174" fontId="0" fillId="19" borderId="8" xfId="2" applyNumberFormat="1" applyFont="1" applyFill="1" applyBorder="1"/>
    <xf numFmtId="168" fontId="0" fillId="0" borderId="8" xfId="1" applyNumberFormat="1" applyFont="1" applyBorder="1" applyAlignment="1">
      <alignment horizontal="left" vertical="center"/>
    </xf>
    <xf numFmtId="0" fontId="6" fillId="0" borderId="0" xfId="0" applyFont="1"/>
    <xf numFmtId="164" fontId="0" fillId="0" borderId="8" xfId="2" applyNumberFormat="1" applyFont="1" applyBorder="1" applyAlignment="1">
      <alignment horizontal="center"/>
    </xf>
    <xf numFmtId="164" fontId="6" fillId="0" borderId="0" xfId="2" applyNumberFormat="1" applyFont="1"/>
    <xf numFmtId="175" fontId="0" fillId="0" borderId="0" xfId="2" applyNumberFormat="1" applyFont="1" applyAlignment="1">
      <alignment horizontal="center" vertical="center"/>
    </xf>
    <xf numFmtId="169" fontId="0" fillId="5" borderId="0" xfId="1" applyNumberFormat="1" applyFont="1" applyFill="1"/>
    <xf numFmtId="175" fontId="0" fillId="5" borderId="0" xfId="2" applyNumberFormat="1" applyFont="1" applyFill="1" applyAlignment="1">
      <alignment horizontal="center" vertical="center"/>
    </xf>
    <xf numFmtId="169" fontId="0" fillId="20" borderId="8" xfId="1" applyNumberFormat="1" applyFont="1" applyFill="1" applyBorder="1" applyAlignment="1">
      <alignment horizontal="center" vertical="center"/>
    </xf>
    <xf numFmtId="9" fontId="0" fillId="20" borderId="8" xfId="0" applyNumberFormat="1" applyFill="1" applyBorder="1" applyAlignment="1">
      <alignment horizontal="center" vertical="center"/>
    </xf>
    <xf numFmtId="44" fontId="0" fillId="20" borderId="8" xfId="2" applyFont="1" applyFill="1" applyBorder="1"/>
    <xf numFmtId="44" fontId="0" fillId="20" borderId="0" xfId="2" applyFont="1" applyFill="1"/>
    <xf numFmtId="165" fontId="0" fillId="20" borderId="8" xfId="2" applyNumberFormat="1" applyFont="1" applyFill="1" applyBorder="1" applyAlignment="1">
      <alignment horizontal="center" vertical="center"/>
    </xf>
    <xf numFmtId="169" fontId="0" fillId="20" borderId="8" xfId="1" applyNumberFormat="1" applyFont="1" applyFill="1" applyBorder="1" applyAlignment="1">
      <alignment horizontal="left" vertical="center"/>
    </xf>
    <xf numFmtId="1" fontId="0" fillId="20" borderId="8" xfId="0" applyNumberFormat="1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0" fillId="20" borderId="8" xfId="0" applyFill="1" applyBorder="1"/>
    <xf numFmtId="1" fontId="0" fillId="20" borderId="8" xfId="0" applyNumberFormat="1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174" fontId="0" fillId="20" borderId="8" xfId="2" applyNumberFormat="1" applyFont="1" applyFill="1" applyBorder="1" applyAlignment="1">
      <alignment horizontal="center" vertical="center"/>
    </xf>
    <xf numFmtId="174" fontId="0" fillId="20" borderId="8" xfId="0" applyNumberFormat="1" applyFill="1" applyBorder="1"/>
    <xf numFmtId="174" fontId="0" fillId="20" borderId="8" xfId="2" applyNumberFormat="1" applyFont="1" applyFill="1" applyBorder="1"/>
    <xf numFmtId="43" fontId="0" fillId="20" borderId="13" xfId="1" applyFont="1" applyFill="1" applyBorder="1"/>
    <xf numFmtId="43" fontId="0" fillId="20" borderId="8" xfId="1" applyFont="1" applyFill="1" applyBorder="1"/>
    <xf numFmtId="0" fontId="0" fillId="0" borderId="13" xfId="0" applyBorder="1" applyAlignment="1">
      <alignment horizontal="center" vertical="center"/>
    </xf>
    <xf numFmtId="169" fontId="0" fillId="0" borderId="13" xfId="1" applyNumberFormat="1" applyFont="1" applyBorder="1" applyAlignment="1">
      <alignment horizontal="center" vertical="center"/>
    </xf>
    <xf numFmtId="44" fontId="0" fillId="0" borderId="13" xfId="0" applyNumberFormat="1" applyBorder="1" applyAlignment="1">
      <alignment horizontal="center" vertical="center"/>
    </xf>
    <xf numFmtId="173" fontId="0" fillId="0" borderId="13" xfId="2" applyNumberFormat="1" applyFont="1" applyBorder="1" applyAlignment="1">
      <alignment horizontal="center" vertical="center"/>
    </xf>
    <xf numFmtId="44" fontId="0" fillId="0" borderId="13" xfId="2" applyFont="1" applyBorder="1"/>
    <xf numFmtId="164" fontId="0" fillId="0" borderId="13" xfId="2" applyNumberFormat="1" applyFont="1" applyBorder="1"/>
    <xf numFmtId="0" fontId="13" fillId="19" borderId="12" xfId="0" applyFont="1" applyFill="1" applyBorder="1" applyAlignment="1">
      <alignment horizontal="center" vertical="center"/>
    </xf>
    <xf numFmtId="164" fontId="36" fillId="21" borderId="8" xfId="0" applyNumberFormat="1" applyFont="1" applyFill="1" applyBorder="1"/>
    <xf numFmtId="169" fontId="0" fillId="20" borderId="13" xfId="1" applyNumberFormat="1" applyFont="1" applyFill="1" applyBorder="1" applyAlignment="1">
      <alignment horizontal="center" vertical="center"/>
    </xf>
    <xf numFmtId="9" fontId="0" fillId="20" borderId="13" xfId="0" applyNumberFormat="1" applyFill="1" applyBorder="1" applyAlignment="1">
      <alignment horizontal="center" vertical="center"/>
    </xf>
    <xf numFmtId="44" fontId="0" fillId="20" borderId="13" xfId="2" applyFont="1" applyFill="1" applyBorder="1"/>
    <xf numFmtId="0" fontId="3" fillId="23" borderId="0" xfId="0" applyFont="1" applyFill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 vertical="center"/>
    </xf>
    <xf numFmtId="169" fontId="0" fillId="0" borderId="13" xfId="1" applyNumberFormat="1" applyFont="1" applyBorder="1"/>
    <xf numFmtId="0" fontId="0" fillId="24" borderId="9" xfId="0" applyFill="1" applyBorder="1" applyAlignment="1">
      <alignment horizontal="left"/>
    </xf>
    <xf numFmtId="0" fontId="0" fillId="21" borderId="9" xfId="0" applyFill="1" applyBorder="1" applyAlignment="1">
      <alignment horizontal="center" vertical="center"/>
    </xf>
    <xf numFmtId="9" fontId="0" fillId="21" borderId="6" xfId="3" applyFont="1" applyFill="1" applyBorder="1" applyAlignment="1">
      <alignment horizontal="center" vertical="center"/>
    </xf>
    <xf numFmtId="9" fontId="0" fillId="21" borderId="16" xfId="3" applyFont="1" applyFill="1" applyBorder="1" applyAlignment="1">
      <alignment horizontal="center" vertical="center"/>
    </xf>
    <xf numFmtId="165" fontId="0" fillId="0" borderId="12" xfId="2" applyNumberFormat="1" applyFont="1" applyBorder="1" applyAlignment="1">
      <alignment horizontal="left" vertical="center"/>
    </xf>
    <xf numFmtId="165" fontId="0" fillId="0" borderId="12" xfId="2" applyNumberFormat="1" applyFont="1" applyBorder="1" applyAlignment="1">
      <alignment horizontal="center"/>
    </xf>
    <xf numFmtId="165" fontId="0" fillId="0" borderId="14" xfId="2" applyNumberFormat="1" applyFont="1" applyBorder="1"/>
    <xf numFmtId="165" fontId="3" fillId="23" borderId="0" xfId="2" applyNumberFormat="1" applyFont="1" applyFill="1"/>
    <xf numFmtId="166" fontId="0" fillId="0" borderId="12" xfId="2" applyNumberFormat="1" applyFont="1" applyBorder="1" applyAlignment="1">
      <alignment horizontal="left" vertical="center"/>
    </xf>
    <xf numFmtId="166" fontId="0" fillId="0" borderId="12" xfId="2" applyNumberFormat="1" applyFont="1" applyBorder="1" applyAlignment="1">
      <alignment horizontal="center" vertical="center"/>
    </xf>
    <xf numFmtId="166" fontId="0" fillId="0" borderId="14" xfId="2" applyNumberFormat="1" applyFont="1" applyBorder="1"/>
    <xf numFmtId="166" fontId="0" fillId="0" borderId="13" xfId="2" applyNumberFormat="1" applyFont="1" applyBorder="1"/>
    <xf numFmtId="166" fontId="3" fillId="23" borderId="0" xfId="2" applyNumberFormat="1" applyFont="1" applyFill="1"/>
    <xf numFmtId="166" fontId="0" fillId="24" borderId="6" xfId="2" applyNumberFormat="1" applyFont="1" applyFill="1" applyBorder="1"/>
    <xf numFmtId="166" fontId="0" fillId="24" borderId="16" xfId="2" applyNumberFormat="1" applyFont="1" applyFill="1" applyBorder="1"/>
    <xf numFmtId="165" fontId="0" fillId="0" borderId="0" xfId="2" applyNumberFormat="1" applyFont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166" fontId="0" fillId="19" borderId="12" xfId="2" applyNumberFormat="1" applyFont="1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49" fontId="0" fillId="19" borderId="13" xfId="0" applyNumberFormat="1" applyFill="1" applyBorder="1" applyAlignment="1">
      <alignment horizontal="center"/>
    </xf>
    <xf numFmtId="165" fontId="0" fillId="20" borderId="13" xfId="2" applyNumberFormat="1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165" fontId="0" fillId="19" borderId="6" xfId="0" applyNumberFormat="1" applyFill="1" applyBorder="1" applyAlignment="1">
      <alignment horizontal="center" vertical="center"/>
    </xf>
    <xf numFmtId="165" fontId="0" fillId="19" borderId="16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13" xfId="0" applyNumberFormat="1" applyBorder="1" applyAlignment="1">
      <alignment horizontal="center" vertical="center"/>
    </xf>
    <xf numFmtId="9" fontId="0" fillId="20" borderId="13" xfId="2" applyNumberFormat="1" applyFont="1" applyFill="1" applyBorder="1" applyAlignment="1">
      <alignment horizontal="center" vertical="center"/>
    </xf>
    <xf numFmtId="168" fontId="0" fillId="0" borderId="13" xfId="1" applyNumberFormat="1" applyFont="1" applyBorder="1" applyAlignment="1">
      <alignment horizontal="left" vertical="center"/>
    </xf>
    <xf numFmtId="169" fontId="0" fillId="0" borderId="13" xfId="1" applyNumberFormat="1" applyFon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164" fontId="0" fillId="0" borderId="13" xfId="2" applyNumberFormat="1" applyFont="1" applyBorder="1" applyAlignment="1">
      <alignment horizontal="center"/>
    </xf>
    <xf numFmtId="0" fontId="13" fillId="19" borderId="12" xfId="0" applyFont="1" applyFill="1" applyBorder="1" applyAlignment="1">
      <alignment horizontal="center" wrapText="1"/>
    </xf>
    <xf numFmtId="0" fontId="0" fillId="19" borderId="12" xfId="0" applyFill="1" applyBorder="1" applyAlignment="1">
      <alignment horizontal="center"/>
    </xf>
    <xf numFmtId="0" fontId="0" fillId="19" borderId="39" xfId="0" applyFill="1" applyBorder="1" applyAlignment="1">
      <alignment horizontal="center"/>
    </xf>
    <xf numFmtId="0" fontId="13" fillId="19" borderId="11" xfId="0" applyFont="1" applyFill="1" applyBorder="1" applyAlignment="1">
      <alignment horizontal="center" vertical="center" wrapText="1"/>
    </xf>
    <xf numFmtId="1" fontId="0" fillId="0" borderId="0" xfId="0" applyNumberFormat="1"/>
    <xf numFmtId="169" fontId="4" fillId="5" borderId="0" xfId="0" applyNumberFormat="1" applyFont="1" applyFill="1"/>
    <xf numFmtId="0" fontId="3" fillId="0" borderId="8" xfId="0" applyFont="1" applyBorder="1" applyAlignment="1">
      <alignment horizontal="center" vertical="center"/>
    </xf>
    <xf numFmtId="0" fontId="4" fillId="5" borderId="14" xfId="0" applyFont="1" applyFill="1" applyBorder="1"/>
    <xf numFmtId="0" fontId="0" fillId="19" borderId="14" xfId="0" applyFill="1" applyBorder="1"/>
    <xf numFmtId="0" fontId="2" fillId="5" borderId="13" xfId="0" applyFont="1" applyFill="1" applyBorder="1"/>
    <xf numFmtId="169" fontId="0" fillId="0" borderId="12" xfId="1" applyNumberFormat="1" applyFont="1" applyBorder="1"/>
    <xf numFmtId="169" fontId="0" fillId="0" borderId="40" xfId="1" applyNumberFormat="1" applyFont="1" applyBorder="1"/>
    <xf numFmtId="169" fontId="4" fillId="5" borderId="14" xfId="0" applyNumberFormat="1" applyFont="1" applyFill="1" applyBorder="1"/>
    <xf numFmtId="169" fontId="4" fillId="5" borderId="14" xfId="1" applyNumberFormat="1" applyFont="1" applyFill="1" applyBorder="1"/>
    <xf numFmtId="169" fontId="2" fillId="5" borderId="13" xfId="1" applyNumberFormat="1" applyFont="1" applyFill="1" applyBorder="1"/>
    <xf numFmtId="0" fontId="0" fillId="0" borderId="12" xfId="0" applyBorder="1" applyAlignment="1">
      <alignment horizontal="center" vertical="center"/>
    </xf>
    <xf numFmtId="169" fontId="0" fillId="0" borderId="12" xfId="0" applyNumberFormat="1" applyBorder="1"/>
    <xf numFmtId="0" fontId="3" fillId="19" borderId="8" xfId="0" applyFont="1" applyFill="1" applyBorder="1" applyAlignment="1">
      <alignment horizontal="center" vertical="center"/>
    </xf>
    <xf numFmtId="0" fontId="0" fillId="0" borderId="12" xfId="0" applyBorder="1"/>
    <xf numFmtId="0" fontId="3" fillId="19" borderId="13" xfId="0" applyFont="1" applyFill="1" applyBorder="1"/>
    <xf numFmtId="169" fontId="0" fillId="19" borderId="14" xfId="1" applyNumberFormat="1" applyFont="1" applyFill="1" applyBorder="1"/>
    <xf numFmtId="169" fontId="3" fillId="19" borderId="13" xfId="1" applyNumberFormat="1" applyFont="1" applyFill="1" applyBorder="1"/>
    <xf numFmtId="0" fontId="3" fillId="19" borderId="9" xfId="0" applyFont="1" applyFill="1" applyBorder="1"/>
    <xf numFmtId="169" fontId="3" fillId="19" borderId="6" xfId="0" applyNumberFormat="1" applyFont="1" applyFill="1" applyBorder="1"/>
    <xf numFmtId="169" fontId="3" fillId="19" borderId="16" xfId="0" applyNumberFormat="1" applyFont="1" applyFill="1" applyBorder="1"/>
    <xf numFmtId="169" fontId="0" fillId="0" borderId="30" xfId="1" applyNumberFormat="1" applyFont="1" applyBorder="1"/>
    <xf numFmtId="0" fontId="0" fillId="19" borderId="38" xfId="0" applyFill="1" applyBorder="1" applyAlignment="1">
      <alignment horizontal="center" vertical="center"/>
    </xf>
    <xf numFmtId="0" fontId="0" fillId="19" borderId="4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176" fontId="0" fillId="0" borderId="14" xfId="0" applyNumberFormat="1" applyBorder="1"/>
    <xf numFmtId="0" fontId="3" fillId="0" borderId="9" xfId="0" applyFont="1" applyBorder="1"/>
    <xf numFmtId="0" fontId="3" fillId="0" borderId="6" xfId="0" applyFont="1" applyBorder="1"/>
    <xf numFmtId="169" fontId="3" fillId="0" borderId="16" xfId="1" applyNumberFormat="1" applyFont="1" applyBorder="1"/>
    <xf numFmtId="0" fontId="0" fillId="19" borderId="8" xfId="0" applyFill="1" applyBorder="1" applyAlignment="1">
      <alignment horizontal="center" vertical="center"/>
    </xf>
    <xf numFmtId="0" fontId="5" fillId="0" borderId="8" xfId="0" applyFont="1" applyBorder="1"/>
    <xf numFmtId="177" fontId="0" fillId="0" borderId="8" xfId="0" applyNumberFormat="1" applyBorder="1"/>
    <xf numFmtId="0" fontId="23" fillId="13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/>
    </xf>
    <xf numFmtId="0" fontId="24" fillId="2" borderId="29" xfId="0" applyFont="1" applyFill="1" applyBorder="1" applyAlignment="1">
      <alignment horizontal="center" vertical="center" textRotation="90"/>
    </xf>
    <xf numFmtId="0" fontId="24" fillId="2" borderId="17" xfId="0" applyFont="1" applyFill="1" applyBorder="1" applyAlignment="1">
      <alignment horizontal="center" vertical="center" textRotation="90"/>
    </xf>
    <xf numFmtId="0" fontId="24" fillId="2" borderId="18" xfId="0" applyFont="1" applyFill="1" applyBorder="1" applyAlignment="1">
      <alignment horizontal="center" vertical="center" textRotation="90"/>
    </xf>
    <xf numFmtId="0" fontId="11" fillId="6" borderId="0" xfId="0" applyFont="1" applyFill="1" applyAlignment="1">
      <alignment horizontal="center"/>
    </xf>
    <xf numFmtId="0" fontId="9" fillId="5" borderId="7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9" fillId="12" borderId="19" xfId="0" applyFont="1" applyFill="1" applyBorder="1" applyAlignment="1">
      <alignment vertical="center" wrapText="1"/>
    </xf>
    <xf numFmtId="0" fontId="19" fillId="12" borderId="20" xfId="0" applyFont="1" applyFill="1" applyBorder="1" applyAlignment="1">
      <alignment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vertical="center" wrapText="1"/>
    </xf>
    <xf numFmtId="0" fontId="3" fillId="2" borderId="26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9" fillId="6" borderId="0" xfId="0" applyFont="1" applyFill="1" applyAlignment="1">
      <alignment horizontal="center" wrapText="1"/>
    </xf>
    <xf numFmtId="0" fontId="19" fillId="8" borderId="19" xfId="0" applyFont="1" applyFill="1" applyBorder="1" applyAlignment="1">
      <alignment vertical="center" wrapText="1"/>
    </xf>
    <xf numFmtId="0" fontId="19" fillId="8" borderId="20" xfId="0" applyFont="1" applyFill="1" applyBorder="1" applyAlignment="1">
      <alignment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20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30" fillId="17" borderId="9" xfId="0" applyFont="1" applyFill="1" applyBorder="1" applyAlignment="1">
      <alignment horizontal="center" vertical="center"/>
    </xf>
    <xf numFmtId="0" fontId="30" fillId="17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0" fillId="17" borderId="1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left"/>
    </xf>
    <xf numFmtId="0" fontId="0" fillId="2" borderId="38" xfId="0" applyFill="1" applyBorder="1" applyAlignment="1">
      <alignment horizontal="left"/>
    </xf>
    <xf numFmtId="0" fontId="0" fillId="2" borderId="40" xfId="0" applyFill="1" applyBorder="1" applyAlignment="1">
      <alignment horizontal="left"/>
    </xf>
    <xf numFmtId="0" fontId="35" fillId="18" borderId="39" xfId="0" applyFont="1" applyFill="1" applyBorder="1" applyAlignment="1">
      <alignment horizontal="center" vertical="center" wrapText="1"/>
    </xf>
    <xf numFmtId="0" fontId="35" fillId="18" borderId="38" xfId="0" applyFont="1" applyFill="1" applyBorder="1" applyAlignment="1">
      <alignment horizontal="center" vertical="center" wrapText="1"/>
    </xf>
    <xf numFmtId="0" fontId="35" fillId="18" borderId="40" xfId="0" applyFont="1" applyFill="1" applyBorder="1" applyAlignment="1">
      <alignment horizontal="center" vertical="center" wrapText="1"/>
    </xf>
    <xf numFmtId="0" fontId="35" fillId="18" borderId="11" xfId="0" applyFont="1" applyFill="1" applyBorder="1" applyAlignment="1">
      <alignment horizontal="center" vertical="center" wrapText="1"/>
    </xf>
    <xf numFmtId="0" fontId="35" fillId="18" borderId="10" xfId="0" applyFont="1" applyFill="1" applyBorder="1" applyAlignment="1">
      <alignment horizontal="center" vertical="center" wrapText="1"/>
    </xf>
    <xf numFmtId="0" fontId="35" fillId="18" borderId="31" xfId="0" applyFont="1" applyFill="1" applyBorder="1" applyAlignment="1">
      <alignment horizontal="center" vertical="center" wrapText="1"/>
    </xf>
    <xf numFmtId="0" fontId="36" fillId="18" borderId="6" xfId="0" applyFont="1" applyFill="1" applyBorder="1" applyAlignment="1">
      <alignment horizontal="center" vertical="center"/>
    </xf>
    <xf numFmtId="0" fontId="20" fillId="18" borderId="8" xfId="0" applyFont="1" applyFill="1" applyBorder="1" applyAlignment="1">
      <alignment horizontal="center" vertical="center" wrapText="1"/>
    </xf>
    <xf numFmtId="0" fontId="20" fillId="18" borderId="8" xfId="0" applyFont="1" applyFill="1" applyBorder="1" applyAlignment="1">
      <alignment horizontal="center"/>
    </xf>
    <xf numFmtId="0" fontId="36" fillId="18" borderId="9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0" xfId="0" applyAlignment="1">
      <alignment horizontal="center"/>
    </xf>
    <xf numFmtId="0" fontId="31" fillId="9" borderId="12" xfId="0" applyFont="1" applyFill="1" applyBorder="1" applyAlignment="1">
      <alignment horizontal="center" vertical="center" wrapText="1"/>
    </xf>
    <xf numFmtId="0" fontId="31" fillId="9" borderId="13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/>
    </xf>
    <xf numFmtId="0" fontId="34" fillId="9" borderId="39" xfId="0" applyFont="1" applyFill="1" applyBorder="1" applyAlignment="1">
      <alignment horizontal="center" vertical="center" wrapText="1"/>
    </xf>
    <xf numFmtId="0" fontId="34" fillId="9" borderId="38" xfId="0" applyFont="1" applyFill="1" applyBorder="1" applyAlignment="1">
      <alignment horizontal="center" vertical="center" wrapText="1"/>
    </xf>
    <xf numFmtId="0" fontId="34" fillId="9" borderId="40" xfId="0" applyFont="1" applyFill="1" applyBorder="1" applyAlignment="1">
      <alignment horizontal="center" vertical="center" wrapText="1"/>
    </xf>
    <xf numFmtId="0" fontId="34" fillId="9" borderId="11" xfId="0" applyFont="1" applyFill="1" applyBorder="1" applyAlignment="1">
      <alignment horizontal="center" vertical="center" wrapText="1"/>
    </xf>
    <xf numFmtId="0" fontId="34" fillId="9" borderId="10" xfId="0" applyFont="1" applyFill="1" applyBorder="1" applyAlignment="1">
      <alignment horizontal="center" vertical="center" wrapText="1"/>
    </xf>
    <xf numFmtId="0" fontId="34" fillId="9" borderId="31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16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20" fillId="18" borderId="8" xfId="0" applyFont="1" applyFill="1" applyBorder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30" xfId="0" applyFill="1" applyBorder="1" applyAlignment="1">
      <alignment horizontal="left"/>
    </xf>
    <xf numFmtId="0" fontId="3" fillId="19" borderId="8" xfId="0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19" borderId="12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19" borderId="39" xfId="0" applyFill="1" applyBorder="1" applyAlignment="1">
      <alignment horizontal="left"/>
    </xf>
    <xf numFmtId="0" fontId="0" fillId="19" borderId="38" xfId="0" applyFill="1" applyBorder="1" applyAlignment="1">
      <alignment horizontal="left"/>
    </xf>
    <xf numFmtId="0" fontId="0" fillId="19" borderId="40" xfId="0" applyFill="1" applyBorder="1" applyAlignment="1">
      <alignment horizontal="left"/>
    </xf>
    <xf numFmtId="0" fontId="0" fillId="19" borderId="3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0" fillId="19" borderId="30" xfId="0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13" fillId="19" borderId="12" xfId="0" applyFont="1" applyFill="1" applyBorder="1" applyAlignment="1">
      <alignment horizontal="center" vertical="center"/>
    </xf>
    <xf numFmtId="0" fontId="13" fillId="19" borderId="13" xfId="0" applyFont="1" applyFill="1" applyBorder="1" applyAlignment="1">
      <alignment horizontal="center" vertical="center"/>
    </xf>
    <xf numFmtId="0" fontId="13" fillId="19" borderId="12" xfId="0" applyFont="1" applyFill="1" applyBorder="1" applyAlignment="1">
      <alignment horizontal="center" vertical="center" wrapText="1"/>
    </xf>
    <xf numFmtId="0" fontId="13" fillId="19" borderId="13" xfId="0" applyFont="1" applyFill="1" applyBorder="1" applyAlignment="1">
      <alignment horizontal="center" vertical="center" wrapText="1"/>
    </xf>
    <xf numFmtId="0" fontId="36" fillId="21" borderId="9" xfId="0" applyFont="1" applyFill="1" applyBorder="1" applyAlignment="1">
      <alignment horizontal="left"/>
    </xf>
    <xf numFmtId="0" fontId="36" fillId="21" borderId="6" xfId="0" applyFont="1" applyFill="1" applyBorder="1" applyAlignment="1">
      <alignment horizontal="left"/>
    </xf>
    <xf numFmtId="0" fontId="36" fillId="21" borderId="16" xfId="0" applyFont="1" applyFill="1" applyBorder="1" applyAlignment="1">
      <alignment horizontal="left"/>
    </xf>
    <xf numFmtId="0" fontId="0" fillId="19" borderId="16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22" borderId="3" xfId="0" applyFill="1" applyBorder="1" applyAlignment="1">
      <alignment horizontal="left"/>
    </xf>
    <xf numFmtId="0" fontId="0" fillId="22" borderId="0" xfId="0" applyFill="1" applyAlignment="1">
      <alignment horizontal="left"/>
    </xf>
    <xf numFmtId="0" fontId="0" fillId="22" borderId="38" xfId="0" applyFill="1" applyBorder="1" applyAlignment="1">
      <alignment horizontal="left"/>
    </xf>
    <xf numFmtId="0" fontId="0" fillId="22" borderId="40" xfId="0" applyFill="1" applyBorder="1" applyAlignment="1">
      <alignment horizontal="left"/>
    </xf>
    <xf numFmtId="0" fontId="0" fillId="22" borderId="39" xfId="0" applyFill="1" applyBorder="1" applyAlignment="1">
      <alignment horizontal="left"/>
    </xf>
    <xf numFmtId="0" fontId="13" fillId="19" borderId="3" xfId="0" applyFont="1" applyFill="1" applyBorder="1" applyAlignment="1">
      <alignment horizontal="center" vertical="center" wrapText="1"/>
    </xf>
    <xf numFmtId="0" fontId="13" fillId="19" borderId="0" xfId="0" applyFont="1" applyFill="1" applyAlignment="1">
      <alignment horizontal="center" vertical="center" wrapText="1"/>
    </xf>
    <xf numFmtId="0" fontId="13" fillId="19" borderId="3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13" fillId="19" borderId="3" xfId="0" applyFont="1" applyFill="1" applyBorder="1" applyAlignment="1">
      <alignment horizontal="left" vertical="center" wrapText="1"/>
    </xf>
    <xf numFmtId="0" fontId="13" fillId="19" borderId="0" xfId="0" applyFont="1" applyFill="1" applyAlignment="1">
      <alignment horizontal="left" vertical="center" wrapText="1"/>
    </xf>
    <xf numFmtId="0" fontId="13" fillId="19" borderId="30" xfId="0" applyFont="1" applyFill="1" applyBorder="1" applyAlignment="1">
      <alignment horizontal="left" vertical="center" wrapText="1"/>
    </xf>
    <xf numFmtId="169" fontId="0" fillId="0" borderId="8" xfId="1" applyNumberFormat="1" applyFont="1" applyBorder="1" applyAlignment="1">
      <alignment horizontal="left"/>
    </xf>
    <xf numFmtId="169" fontId="0" fillId="0" borderId="12" xfId="1" applyNumberFormat="1" applyFont="1" applyBorder="1" applyAlignment="1">
      <alignment horizontal="left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Flujo de Ingresos y Egresos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426839082959926E-2"/>
          <c:y val="0.10759046761701821"/>
          <c:w val="0.82702878603589181"/>
          <c:h val="0.877500611396429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Inicio!$DZ$13</c:f>
              <c:strCache>
                <c:ptCount val="1"/>
                <c:pt idx="0">
                  <c:v>Ingreso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Inicio!$DY$14:$DY$25</c:f>
              <c:strCache>
                <c:ptCount val="12"/>
                <c:pt idx="0">
                  <c:v>Junio 2018</c:v>
                </c:pt>
                <c:pt idx="1">
                  <c:v>Julio 2018</c:v>
                </c:pt>
                <c:pt idx="2">
                  <c:v>Agosto 2018</c:v>
                </c:pt>
                <c:pt idx="3">
                  <c:v>Setiembre 2018</c:v>
                </c:pt>
                <c:pt idx="4">
                  <c:v>Octubre 2018</c:v>
                </c:pt>
                <c:pt idx="5">
                  <c:v>Noviembre 2018</c:v>
                </c:pt>
                <c:pt idx="6">
                  <c:v>Diciembre 2018</c:v>
                </c:pt>
                <c:pt idx="7">
                  <c:v>Enero 2019</c:v>
                </c:pt>
                <c:pt idx="8">
                  <c:v>Febrero 2019</c:v>
                </c:pt>
                <c:pt idx="9">
                  <c:v>Marzo 2019</c:v>
                </c:pt>
                <c:pt idx="10">
                  <c:v>Abril 2019</c:v>
                </c:pt>
                <c:pt idx="11">
                  <c:v>Mayo 2019</c:v>
                </c:pt>
              </c:strCache>
            </c:strRef>
          </c:cat>
          <c:val>
            <c:numRef>
              <c:f>Inicio!$DZ$14:$DZ$25</c:f>
              <c:numCache>
                <c:formatCode>General</c:formatCode>
                <c:ptCount val="12"/>
                <c:pt idx="0">
                  <c:v>176.95464161176676</c:v>
                </c:pt>
                <c:pt idx="1">
                  <c:v>347.30903849370407</c:v>
                </c:pt>
                <c:pt idx="2">
                  <c:v>286.61318458351468</c:v>
                </c:pt>
                <c:pt idx="3">
                  <c:v>98.706729352267203</c:v>
                </c:pt>
                <c:pt idx="4">
                  <c:v>20.918102422494812</c:v>
                </c:pt>
                <c:pt idx="5">
                  <c:v>853.33412432453588</c:v>
                </c:pt>
                <c:pt idx="6">
                  <c:v>107.03931164836588</c:v>
                </c:pt>
                <c:pt idx="7">
                  <c:v>303.20512942194523</c:v>
                </c:pt>
                <c:pt idx="8">
                  <c:v>285.79619511313524</c:v>
                </c:pt>
                <c:pt idx="9">
                  <c:v>749.82514172936851</c:v>
                </c:pt>
                <c:pt idx="10">
                  <c:v>425.12009531186925</c:v>
                </c:pt>
                <c:pt idx="11">
                  <c:v>933.4174565213292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2-43B8-B6D1-83A8435527F9}"/>
            </c:ext>
          </c:extLst>
        </c:ser>
        <c:ser>
          <c:idx val="1"/>
          <c:order val="1"/>
          <c:tx>
            <c:strRef>
              <c:f>Inicio!$EA$13</c:f>
              <c:strCache>
                <c:ptCount val="1"/>
                <c:pt idx="0">
                  <c:v>Egresos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Inicio!$DY$14:$DY$25</c:f>
              <c:strCache>
                <c:ptCount val="12"/>
                <c:pt idx="0">
                  <c:v>Junio 2018</c:v>
                </c:pt>
                <c:pt idx="1">
                  <c:v>Julio 2018</c:v>
                </c:pt>
                <c:pt idx="2">
                  <c:v>Agosto 2018</c:v>
                </c:pt>
                <c:pt idx="3">
                  <c:v>Setiembre 2018</c:v>
                </c:pt>
                <c:pt idx="4">
                  <c:v>Octubre 2018</c:v>
                </c:pt>
                <c:pt idx="5">
                  <c:v>Noviembre 2018</c:v>
                </c:pt>
                <c:pt idx="6">
                  <c:v>Diciembre 2018</c:v>
                </c:pt>
                <c:pt idx="7">
                  <c:v>Enero 2019</c:v>
                </c:pt>
                <c:pt idx="8">
                  <c:v>Febrero 2019</c:v>
                </c:pt>
                <c:pt idx="9">
                  <c:v>Marzo 2019</c:v>
                </c:pt>
                <c:pt idx="10">
                  <c:v>Abril 2019</c:v>
                </c:pt>
                <c:pt idx="11">
                  <c:v>Mayo 2019</c:v>
                </c:pt>
              </c:strCache>
            </c:strRef>
          </c:cat>
          <c:val>
            <c:numRef>
              <c:f>Inicio!$EA$14:$EA$25</c:f>
              <c:numCache>
                <c:formatCode>General</c:formatCode>
                <c:ptCount val="12"/>
                <c:pt idx="0">
                  <c:v>954.70765154106584</c:v>
                </c:pt>
                <c:pt idx="1">
                  <c:v>658.54116233492971</c:v>
                </c:pt>
                <c:pt idx="2">
                  <c:v>102.73634338435444</c:v>
                </c:pt>
                <c:pt idx="3">
                  <c:v>827.30325311327761</c:v>
                </c:pt>
                <c:pt idx="4">
                  <c:v>671.69806576059432</c:v>
                </c:pt>
                <c:pt idx="5">
                  <c:v>870.65821548561757</c:v>
                </c:pt>
                <c:pt idx="6">
                  <c:v>286.48738310451836</c:v>
                </c:pt>
                <c:pt idx="7">
                  <c:v>72.862726701829587</c:v>
                </c:pt>
                <c:pt idx="8">
                  <c:v>205.37687275274763</c:v>
                </c:pt>
                <c:pt idx="9">
                  <c:v>684.19779437994646</c:v>
                </c:pt>
                <c:pt idx="10">
                  <c:v>170.71701882516288</c:v>
                </c:pt>
                <c:pt idx="11">
                  <c:v>349.43550085551277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2-43B8-B6D1-83A8435527F9}"/>
            </c:ext>
          </c:extLst>
        </c:ser>
        <c:ser>
          <c:idx val="3"/>
          <c:order val="3"/>
          <c:tx>
            <c:strRef>
              <c:f>Inicio!$EC$13</c:f>
              <c:strCache>
                <c:ptCount val="1"/>
                <c:pt idx="0">
                  <c:v>Flujo Neto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Inicio!$DY$14:$DY$25</c:f>
              <c:strCache>
                <c:ptCount val="12"/>
                <c:pt idx="0">
                  <c:v>Junio 2018</c:v>
                </c:pt>
                <c:pt idx="1">
                  <c:v>Julio 2018</c:v>
                </c:pt>
                <c:pt idx="2">
                  <c:v>Agosto 2018</c:v>
                </c:pt>
                <c:pt idx="3">
                  <c:v>Setiembre 2018</c:v>
                </c:pt>
                <c:pt idx="4">
                  <c:v>Octubre 2018</c:v>
                </c:pt>
                <c:pt idx="5">
                  <c:v>Noviembre 2018</c:v>
                </c:pt>
                <c:pt idx="6">
                  <c:v>Diciembre 2018</c:v>
                </c:pt>
                <c:pt idx="7">
                  <c:v>Enero 2019</c:v>
                </c:pt>
                <c:pt idx="8">
                  <c:v>Febrero 2019</c:v>
                </c:pt>
                <c:pt idx="9">
                  <c:v>Marzo 2019</c:v>
                </c:pt>
                <c:pt idx="10">
                  <c:v>Abril 2019</c:v>
                </c:pt>
                <c:pt idx="11">
                  <c:v>Mayo 2019</c:v>
                </c:pt>
              </c:strCache>
            </c:strRef>
          </c:cat>
          <c:val>
            <c:numRef>
              <c:f>Inicio!$EC$14:$EC$25</c:f>
              <c:numCache>
                <c:formatCode>General</c:formatCode>
                <c:ptCount val="12"/>
                <c:pt idx="0">
                  <c:v>-777.75300992929908</c:v>
                </c:pt>
                <c:pt idx="1">
                  <c:v>-1088.9851337705247</c:v>
                </c:pt>
                <c:pt idx="2">
                  <c:v>-905.10829257136447</c:v>
                </c:pt>
                <c:pt idx="3">
                  <c:v>-1633.7048163323748</c:v>
                </c:pt>
                <c:pt idx="4">
                  <c:v>-2284.4847796704744</c:v>
                </c:pt>
                <c:pt idx="5">
                  <c:v>-2301.8088708315563</c:v>
                </c:pt>
                <c:pt idx="6">
                  <c:v>-2481.2569422877086</c:v>
                </c:pt>
                <c:pt idx="7">
                  <c:v>-2250.9145395675928</c:v>
                </c:pt>
                <c:pt idx="8">
                  <c:v>-2170.4952172072053</c:v>
                </c:pt>
                <c:pt idx="9">
                  <c:v>-2104.8678698577833</c:v>
                </c:pt>
                <c:pt idx="10">
                  <c:v>-1850.4647933710769</c:v>
                </c:pt>
                <c:pt idx="11">
                  <c:v>-1266.4828377052604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2-43B8-B6D1-83A84355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7733368"/>
        <c:axId val="607731400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Inicio!$EB$13</c15:sqref>
                        </c15:formulaRef>
                      </c:ext>
                    </c:extLst>
                    <c:strCache>
                      <c:ptCount val="1"/>
                      <c:pt idx="0">
                        <c:v>Diferencia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Inicio!$DY$14:$DY$25</c15:sqref>
                        </c15:formulaRef>
                      </c:ext>
                    </c:extLst>
                    <c:strCache>
                      <c:ptCount val="12"/>
                      <c:pt idx="0">
                        <c:v>Junio 2018</c:v>
                      </c:pt>
                      <c:pt idx="1">
                        <c:v>Julio 2018</c:v>
                      </c:pt>
                      <c:pt idx="2">
                        <c:v>Agosto 2018</c:v>
                      </c:pt>
                      <c:pt idx="3">
                        <c:v>Setiembre 2018</c:v>
                      </c:pt>
                      <c:pt idx="4">
                        <c:v>Octubre 2018</c:v>
                      </c:pt>
                      <c:pt idx="5">
                        <c:v>Noviembre 2018</c:v>
                      </c:pt>
                      <c:pt idx="6">
                        <c:v>Diciembre 2018</c:v>
                      </c:pt>
                      <c:pt idx="7">
                        <c:v>Enero 2019</c:v>
                      </c:pt>
                      <c:pt idx="8">
                        <c:v>Febrero 2019</c:v>
                      </c:pt>
                      <c:pt idx="9">
                        <c:v>Marzo 2019</c:v>
                      </c:pt>
                      <c:pt idx="10">
                        <c:v>Abril 2019</c:v>
                      </c:pt>
                      <c:pt idx="11">
                        <c:v>Mayo 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Inicio!$EB$14:$EB$25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-777.75300992929908</c:v>
                      </c:pt>
                      <c:pt idx="1">
                        <c:v>-311.23212384122564</c:v>
                      </c:pt>
                      <c:pt idx="2">
                        <c:v>183.87684119916025</c:v>
                      </c:pt>
                      <c:pt idx="3">
                        <c:v>-728.59652376101042</c:v>
                      </c:pt>
                      <c:pt idx="4">
                        <c:v>-650.77996333809949</c:v>
                      </c:pt>
                      <c:pt idx="5">
                        <c:v>-17.324091161081697</c:v>
                      </c:pt>
                      <c:pt idx="6">
                        <c:v>-179.44807145615249</c:v>
                      </c:pt>
                      <c:pt idx="7">
                        <c:v>230.34240272011564</c:v>
                      </c:pt>
                      <c:pt idx="8">
                        <c:v>80.419322360387611</c:v>
                      </c:pt>
                      <c:pt idx="9">
                        <c:v>65.627347349422053</c:v>
                      </c:pt>
                      <c:pt idx="10">
                        <c:v>254.40307648670637</c:v>
                      </c:pt>
                      <c:pt idx="11">
                        <c:v>583.98195566581649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542-43B8-B6D1-83A8435527F9}"/>
                  </c:ext>
                </c:extLst>
              </c15:ser>
            </c15:filteredBarSeries>
          </c:ext>
        </c:extLst>
      </c:bar3DChart>
      <c:catAx>
        <c:axId val="60773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7731400"/>
        <c:crosses val="autoZero"/>
        <c:auto val="1"/>
        <c:lblAlgn val="ctr"/>
        <c:lblOffset val="100"/>
        <c:noMultiLvlLbl val="0"/>
      </c:catAx>
      <c:valAx>
        <c:axId val="6077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77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legendEntry>
      <c:layout>
        <c:manualLayout>
          <c:xMode val="edge"/>
          <c:yMode val="edge"/>
          <c:x val="0.87928983153020501"/>
          <c:y val="0.34377713458755427"/>
          <c:w val="5.2306257068476199E-2"/>
          <c:h val="0.13525131898310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Plan</a:t>
            </a:r>
            <a:r>
              <a:rPr lang="es-PE" baseline="0"/>
              <a:t> de compras vs Plan de ventas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 de estudio 5'!$I$3</c:f>
              <c:strCache>
                <c:ptCount val="1"/>
                <c:pt idx="0">
                  <c:v>Egresos (US$)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850340136054397E-2"/>
                  <c:y val="-9.6381633107669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FC-433F-8523-B62D22C5A9D8}"/>
                </c:ext>
              </c:extLst>
            </c:dLbl>
            <c:dLbl>
              <c:idx val="1"/>
              <c:layout>
                <c:manualLayout>
                  <c:x val="-6.5850340136054425E-2"/>
                  <c:y val="-5.5381223103569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FC-433F-8523-B62D22C5A9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'caso de estudio 5'!$H$4:$H$9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'caso de estudio 5'!$I$4:$I$9</c:f>
              <c:numCache>
                <c:formatCode>_-* #,##0_-;\-* #,##0_-;_-* "-"??_-;_-@_-</c:formatCode>
                <c:ptCount val="6"/>
                <c:pt idx="0">
                  <c:v>15000</c:v>
                </c:pt>
                <c:pt idx="1">
                  <c:v>15000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C-433F-8523-B62D22C5A9D8}"/>
            </c:ext>
          </c:extLst>
        </c:ser>
        <c:ser>
          <c:idx val="1"/>
          <c:order val="1"/>
          <c:tx>
            <c:strRef>
              <c:f>'caso de estudio 5'!$J$3</c:f>
              <c:strCache>
                <c:ptCount val="1"/>
                <c:pt idx="0">
                  <c:v>Ingresos (US$)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8117913832199561E-2"/>
                  <c:y val="7.1781387105209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FC-433F-8523-B62D22C5A9D8}"/>
                </c:ext>
              </c:extLst>
            </c:dLbl>
            <c:dLbl>
              <c:idx val="1"/>
              <c:layout>
                <c:manualLayout>
                  <c:x val="-6.1315192743764214E-2"/>
                  <c:y val="9.2281592107259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FC-433F-8523-B62D22C5A9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'caso de estudio 5'!$H$4:$H$9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'caso de estudio 5'!$J$4:$J$9</c:f>
              <c:numCache>
                <c:formatCode>_-* #,##0_-;\-* #,##0_-;_-* "-"??_-;_-@_-</c:formatCode>
                <c:ptCount val="6"/>
                <c:pt idx="0">
                  <c:v>14000</c:v>
                </c:pt>
                <c:pt idx="1">
                  <c:v>14000</c:v>
                </c:pt>
                <c:pt idx="2">
                  <c:v>16800</c:v>
                </c:pt>
                <c:pt idx="3">
                  <c:v>21000</c:v>
                </c:pt>
                <c:pt idx="4">
                  <c:v>21000</c:v>
                </c:pt>
                <c:pt idx="5">
                  <c:v>25200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C-433F-8523-B62D22C5A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2512008"/>
        <c:axId val="612510040"/>
      </c:lineChart>
      <c:catAx>
        <c:axId val="612512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12510040"/>
        <c:crosses val="autoZero"/>
        <c:auto val="1"/>
        <c:lblAlgn val="ctr"/>
        <c:lblOffset val="100"/>
        <c:noMultiLvlLbl val="0"/>
      </c:catAx>
      <c:valAx>
        <c:axId val="612510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1251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i="1"/>
              <a:t>Índices de Liquidez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'caso de estudio 6'!$BW$6</c:f>
              <c:strCache>
                <c:ptCount val="1"/>
                <c:pt idx="0">
                  <c:v>Liquidez común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7.8431372549020335E-3"/>
                  <c:y val="8.70807815689705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66-4B10-9749-58AA9AC4F3B7}"/>
                </c:ext>
              </c:extLst>
            </c:dLbl>
            <c:dLbl>
              <c:idx val="3"/>
              <c:layout>
                <c:manualLayout>
                  <c:x val="-7.8431372549021047E-3"/>
                  <c:y val="8.7080781568970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66-4B10-9749-58AA9AC4F3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'caso de estudio 6'!$BX$4:$CB$4</c15:sqref>
                  </c15:fullRef>
                </c:ext>
              </c:extLst>
              <c:f>'caso de estudio 6'!$BY$4:$CB$4</c:f>
              <c:strCache>
                <c:ptCount val="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'caso de estudio 6'!$BX$6:$CB$6</c15:sqref>
                  </c15:fullRef>
                </c:ext>
              </c:extLst>
              <c:f>'caso de estudio 6'!$BY$6:$CB$6</c:f>
              <c:numCache>
                <c:formatCode>General</c:formatCode>
                <c:ptCount val="4"/>
                <c:pt idx="0">
                  <c:v>4.25</c:v>
                </c:pt>
                <c:pt idx="1">
                  <c:v>2.57</c:v>
                </c:pt>
                <c:pt idx="2">
                  <c:v>1.5</c:v>
                </c:pt>
                <c:pt idx="3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6-4B10-9749-58AA9AC4F3B7}"/>
            </c:ext>
          </c:extLst>
        </c:ser>
        <c:ser>
          <c:idx val="2"/>
          <c:order val="2"/>
          <c:tx>
            <c:strRef>
              <c:f>'caso de estudio 6'!$BW$7</c:f>
              <c:strCache>
                <c:ptCount val="1"/>
                <c:pt idx="0">
                  <c:v>Liquidez ácida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9.8039215686274508E-3"/>
                  <c:y val="9.14380800439160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66-4B10-9749-58AA9AC4F3B7}"/>
                </c:ext>
              </c:extLst>
            </c:dLbl>
            <c:dLbl>
              <c:idx val="2"/>
              <c:layout>
                <c:manualLayout>
                  <c:x val="1.1764705882352941E-2"/>
                  <c:y val="8.70807815689703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66-4B10-9749-58AA9AC4F3B7}"/>
                </c:ext>
              </c:extLst>
            </c:dLbl>
            <c:dLbl>
              <c:idx val="3"/>
              <c:layout>
                <c:manualLayout>
                  <c:x val="9.8039215686274508E-3"/>
                  <c:y val="8.70807815689705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66-4B10-9749-58AA9AC4F3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'caso de estudio 6'!$BX$4:$CB$4</c15:sqref>
                  </c15:fullRef>
                </c:ext>
              </c:extLst>
              <c:f>'caso de estudio 6'!$BY$4:$CB$4</c:f>
              <c:strCache>
                <c:ptCount val="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'caso de estudio 6'!$BX$7:$CB$7</c15:sqref>
                  </c15:fullRef>
                </c:ext>
              </c:extLst>
              <c:f>'caso de estudio 6'!$BY$7:$CB$7</c:f>
              <c:numCache>
                <c:formatCode>General</c:formatCode>
                <c:ptCount val="4"/>
                <c:pt idx="0">
                  <c:v>2.92</c:v>
                </c:pt>
                <c:pt idx="1">
                  <c:v>1.21</c:v>
                </c:pt>
                <c:pt idx="2">
                  <c:v>0.64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6-4B10-9749-58AA9AC4F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6877400"/>
        <c:axId val="526884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'caso de estudio 6'!$BW$5</c15:sqref>
                        </c15:formulaRef>
                      </c:ext>
                    </c:extLst>
                    <c:strCache>
                      <c:ptCount val="1"/>
                      <c:pt idx="0">
                        <c:v>Índice de Liquidez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'caso de estudio 6'!$BX$4:$CB$4</c15:sqref>
                        </c15:fullRef>
                        <c15:formulaRef>
                          <c15:sqref>'caso de estudio 6'!$BY$4:$CB$4</c15:sqref>
                        </c15:formulaRef>
                      </c:ext>
                    </c:extLst>
                    <c:strCache>
                      <c:ptCount val="4"/>
                      <c:pt idx="0">
                        <c:v>1954</c:v>
                      </c:pt>
                      <c:pt idx="1">
                        <c:v>1955</c:v>
                      </c:pt>
                      <c:pt idx="2">
                        <c:v>1956</c:v>
                      </c:pt>
                      <c:pt idx="3">
                        <c:v>1957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'caso de estudio 6'!$BX$5:$CB$5</c15:sqref>
                        </c15:fullRef>
                        <c15:formulaRef>
                          <c15:sqref>'caso de estudio 6'!$BY$5:$CB$5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66-4B10-9749-58AA9AC4F3B7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3"/>
          <c:order val="3"/>
          <c:tx>
            <c:strRef>
              <c:f>'caso de estudio 6'!$BW$8</c:f>
              <c:strCache>
                <c:ptCount val="1"/>
                <c:pt idx="0">
                  <c:v>Inventario / Capital de trabajo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'caso de estudio 6'!$BX$4:$CB$4</c15:sqref>
                  </c15:fullRef>
                </c:ext>
              </c:extLst>
              <c:f>'caso de estudio 6'!$BY$4:$CB$4</c:f>
              <c:strCache>
                <c:ptCount val="4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'caso de estudio 6'!$BX$8:$CB$8</c15:sqref>
                  </c15:fullRef>
                </c:ext>
              </c:extLst>
              <c:f>'caso de estudio 6'!$BY$8:$CB$8</c:f>
              <c:numCache>
                <c:formatCode>General</c:formatCode>
                <c:ptCount val="4"/>
                <c:pt idx="0">
                  <c:v>40.75</c:v>
                </c:pt>
                <c:pt idx="1">
                  <c:v>86.79</c:v>
                </c:pt>
                <c:pt idx="2">
                  <c:v>172.7</c:v>
                </c:pt>
                <c:pt idx="3">
                  <c:v>180.67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6-4B10-9749-58AA9AC4F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24"/>
        <c:axId val="691582824"/>
        <c:axId val="691582496"/>
      </c:barChart>
      <c:catAx>
        <c:axId val="3468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6884784"/>
        <c:crosses val="autoZero"/>
        <c:auto val="1"/>
        <c:lblAlgn val="ctr"/>
        <c:lblOffset val="100"/>
        <c:noMultiLvlLbl val="0"/>
      </c:catAx>
      <c:valAx>
        <c:axId val="5268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6877400"/>
        <c:crosses val="autoZero"/>
        <c:crossBetween val="between"/>
      </c:valAx>
      <c:valAx>
        <c:axId val="6915824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1582824"/>
        <c:crosses val="max"/>
        <c:crossBetween val="between"/>
      </c:valAx>
      <c:catAx>
        <c:axId val="691582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158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i="1"/>
              <a:t>Índices de Solvencia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 de estudio 6'!$BW$10</c:f>
              <c:strCache>
                <c:ptCount val="1"/>
                <c:pt idx="0">
                  <c:v>Endeudamiento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5">
                  <a:lumMod val="60000"/>
                  <a:lumOff val="40000"/>
                  <a:alpha val="6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6'!$BX$4:$CB$4</c:f>
              <c:strCache>
                <c:ptCount val="5"/>
                <c:pt idx="0">
                  <c:v>Criterio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</c:strCache>
            </c:strRef>
          </c:cat>
          <c:val>
            <c:numRef>
              <c:f>'caso de estudio 6'!$BX$10:$CB$10</c:f>
              <c:numCache>
                <c:formatCode>General</c:formatCode>
                <c:ptCount val="5"/>
                <c:pt idx="0">
                  <c:v>55</c:v>
                </c:pt>
                <c:pt idx="1">
                  <c:v>40.4</c:v>
                </c:pt>
                <c:pt idx="2">
                  <c:v>39.4</c:v>
                </c:pt>
                <c:pt idx="3">
                  <c:v>44.69</c:v>
                </c:pt>
                <c:pt idx="4">
                  <c:v>44.21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84-4D52-82CB-C86F74930512}"/>
            </c:ext>
          </c:extLst>
        </c:ser>
        <c:ser>
          <c:idx val="1"/>
          <c:order val="1"/>
          <c:tx>
            <c:strRef>
              <c:f>'caso de estudio 6'!$BW$11</c:f>
              <c:strCache>
                <c:ptCount val="1"/>
                <c:pt idx="0">
                  <c:v>Solidez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2">
                  <a:lumMod val="75000"/>
                  <a:alpha val="6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6'!$BX$4:$CB$4</c:f>
              <c:strCache>
                <c:ptCount val="5"/>
                <c:pt idx="0">
                  <c:v>Criterio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</c:strCache>
            </c:strRef>
          </c:cat>
          <c:val>
            <c:numRef>
              <c:f>'caso de estudio 6'!$BX$11:$CB$11</c:f>
              <c:numCache>
                <c:formatCode>General</c:formatCode>
                <c:ptCount val="5"/>
                <c:pt idx="0">
                  <c:v>45</c:v>
                </c:pt>
                <c:pt idx="1">
                  <c:v>59.6</c:v>
                </c:pt>
                <c:pt idx="2">
                  <c:v>60.6</c:v>
                </c:pt>
                <c:pt idx="3">
                  <c:v>55.31</c:v>
                </c:pt>
                <c:pt idx="4">
                  <c:v>55.79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4-4D52-82CB-C86F74930512}"/>
            </c:ext>
          </c:extLst>
        </c:ser>
        <c:ser>
          <c:idx val="2"/>
          <c:order val="2"/>
          <c:tx>
            <c:strRef>
              <c:f>'caso de estudio 6'!$BW$12</c:f>
              <c:strCache>
                <c:ptCount val="1"/>
                <c:pt idx="0">
                  <c:v>Riesgo financiero con plazo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85000"/>
                  <a:alpha val="6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6'!$BX$4:$CB$4</c:f>
              <c:strCache>
                <c:ptCount val="5"/>
                <c:pt idx="0">
                  <c:v>Criterio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</c:strCache>
            </c:strRef>
          </c:cat>
          <c:val>
            <c:numRef>
              <c:f>'caso de estudio 6'!$BX$12:$CB$12</c:f>
              <c:numCache>
                <c:formatCode>General</c:formatCode>
                <c:ptCount val="5"/>
                <c:pt idx="0">
                  <c:v>30</c:v>
                </c:pt>
                <c:pt idx="1">
                  <c:v>22.14</c:v>
                </c:pt>
                <c:pt idx="2">
                  <c:v>21.06</c:v>
                </c:pt>
                <c:pt idx="3">
                  <c:v>41.51</c:v>
                </c:pt>
                <c:pt idx="4">
                  <c:v>45.07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84-4D52-82CB-C86F74930512}"/>
            </c:ext>
          </c:extLst>
        </c:ser>
        <c:ser>
          <c:idx val="3"/>
          <c:order val="3"/>
          <c:tx>
            <c:strRef>
              <c:f>'caso de estudio 6'!$BW$13</c:f>
              <c:strCache>
                <c:ptCount val="1"/>
                <c:pt idx="0">
                  <c:v>Inmovilización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rgbClr val="FFC000">
                  <a:alpha val="62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6'!$BX$4:$CB$4</c:f>
              <c:strCache>
                <c:ptCount val="5"/>
                <c:pt idx="0">
                  <c:v>Criterio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</c:strCache>
            </c:strRef>
          </c:cat>
          <c:val>
            <c:numRef>
              <c:f>'caso de estudio 6'!$BX$13:$CB$13</c:f>
              <c:numCache>
                <c:formatCode>General</c:formatCode>
                <c:ptCount val="5"/>
                <c:pt idx="0">
                  <c:v>75</c:v>
                </c:pt>
                <c:pt idx="1">
                  <c:v>94.19</c:v>
                </c:pt>
                <c:pt idx="2">
                  <c:v>106.5</c:v>
                </c:pt>
                <c:pt idx="3">
                  <c:v>114.09</c:v>
                </c:pt>
                <c:pt idx="4">
                  <c:v>109.08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84-4D52-82CB-C86F749305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24"/>
        <c:axId val="346877400"/>
        <c:axId val="526884784"/>
      </c:barChart>
      <c:catAx>
        <c:axId val="3468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6884784"/>
        <c:crosses val="autoZero"/>
        <c:auto val="1"/>
        <c:lblAlgn val="ctr"/>
        <c:lblOffset val="100"/>
        <c:noMultiLvlLbl val="0"/>
      </c:catAx>
      <c:valAx>
        <c:axId val="5268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68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i="1"/>
              <a:t>Índices de Actividad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 de estudio 6'!$BW$15</c:f>
              <c:strCache>
                <c:ptCount val="1"/>
                <c:pt idx="0">
                  <c:v>Rotación de inventario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5">
                  <a:lumMod val="60000"/>
                  <a:lumOff val="40000"/>
                  <a:alpha val="6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6'!$BX$4:$CB$4</c:f>
              <c:strCache>
                <c:ptCount val="5"/>
                <c:pt idx="0">
                  <c:v>Criterio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</c:strCache>
            </c:strRef>
          </c:cat>
          <c:val>
            <c:numRef>
              <c:f>'caso de estudio 6'!$BX$15:$CB$15</c:f>
              <c:numCache>
                <c:formatCode>General</c:formatCode>
                <c:ptCount val="5"/>
                <c:pt idx="0">
                  <c:v>4</c:v>
                </c:pt>
                <c:pt idx="1">
                  <c:v>5.01</c:v>
                </c:pt>
                <c:pt idx="2">
                  <c:v>4.7699999999999996</c:v>
                </c:pt>
                <c:pt idx="3">
                  <c:v>4.18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7-41B3-B2F7-C85A5EC16885}"/>
            </c:ext>
          </c:extLst>
        </c:ser>
        <c:ser>
          <c:idx val="1"/>
          <c:order val="1"/>
          <c:tx>
            <c:strRef>
              <c:f>'caso de estudio 6'!$BW$16</c:f>
              <c:strCache>
                <c:ptCount val="1"/>
                <c:pt idx="0">
                  <c:v>Rotación de caja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2">
                  <a:lumMod val="75000"/>
                  <a:alpha val="6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6'!$BX$4:$CB$4</c:f>
              <c:strCache>
                <c:ptCount val="5"/>
                <c:pt idx="0">
                  <c:v>Criterio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</c:strCache>
            </c:strRef>
          </c:cat>
          <c:val>
            <c:numRef>
              <c:f>'caso de estudio 6'!$BX$16:$CB$16</c:f>
              <c:numCache>
                <c:formatCode>General</c:formatCode>
                <c:ptCount val="5"/>
                <c:pt idx="0">
                  <c:v>12</c:v>
                </c:pt>
                <c:pt idx="1">
                  <c:v>3.62</c:v>
                </c:pt>
                <c:pt idx="2">
                  <c:v>17.55</c:v>
                </c:pt>
                <c:pt idx="3">
                  <c:v>29.18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7-41B3-B2F7-C85A5EC168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-24"/>
        <c:axId val="346877400"/>
        <c:axId val="526884784"/>
      </c:barChart>
      <c:catAx>
        <c:axId val="3468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6884784"/>
        <c:crosses val="autoZero"/>
        <c:auto val="1"/>
        <c:lblAlgn val="ctr"/>
        <c:lblOffset val="100"/>
        <c:noMultiLvlLbl val="0"/>
      </c:catAx>
      <c:valAx>
        <c:axId val="5268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68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i="1"/>
              <a:t>Índices de Rentabilidad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 de estudio 6'!$BW$18</c:f>
              <c:strCache>
                <c:ptCount val="1"/>
                <c:pt idx="0">
                  <c:v>Margen bruto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5">
                  <a:lumMod val="60000"/>
                  <a:lumOff val="40000"/>
                  <a:alpha val="6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6'!$BX$4:$CB$4</c:f>
              <c:strCache>
                <c:ptCount val="5"/>
                <c:pt idx="0">
                  <c:v>Criterio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</c:strCache>
            </c:strRef>
          </c:cat>
          <c:val>
            <c:numRef>
              <c:f>'caso de estudio 6'!$BX$18:$CB$18</c:f>
              <c:numCache>
                <c:formatCode>General</c:formatCode>
                <c:ptCount val="5"/>
                <c:pt idx="0">
                  <c:v>50</c:v>
                </c:pt>
                <c:pt idx="1">
                  <c:v>14.47</c:v>
                </c:pt>
                <c:pt idx="2">
                  <c:v>15.02</c:v>
                </c:pt>
                <c:pt idx="3">
                  <c:v>16.53</c:v>
                </c:pt>
                <c:pt idx="4">
                  <c:v>17.22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162-BB95-D9ED929C1464}"/>
            </c:ext>
          </c:extLst>
        </c:ser>
        <c:ser>
          <c:idx val="1"/>
          <c:order val="1"/>
          <c:tx>
            <c:strRef>
              <c:f>'caso de estudio 6'!$BW$19</c:f>
              <c:strCache>
                <c:ptCount val="1"/>
                <c:pt idx="0">
                  <c:v>Margen neto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2">
                  <a:lumMod val="75000"/>
                  <a:alpha val="6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6'!$BX$4:$CB$4</c:f>
              <c:strCache>
                <c:ptCount val="5"/>
                <c:pt idx="0">
                  <c:v>Criterio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</c:strCache>
            </c:strRef>
          </c:cat>
          <c:val>
            <c:numRef>
              <c:f>'caso de estudio 6'!$BX$19:$CB$19</c:f>
              <c:numCache>
                <c:formatCode>General</c:formatCode>
                <c:ptCount val="5"/>
                <c:pt idx="0">
                  <c:v>10</c:v>
                </c:pt>
                <c:pt idx="1">
                  <c:v>4.09</c:v>
                </c:pt>
                <c:pt idx="2">
                  <c:v>4.5599999999999996</c:v>
                </c:pt>
                <c:pt idx="3">
                  <c:v>5.45</c:v>
                </c:pt>
                <c:pt idx="4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E-4162-BB95-D9ED929C1464}"/>
            </c:ext>
          </c:extLst>
        </c:ser>
        <c:ser>
          <c:idx val="2"/>
          <c:order val="2"/>
          <c:tx>
            <c:strRef>
              <c:f>'caso de estudio 6'!$BW$20</c:f>
              <c:strCache>
                <c:ptCount val="1"/>
                <c:pt idx="0">
                  <c:v>Productividad de activos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85000"/>
                  <a:alpha val="62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6'!$BX$4:$CB$4</c:f>
              <c:strCache>
                <c:ptCount val="5"/>
                <c:pt idx="0">
                  <c:v>Criterio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</c:strCache>
            </c:strRef>
          </c:cat>
          <c:val>
            <c:numRef>
              <c:f>'caso de estudio 6'!$BX$20:$CB$20</c:f>
              <c:numCache>
                <c:formatCode>General</c:formatCode>
                <c:ptCount val="5"/>
                <c:pt idx="0">
                  <c:v>5</c:v>
                </c:pt>
                <c:pt idx="1">
                  <c:v>3.64</c:v>
                </c:pt>
                <c:pt idx="2">
                  <c:v>4.4400000000000004</c:v>
                </c:pt>
                <c:pt idx="3">
                  <c:v>5.4</c:v>
                </c:pt>
                <c:pt idx="4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E-4162-BB95-D9ED929C1464}"/>
            </c:ext>
          </c:extLst>
        </c:ser>
        <c:ser>
          <c:idx val="3"/>
          <c:order val="3"/>
          <c:tx>
            <c:strRef>
              <c:f>'caso de estudio 6'!$BW$21</c:f>
              <c:strCache>
                <c:ptCount val="1"/>
                <c:pt idx="0">
                  <c:v>Retorno de patrimonio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rgbClr val="FFC000">
                  <a:alpha val="62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6'!$BX$4:$CB$4</c:f>
              <c:strCache>
                <c:ptCount val="5"/>
                <c:pt idx="0">
                  <c:v>Criterio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</c:strCache>
            </c:strRef>
          </c:cat>
          <c:val>
            <c:numRef>
              <c:f>'caso de estudio 6'!$BX$21:$CB$21</c:f>
              <c:numCache>
                <c:formatCode>General</c:formatCode>
                <c:ptCount val="5"/>
                <c:pt idx="0">
                  <c:v>8</c:v>
                </c:pt>
                <c:pt idx="1">
                  <c:v>6.1</c:v>
                </c:pt>
                <c:pt idx="2">
                  <c:v>7.32</c:v>
                </c:pt>
                <c:pt idx="3">
                  <c:v>9.77</c:v>
                </c:pt>
                <c:pt idx="4">
                  <c:v>11.48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E-4162-BB95-D9ED929C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5"/>
        <c:overlap val="-24"/>
        <c:axId val="346877400"/>
        <c:axId val="526884784"/>
      </c:barChart>
      <c:catAx>
        <c:axId val="3468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6884784"/>
        <c:crosses val="autoZero"/>
        <c:auto val="1"/>
        <c:lblAlgn val="ctr"/>
        <c:lblOffset val="100"/>
        <c:noMultiLvlLbl val="0"/>
      </c:catAx>
      <c:valAx>
        <c:axId val="5268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68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Caso 7 - Utilidades</a:t>
            </a:r>
            <a:r>
              <a:rPr lang="es-PE" baseline="0"/>
              <a:t> por acción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6557859844984172E-2"/>
          <c:y val="0.23573311927074411"/>
          <c:w val="0.86553315958744592"/>
          <c:h val="0.569617844161232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'caso de estudio 7'!$H$15</c:f>
              <c:strCache>
                <c:ptCount val="1"/>
                <c:pt idx="0">
                  <c:v>Financiamiento Emisión-Acción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7'!$F$16:$F$18</c:f>
              <c:strCache>
                <c:ptCount val="3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</c:strCache>
            </c:strRef>
          </c:cat>
          <c:val>
            <c:numRef>
              <c:f>'caso de estudio 7'!$H$16:$H$18</c:f>
              <c:numCache>
                <c:formatCode>_-[$$-540A]* #,##0.00_ ;_-[$$-540A]* \-#,##0.00\ ;_-[$$-540A]* "-"_ ;_-@_ 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6-40CB-AA83-C1DA6E013FCF}"/>
            </c:ext>
          </c:extLst>
        </c:ser>
        <c:ser>
          <c:idx val="2"/>
          <c:order val="2"/>
          <c:tx>
            <c:strRef>
              <c:f>'caso de estudio 7'!$I$15</c:f>
              <c:strCache>
                <c:ptCount val="1"/>
                <c:pt idx="0">
                  <c:v>Financiamiento Deuda-Banco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7'!$F$16:$F$18</c:f>
              <c:strCache>
                <c:ptCount val="3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</c:strCache>
            </c:strRef>
          </c:cat>
          <c:val>
            <c:numRef>
              <c:f>'caso de estudio 7'!$I$16:$I$18</c:f>
              <c:numCache>
                <c:formatCode>_-[$$-540A]* #,##0.00_ ;_-[$$-540A]* \-#,##0.00\ ;_-[$$-540A]* "-"??_ ;_-@_ </c:formatCode>
                <c:ptCount val="3"/>
                <c:pt idx="0">
                  <c:v>4.5</c:v>
                </c:pt>
                <c:pt idx="1">
                  <c:v>2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6-40CB-AA83-C1DA6E01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637368"/>
        <c:axId val="526636712"/>
      </c:barChart>
      <c:lineChart>
        <c:grouping val="stacked"/>
        <c:varyColors val="0"/>
        <c:ser>
          <c:idx val="0"/>
          <c:order val="0"/>
          <c:tx>
            <c:strRef>
              <c:f>'caso de estudio 7'!$G$15</c:f>
              <c:strCache>
                <c:ptCount val="1"/>
                <c:pt idx="0">
                  <c:v>Utilidad (US$ Millones)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'caso de estudio 7'!$F$16:$F$18</c:f>
              <c:strCache>
                <c:ptCount val="3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</c:strCache>
            </c:strRef>
          </c:cat>
          <c:val>
            <c:numRef>
              <c:f>'caso de estudio 7'!$G$16:$G$18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6-40CB-AA83-C1DA6E01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13200"/>
        <c:axId val="618722056"/>
      </c:lineChart>
      <c:catAx>
        <c:axId val="52663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6636712"/>
        <c:crosses val="autoZero"/>
        <c:auto val="1"/>
        <c:lblAlgn val="ctr"/>
        <c:lblOffset val="100"/>
        <c:noMultiLvlLbl val="0"/>
      </c:catAx>
      <c:valAx>
        <c:axId val="5266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US$</a:t>
                </a:r>
              </a:p>
            </c:rich>
          </c:tx>
          <c:layout>
            <c:manualLayout>
              <c:xMode val="edge"/>
              <c:yMode val="edge"/>
              <c:x val="9.8144862173918379E-3"/>
              <c:y val="0.15401833361895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-[$$-540A]* #,##0.00_ ;_-[$$-540A]* \-#,##0.00\ ;_-[$$-540A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6637368"/>
        <c:crosses val="autoZero"/>
        <c:crossBetween val="between"/>
      </c:valAx>
      <c:valAx>
        <c:axId val="618722056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Millones de US$</a:t>
                </a:r>
              </a:p>
            </c:rich>
          </c:tx>
          <c:layout>
            <c:manualLayout>
              <c:xMode val="edge"/>
              <c:yMode val="edge"/>
              <c:x val="0.85568031988959137"/>
              <c:y val="0.15618451473634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18713200"/>
        <c:crosses val="max"/>
        <c:crossBetween val="between"/>
      </c:valAx>
      <c:catAx>
        <c:axId val="61871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8722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caso de estudio 2'!A1"/><Relationship Id="rId3" Type="http://schemas.openxmlformats.org/officeDocument/2006/relationships/hyperlink" Target="#'caso de estudio 7'!A1"/><Relationship Id="rId7" Type="http://schemas.openxmlformats.org/officeDocument/2006/relationships/hyperlink" Target="#'caso de estudio 6'!A1"/><Relationship Id="rId2" Type="http://schemas.openxmlformats.org/officeDocument/2006/relationships/hyperlink" Target="#'caso de estudio 1'!A1"/><Relationship Id="rId1" Type="http://schemas.openxmlformats.org/officeDocument/2006/relationships/chart" Target="../charts/chart1.xml"/><Relationship Id="rId6" Type="http://schemas.openxmlformats.org/officeDocument/2006/relationships/hyperlink" Target="#'caso de estudio 10'!A1"/><Relationship Id="rId11" Type="http://schemas.openxmlformats.org/officeDocument/2006/relationships/hyperlink" Target="#'caso de estudio 5'!A1"/><Relationship Id="rId5" Type="http://schemas.openxmlformats.org/officeDocument/2006/relationships/hyperlink" Target="#'caso de estudio 9'!A1"/><Relationship Id="rId10" Type="http://schemas.openxmlformats.org/officeDocument/2006/relationships/hyperlink" Target="#'caso de estudio 4'!A1"/><Relationship Id="rId4" Type="http://schemas.openxmlformats.org/officeDocument/2006/relationships/hyperlink" Target="#'caso de estudio 8'!A1"/><Relationship Id="rId9" Type="http://schemas.openxmlformats.org/officeDocument/2006/relationships/hyperlink" Target="#'caso de estudio 3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'caso de estudio 8'!A1"/><Relationship Id="rId1" Type="http://schemas.openxmlformats.org/officeDocument/2006/relationships/hyperlink" Target="#Inicio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'caso de estudio 9'!A1"/><Relationship Id="rId1" Type="http://schemas.openxmlformats.org/officeDocument/2006/relationships/hyperlink" Target="#Ini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caso de estudio 1'!A1"/><Relationship Id="rId1" Type="http://schemas.openxmlformats.org/officeDocument/2006/relationships/hyperlink" Target="#Inici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caso de estudio 2'!A1"/><Relationship Id="rId1" Type="http://schemas.openxmlformats.org/officeDocument/2006/relationships/hyperlink" Target="#Inicio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'caso de estudio 3'!A1"/><Relationship Id="rId1" Type="http://schemas.openxmlformats.org/officeDocument/2006/relationships/hyperlink" Target="#Inicio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caso de estudio 4'!A1"/><Relationship Id="rId2" Type="http://schemas.openxmlformats.org/officeDocument/2006/relationships/hyperlink" Target="#Inicio!A1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hyperlink" Target="#'caso de estudio 5'!A1"/><Relationship Id="rId1" Type="http://schemas.openxmlformats.org/officeDocument/2006/relationships/hyperlink" Target="#Inicio!A1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hyperlink" Target="#'caso de estudio 6'!A1"/><Relationship Id="rId1" Type="http://schemas.openxmlformats.org/officeDocument/2006/relationships/hyperlink" Target="#Inicio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'caso de estudio 7'!A1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533400</xdr:colOff>
      <xdr:row>28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3C1E6D-44CF-4B24-B3E3-A9168CAE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190</xdr:col>
      <xdr:colOff>381000</xdr:colOff>
      <xdr:row>388</xdr:row>
      <xdr:rowOff>76200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D45EE83-BF17-4893-B268-6FACF289D9AA}"/>
            </a:ext>
          </a:extLst>
        </xdr:cNvPr>
        <xdr:cNvSpPr/>
      </xdr:nvSpPr>
      <xdr:spPr>
        <a:xfrm>
          <a:off x="0" y="0"/>
          <a:ext cx="145313400" cy="59359800"/>
        </a:xfrm>
        <a:prstGeom prst="rect">
          <a:avLst/>
        </a:prstGeom>
        <a:solidFill>
          <a:schemeClr val="bg1">
            <a:alpha val="75000"/>
          </a:schemeClr>
        </a:solidFill>
        <a:ln>
          <a:solidFill>
            <a:schemeClr val="bg1">
              <a:alpha val="12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320040</xdr:colOff>
      <xdr:row>0</xdr:row>
      <xdr:rowOff>38100</xdr:rowOff>
    </xdr:from>
    <xdr:ext cx="4567597" cy="468013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74987DF-2DB8-469C-AED7-B82BD030D18C}"/>
            </a:ext>
          </a:extLst>
        </xdr:cNvPr>
        <xdr:cNvSpPr txBox="1"/>
      </xdr:nvSpPr>
      <xdr:spPr>
        <a:xfrm>
          <a:off x="320040" y="38100"/>
          <a:ext cx="456759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2400" b="1" i="1"/>
            <a:t>GESTIÓN FINANCIERA INDUSTRIAL</a:t>
          </a:r>
        </a:p>
      </xdr:txBody>
    </xdr:sp>
    <xdr:clientData/>
  </xdr:oneCellAnchor>
  <xdr:twoCellAnchor>
    <xdr:from>
      <xdr:col>4</xdr:col>
      <xdr:colOff>640080</xdr:colOff>
      <xdr:row>5</xdr:row>
      <xdr:rowOff>152400</xdr:rowOff>
    </xdr:from>
    <xdr:to>
      <xdr:col>6</xdr:col>
      <xdr:colOff>716280</xdr:colOff>
      <xdr:row>8</xdr:row>
      <xdr:rowOff>53340</xdr:rowOff>
    </xdr:to>
    <xdr:sp macro="" textlink="">
      <xdr:nvSpPr>
        <xdr:cNvPr id="11" name="Rectángulo: biselad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352F72-69A6-4E95-B5B8-1BABAD081B80}"/>
            </a:ext>
          </a:extLst>
        </xdr:cNvPr>
        <xdr:cNvSpPr/>
      </xdr:nvSpPr>
      <xdr:spPr>
        <a:xfrm>
          <a:off x="3810000" y="1173480"/>
          <a:ext cx="1661160" cy="449580"/>
        </a:xfrm>
        <a:prstGeom prst="bevel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CASO DE</a:t>
          </a:r>
          <a:r>
            <a:rPr lang="es-PE" sz="1100" baseline="0"/>
            <a:t> ESTUDIO 1</a:t>
          </a:r>
          <a:endParaRPr lang="es-PE" sz="1100"/>
        </a:p>
      </xdr:txBody>
    </xdr:sp>
    <xdr:clientData/>
  </xdr:twoCellAnchor>
  <xdr:twoCellAnchor>
    <xdr:from>
      <xdr:col>8</xdr:col>
      <xdr:colOff>419100</xdr:colOff>
      <xdr:row>9</xdr:row>
      <xdr:rowOff>68580</xdr:rowOff>
    </xdr:from>
    <xdr:to>
      <xdr:col>10</xdr:col>
      <xdr:colOff>259080</xdr:colOff>
      <xdr:row>11</xdr:row>
      <xdr:rowOff>152400</xdr:rowOff>
    </xdr:to>
    <xdr:sp macro="" textlink="">
      <xdr:nvSpPr>
        <xdr:cNvPr id="12" name="Rectángulo: biselad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0EDA32-5BC9-4BAF-A96D-3A2E415DA1FF}"/>
            </a:ext>
          </a:extLst>
        </xdr:cNvPr>
        <xdr:cNvSpPr/>
      </xdr:nvSpPr>
      <xdr:spPr>
        <a:xfrm>
          <a:off x="6758940" y="1821180"/>
          <a:ext cx="1623060" cy="449580"/>
        </a:xfrm>
        <a:prstGeom prst="bevel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CASO DE</a:t>
          </a:r>
          <a:r>
            <a:rPr lang="es-PE" sz="1100" baseline="0"/>
            <a:t> ESTUDIO 7</a:t>
          </a:r>
          <a:endParaRPr lang="es-PE" sz="1100"/>
        </a:p>
      </xdr:txBody>
    </xdr:sp>
    <xdr:clientData/>
  </xdr:twoCellAnchor>
  <xdr:twoCellAnchor>
    <xdr:from>
      <xdr:col>8</xdr:col>
      <xdr:colOff>419100</xdr:colOff>
      <xdr:row>12</xdr:row>
      <xdr:rowOff>129540</xdr:rowOff>
    </xdr:from>
    <xdr:to>
      <xdr:col>10</xdr:col>
      <xdr:colOff>259080</xdr:colOff>
      <xdr:row>15</xdr:row>
      <xdr:rowOff>30480</xdr:rowOff>
    </xdr:to>
    <xdr:sp macro="" textlink="">
      <xdr:nvSpPr>
        <xdr:cNvPr id="13" name="Rectángulo: biselad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A8AE20-D55B-4F29-A459-3FA15C36C7EE}"/>
            </a:ext>
          </a:extLst>
        </xdr:cNvPr>
        <xdr:cNvSpPr/>
      </xdr:nvSpPr>
      <xdr:spPr>
        <a:xfrm>
          <a:off x="6758940" y="2430780"/>
          <a:ext cx="1623060" cy="449580"/>
        </a:xfrm>
        <a:prstGeom prst="bevel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CASO DE</a:t>
          </a:r>
          <a:r>
            <a:rPr lang="es-PE" sz="1100" baseline="0"/>
            <a:t> ESTUDIO 8</a:t>
          </a:r>
          <a:endParaRPr lang="es-PE" sz="1100"/>
        </a:p>
      </xdr:txBody>
    </xdr:sp>
    <xdr:clientData/>
  </xdr:twoCellAnchor>
  <xdr:twoCellAnchor>
    <xdr:from>
      <xdr:col>8</xdr:col>
      <xdr:colOff>419099</xdr:colOff>
      <xdr:row>16</xdr:row>
      <xdr:rowOff>30480</xdr:rowOff>
    </xdr:from>
    <xdr:to>
      <xdr:col>10</xdr:col>
      <xdr:colOff>267402</xdr:colOff>
      <xdr:row>18</xdr:row>
      <xdr:rowOff>114300</xdr:rowOff>
    </xdr:to>
    <xdr:sp macro="" textlink="">
      <xdr:nvSpPr>
        <xdr:cNvPr id="14" name="Rectángulo: biselad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B45BD15-E22A-48DA-AB3F-8E6E607B8818}"/>
            </a:ext>
          </a:extLst>
        </xdr:cNvPr>
        <xdr:cNvSpPr/>
      </xdr:nvSpPr>
      <xdr:spPr>
        <a:xfrm>
          <a:off x="6758939" y="3063240"/>
          <a:ext cx="1631383" cy="449580"/>
        </a:xfrm>
        <a:prstGeom prst="bevel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CASO DE</a:t>
          </a:r>
          <a:r>
            <a:rPr lang="es-PE" sz="1100" baseline="0"/>
            <a:t> ESTUDIO 9</a:t>
          </a:r>
          <a:endParaRPr lang="es-PE" sz="1100"/>
        </a:p>
      </xdr:txBody>
    </xdr:sp>
    <xdr:clientData/>
  </xdr:twoCellAnchor>
  <xdr:twoCellAnchor>
    <xdr:from>
      <xdr:col>8</xdr:col>
      <xdr:colOff>419099</xdr:colOff>
      <xdr:row>19</xdr:row>
      <xdr:rowOff>83820</xdr:rowOff>
    </xdr:from>
    <xdr:to>
      <xdr:col>10</xdr:col>
      <xdr:colOff>267402</xdr:colOff>
      <xdr:row>21</xdr:row>
      <xdr:rowOff>167640</xdr:rowOff>
    </xdr:to>
    <xdr:sp macro="" textlink="">
      <xdr:nvSpPr>
        <xdr:cNvPr id="15" name="Rectángulo: biselad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527A013-1BA1-4793-A779-8F02BB931F94}"/>
            </a:ext>
          </a:extLst>
        </xdr:cNvPr>
        <xdr:cNvSpPr/>
      </xdr:nvSpPr>
      <xdr:spPr>
        <a:xfrm>
          <a:off x="6758939" y="3665220"/>
          <a:ext cx="1631383" cy="449580"/>
        </a:xfrm>
        <a:prstGeom prst="bevel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CASO DE</a:t>
          </a:r>
          <a:r>
            <a:rPr lang="es-PE" sz="1100" baseline="0"/>
            <a:t> ESTUDIO 10</a:t>
          </a:r>
          <a:endParaRPr lang="es-PE" sz="1100"/>
        </a:p>
      </xdr:txBody>
    </xdr:sp>
    <xdr:clientData/>
  </xdr:twoCellAnchor>
  <xdr:twoCellAnchor>
    <xdr:from>
      <xdr:col>8</xdr:col>
      <xdr:colOff>388620</xdr:colOff>
      <xdr:row>5</xdr:row>
      <xdr:rowOff>160020</xdr:rowOff>
    </xdr:from>
    <xdr:to>
      <xdr:col>10</xdr:col>
      <xdr:colOff>251460</xdr:colOff>
      <xdr:row>8</xdr:row>
      <xdr:rowOff>60960</xdr:rowOff>
    </xdr:to>
    <xdr:sp macro="" textlink="">
      <xdr:nvSpPr>
        <xdr:cNvPr id="17" name="Rectángulo: biselado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82DBE1E-7B91-4BF6-A590-4EFB69C28AAF}"/>
            </a:ext>
          </a:extLst>
        </xdr:cNvPr>
        <xdr:cNvSpPr/>
      </xdr:nvSpPr>
      <xdr:spPr>
        <a:xfrm>
          <a:off x="6728460" y="1181100"/>
          <a:ext cx="1645920" cy="449580"/>
        </a:xfrm>
        <a:prstGeom prst="bevel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CASO DE</a:t>
          </a:r>
          <a:r>
            <a:rPr lang="es-PE" sz="1100" baseline="0"/>
            <a:t> ESTUDIO 6</a:t>
          </a:r>
          <a:endParaRPr lang="es-PE" sz="1100"/>
        </a:p>
      </xdr:txBody>
    </xdr:sp>
    <xdr:clientData/>
  </xdr:twoCellAnchor>
  <xdr:twoCellAnchor>
    <xdr:from>
      <xdr:col>4</xdr:col>
      <xdr:colOff>640080</xdr:colOff>
      <xdr:row>9</xdr:row>
      <xdr:rowOff>68580</xdr:rowOff>
    </xdr:from>
    <xdr:to>
      <xdr:col>6</xdr:col>
      <xdr:colOff>701040</xdr:colOff>
      <xdr:row>11</xdr:row>
      <xdr:rowOff>152400</xdr:rowOff>
    </xdr:to>
    <xdr:sp macro="" textlink="">
      <xdr:nvSpPr>
        <xdr:cNvPr id="18" name="Rectángulo: biselado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C96529-A055-4CBE-8029-2AC291380D58}"/>
            </a:ext>
          </a:extLst>
        </xdr:cNvPr>
        <xdr:cNvSpPr/>
      </xdr:nvSpPr>
      <xdr:spPr>
        <a:xfrm>
          <a:off x="3810000" y="1821180"/>
          <a:ext cx="1645920" cy="449580"/>
        </a:xfrm>
        <a:prstGeom prst="bevel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CASO DE</a:t>
          </a:r>
          <a:r>
            <a:rPr lang="es-PE" sz="1100" baseline="0"/>
            <a:t> ESTUDIO 2</a:t>
          </a:r>
          <a:endParaRPr lang="es-PE" sz="1100"/>
        </a:p>
      </xdr:txBody>
    </xdr:sp>
    <xdr:clientData/>
  </xdr:twoCellAnchor>
  <xdr:twoCellAnchor>
    <xdr:from>
      <xdr:col>4</xdr:col>
      <xdr:colOff>640080</xdr:colOff>
      <xdr:row>12</xdr:row>
      <xdr:rowOff>129540</xdr:rowOff>
    </xdr:from>
    <xdr:to>
      <xdr:col>6</xdr:col>
      <xdr:colOff>701040</xdr:colOff>
      <xdr:row>15</xdr:row>
      <xdr:rowOff>30480</xdr:rowOff>
    </xdr:to>
    <xdr:sp macro="" textlink="">
      <xdr:nvSpPr>
        <xdr:cNvPr id="19" name="Rectángulo: biselado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D8501B7-005C-4808-8BF1-0246CD972048}"/>
            </a:ext>
          </a:extLst>
        </xdr:cNvPr>
        <xdr:cNvSpPr/>
      </xdr:nvSpPr>
      <xdr:spPr>
        <a:xfrm>
          <a:off x="3810000" y="2430780"/>
          <a:ext cx="1645920" cy="449580"/>
        </a:xfrm>
        <a:prstGeom prst="bevel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CASO DE</a:t>
          </a:r>
          <a:r>
            <a:rPr lang="es-PE" sz="1100" baseline="0"/>
            <a:t> ESTUDIO 3</a:t>
          </a:r>
          <a:endParaRPr lang="es-PE" sz="1100"/>
        </a:p>
      </xdr:txBody>
    </xdr:sp>
    <xdr:clientData/>
  </xdr:twoCellAnchor>
  <xdr:twoCellAnchor>
    <xdr:from>
      <xdr:col>4</xdr:col>
      <xdr:colOff>647700</xdr:colOff>
      <xdr:row>16</xdr:row>
      <xdr:rowOff>30480</xdr:rowOff>
    </xdr:from>
    <xdr:to>
      <xdr:col>6</xdr:col>
      <xdr:colOff>708660</xdr:colOff>
      <xdr:row>18</xdr:row>
      <xdr:rowOff>114300</xdr:rowOff>
    </xdr:to>
    <xdr:sp macro="" textlink="">
      <xdr:nvSpPr>
        <xdr:cNvPr id="20" name="Rectángulo: biselado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3EC14CA-C9C1-4247-880F-78CEABF0DEFE}"/>
            </a:ext>
          </a:extLst>
        </xdr:cNvPr>
        <xdr:cNvSpPr/>
      </xdr:nvSpPr>
      <xdr:spPr>
        <a:xfrm>
          <a:off x="3817620" y="3063240"/>
          <a:ext cx="1645920" cy="449580"/>
        </a:xfrm>
        <a:prstGeom prst="bevel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CASO DE</a:t>
          </a:r>
          <a:r>
            <a:rPr lang="es-PE" sz="1100" baseline="0"/>
            <a:t> ESTUDIO 4</a:t>
          </a:r>
          <a:endParaRPr lang="es-PE" sz="1100"/>
        </a:p>
      </xdr:txBody>
    </xdr:sp>
    <xdr:clientData/>
  </xdr:twoCellAnchor>
  <xdr:twoCellAnchor>
    <xdr:from>
      <xdr:col>4</xdr:col>
      <xdr:colOff>647700</xdr:colOff>
      <xdr:row>19</xdr:row>
      <xdr:rowOff>83820</xdr:rowOff>
    </xdr:from>
    <xdr:to>
      <xdr:col>6</xdr:col>
      <xdr:colOff>708660</xdr:colOff>
      <xdr:row>21</xdr:row>
      <xdr:rowOff>167640</xdr:rowOff>
    </xdr:to>
    <xdr:sp macro="" textlink="">
      <xdr:nvSpPr>
        <xdr:cNvPr id="21" name="Rectángulo: biselado 2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0CD5999-0C49-41C2-BE19-4E21C1EF0C30}"/>
            </a:ext>
          </a:extLst>
        </xdr:cNvPr>
        <xdr:cNvSpPr/>
      </xdr:nvSpPr>
      <xdr:spPr>
        <a:xfrm>
          <a:off x="3817620" y="3665220"/>
          <a:ext cx="1645920" cy="449580"/>
        </a:xfrm>
        <a:prstGeom prst="bevel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CASO DE</a:t>
          </a:r>
          <a:r>
            <a:rPr lang="es-PE" sz="1100" baseline="0"/>
            <a:t> ESTUDIO 5</a:t>
          </a:r>
          <a:endParaRPr lang="es-PE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129540</xdr:rowOff>
    </xdr:from>
    <xdr:to>
      <xdr:col>0</xdr:col>
      <xdr:colOff>571500</xdr:colOff>
      <xdr:row>3</xdr:row>
      <xdr:rowOff>65532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B9733E-025B-451C-9E48-287959BB955D}"/>
            </a:ext>
          </a:extLst>
        </xdr:cNvPr>
        <xdr:cNvSpPr/>
      </xdr:nvSpPr>
      <xdr:spPr>
        <a:xfrm>
          <a:off x="91440" y="129540"/>
          <a:ext cx="480060" cy="48463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83820</xdr:colOff>
      <xdr:row>4</xdr:row>
      <xdr:rowOff>30480</xdr:rowOff>
    </xdr:from>
    <xdr:to>
      <xdr:col>0</xdr:col>
      <xdr:colOff>563880</xdr:colOff>
      <xdr:row>6</xdr:row>
      <xdr:rowOff>126492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932964-9541-4A11-B767-BE65220E1F85}"/>
            </a:ext>
          </a:extLst>
        </xdr:cNvPr>
        <xdr:cNvSpPr/>
      </xdr:nvSpPr>
      <xdr:spPr>
        <a:xfrm>
          <a:off x="83820" y="762000"/>
          <a:ext cx="480060" cy="393192"/>
        </a:xfrm>
        <a:prstGeom prst="lef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129540</xdr:rowOff>
    </xdr:from>
    <xdr:to>
      <xdr:col>0</xdr:col>
      <xdr:colOff>571500</xdr:colOff>
      <xdr:row>3</xdr:row>
      <xdr:rowOff>65532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9208CE-B156-4543-937E-53C36E6C9F40}"/>
            </a:ext>
          </a:extLst>
        </xdr:cNvPr>
        <xdr:cNvSpPr/>
      </xdr:nvSpPr>
      <xdr:spPr>
        <a:xfrm>
          <a:off x="91440" y="129540"/>
          <a:ext cx="480060" cy="53035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83820</xdr:colOff>
      <xdr:row>4</xdr:row>
      <xdr:rowOff>30480</xdr:rowOff>
    </xdr:from>
    <xdr:to>
      <xdr:col>0</xdr:col>
      <xdr:colOff>563880</xdr:colOff>
      <xdr:row>6</xdr:row>
      <xdr:rowOff>126492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EBB8C1-E06C-49B9-9962-B895F27F7F08}"/>
            </a:ext>
          </a:extLst>
        </xdr:cNvPr>
        <xdr:cNvSpPr/>
      </xdr:nvSpPr>
      <xdr:spPr>
        <a:xfrm>
          <a:off x="83820" y="807720"/>
          <a:ext cx="480060" cy="591312"/>
        </a:xfrm>
        <a:prstGeom prst="lef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0</xdr:row>
      <xdr:rowOff>45720</xdr:rowOff>
    </xdr:from>
    <xdr:to>
      <xdr:col>10</xdr:col>
      <xdr:colOff>441960</xdr:colOff>
      <xdr:row>1</xdr:row>
      <xdr:rowOff>22860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93D057E7-3CF4-45FE-8FAC-C66D01FB224E}"/>
            </a:ext>
          </a:extLst>
        </xdr:cNvPr>
        <xdr:cNvSpPr/>
      </xdr:nvSpPr>
      <xdr:spPr>
        <a:xfrm>
          <a:off x="5867400" y="45720"/>
          <a:ext cx="228600" cy="205740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167640</xdr:colOff>
      <xdr:row>0</xdr:row>
      <xdr:rowOff>30480</xdr:rowOff>
    </xdr:from>
    <xdr:to>
      <xdr:col>16</xdr:col>
      <xdr:colOff>396240</xdr:colOff>
      <xdr:row>1</xdr:row>
      <xdr:rowOff>7620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D4527966-3981-42CB-AC6F-1FFF1557F393}"/>
            </a:ext>
          </a:extLst>
        </xdr:cNvPr>
        <xdr:cNvSpPr/>
      </xdr:nvSpPr>
      <xdr:spPr>
        <a:xfrm>
          <a:off x="10401300" y="30480"/>
          <a:ext cx="228600" cy="205740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21</xdr:col>
      <xdr:colOff>182880</xdr:colOff>
      <xdr:row>0</xdr:row>
      <xdr:rowOff>30480</xdr:rowOff>
    </xdr:from>
    <xdr:to>
      <xdr:col>21</xdr:col>
      <xdr:colOff>411480</xdr:colOff>
      <xdr:row>1</xdr:row>
      <xdr:rowOff>7620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024D265A-EBE2-4A85-B3D4-0CBE2B4193CA}"/>
            </a:ext>
          </a:extLst>
        </xdr:cNvPr>
        <xdr:cNvSpPr/>
      </xdr:nvSpPr>
      <xdr:spPr>
        <a:xfrm>
          <a:off x="15003780" y="30480"/>
          <a:ext cx="228600" cy="205740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53340</xdr:colOff>
      <xdr:row>0</xdr:row>
      <xdr:rowOff>182880</xdr:rowOff>
    </xdr:from>
    <xdr:to>
      <xdr:col>0</xdr:col>
      <xdr:colOff>533400</xdr:colOff>
      <xdr:row>3</xdr:row>
      <xdr:rowOff>50292</xdr:rowOff>
    </xdr:to>
    <xdr:sp macro="" textlink="">
      <xdr:nvSpPr>
        <xdr:cNvPr id="7" name="Flecha: hacia la izquierda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5C3B5-06F7-4F58-B1D3-837213258A84}"/>
            </a:ext>
          </a:extLst>
        </xdr:cNvPr>
        <xdr:cNvSpPr/>
      </xdr:nvSpPr>
      <xdr:spPr>
        <a:xfrm>
          <a:off x="53340" y="182880"/>
          <a:ext cx="480060" cy="48463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0</xdr:row>
      <xdr:rowOff>45720</xdr:rowOff>
    </xdr:from>
    <xdr:to>
      <xdr:col>7</xdr:col>
      <xdr:colOff>464820</xdr:colOff>
      <xdr:row>1</xdr:row>
      <xdr:rowOff>22860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82D5B414-6262-4E71-916A-185B4ACB4758}"/>
            </a:ext>
          </a:extLst>
        </xdr:cNvPr>
        <xdr:cNvSpPr/>
      </xdr:nvSpPr>
      <xdr:spPr>
        <a:xfrm>
          <a:off x="5372100" y="45720"/>
          <a:ext cx="228600" cy="205740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259080</xdr:colOff>
      <xdr:row>0</xdr:row>
      <xdr:rowOff>30480</xdr:rowOff>
    </xdr:from>
    <xdr:to>
      <xdr:col>16</xdr:col>
      <xdr:colOff>487680</xdr:colOff>
      <xdr:row>1</xdr:row>
      <xdr:rowOff>7620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6C1C3AD3-E426-4E00-A1FA-390A773BC1C6}"/>
            </a:ext>
          </a:extLst>
        </xdr:cNvPr>
        <xdr:cNvSpPr/>
      </xdr:nvSpPr>
      <xdr:spPr>
        <a:xfrm>
          <a:off x="11894820" y="30480"/>
          <a:ext cx="228600" cy="205740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22</xdr:col>
      <xdr:colOff>266700</xdr:colOff>
      <xdr:row>0</xdr:row>
      <xdr:rowOff>30480</xdr:rowOff>
    </xdr:from>
    <xdr:to>
      <xdr:col>22</xdr:col>
      <xdr:colOff>495300</xdr:colOff>
      <xdr:row>1</xdr:row>
      <xdr:rowOff>7620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E531C5AA-3B4B-4CE5-AAA7-689F1681CAE0}"/>
            </a:ext>
          </a:extLst>
        </xdr:cNvPr>
        <xdr:cNvSpPr/>
      </xdr:nvSpPr>
      <xdr:spPr>
        <a:xfrm>
          <a:off x="16946880" y="30480"/>
          <a:ext cx="228600" cy="205740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28</xdr:col>
      <xdr:colOff>243840</xdr:colOff>
      <xdr:row>0</xdr:row>
      <xdr:rowOff>45720</xdr:rowOff>
    </xdr:from>
    <xdr:to>
      <xdr:col>28</xdr:col>
      <xdr:colOff>472440</xdr:colOff>
      <xdr:row>1</xdr:row>
      <xdr:rowOff>22860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ED263027-EE54-4309-9D9F-44F0518F879E}"/>
            </a:ext>
          </a:extLst>
        </xdr:cNvPr>
        <xdr:cNvSpPr/>
      </xdr:nvSpPr>
      <xdr:spPr>
        <a:xfrm>
          <a:off x="21930360" y="45720"/>
          <a:ext cx="228600" cy="205740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33</xdr:col>
      <xdr:colOff>243840</xdr:colOff>
      <xdr:row>0</xdr:row>
      <xdr:rowOff>38100</xdr:rowOff>
    </xdr:from>
    <xdr:to>
      <xdr:col>33</xdr:col>
      <xdr:colOff>472440</xdr:colOff>
      <xdr:row>1</xdr:row>
      <xdr:rowOff>15240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66D59BD1-4223-470C-9AE8-A59E563D71FF}"/>
            </a:ext>
          </a:extLst>
        </xdr:cNvPr>
        <xdr:cNvSpPr/>
      </xdr:nvSpPr>
      <xdr:spPr>
        <a:xfrm>
          <a:off x="26639520" y="38100"/>
          <a:ext cx="228600" cy="205740"/>
        </a:xfrm>
        <a:prstGeom prst="rightArrow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45720</xdr:colOff>
      <xdr:row>0</xdr:row>
      <xdr:rowOff>182880</xdr:rowOff>
    </xdr:from>
    <xdr:to>
      <xdr:col>0</xdr:col>
      <xdr:colOff>525780</xdr:colOff>
      <xdr:row>3</xdr:row>
      <xdr:rowOff>50292</xdr:rowOff>
    </xdr:to>
    <xdr:sp macro="" textlink="">
      <xdr:nvSpPr>
        <xdr:cNvPr id="7" name="Flecha: hacia la izquierda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2514C9-9345-4826-BCC5-D84EE2A48783}"/>
            </a:ext>
          </a:extLst>
        </xdr:cNvPr>
        <xdr:cNvSpPr/>
      </xdr:nvSpPr>
      <xdr:spPr>
        <a:xfrm>
          <a:off x="45720" y="182880"/>
          <a:ext cx="480060" cy="48463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38100</xdr:colOff>
      <xdr:row>4</xdr:row>
      <xdr:rowOff>15240</xdr:rowOff>
    </xdr:from>
    <xdr:to>
      <xdr:col>0</xdr:col>
      <xdr:colOff>518160</xdr:colOff>
      <xdr:row>6</xdr:row>
      <xdr:rowOff>96012</xdr:rowOff>
    </xdr:to>
    <xdr:sp macro="" textlink="">
      <xdr:nvSpPr>
        <xdr:cNvPr id="8" name="Flecha: hacia la izquierda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847F82-F42C-46FF-89CD-72223BD0F20E}"/>
            </a:ext>
          </a:extLst>
        </xdr:cNvPr>
        <xdr:cNvSpPr/>
      </xdr:nvSpPr>
      <xdr:spPr>
        <a:xfrm>
          <a:off x="38100" y="815340"/>
          <a:ext cx="480060" cy="484632"/>
        </a:xfrm>
        <a:prstGeom prst="lef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175260</xdr:rowOff>
    </xdr:from>
    <xdr:to>
      <xdr:col>0</xdr:col>
      <xdr:colOff>548640</xdr:colOff>
      <xdr:row>3</xdr:row>
      <xdr:rowOff>42672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7446C5-B1E2-4ADC-9D7F-535587444D9A}"/>
            </a:ext>
          </a:extLst>
        </xdr:cNvPr>
        <xdr:cNvSpPr/>
      </xdr:nvSpPr>
      <xdr:spPr>
        <a:xfrm>
          <a:off x="68580" y="175260"/>
          <a:ext cx="480060" cy="48463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60960</xdr:colOff>
      <xdr:row>4</xdr:row>
      <xdr:rowOff>7620</xdr:rowOff>
    </xdr:from>
    <xdr:to>
      <xdr:col>0</xdr:col>
      <xdr:colOff>541020</xdr:colOff>
      <xdr:row>6</xdr:row>
      <xdr:rowOff>88392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3E0CA5-3369-467B-8C33-2D6F96A0DAFF}"/>
            </a:ext>
          </a:extLst>
        </xdr:cNvPr>
        <xdr:cNvSpPr/>
      </xdr:nvSpPr>
      <xdr:spPr>
        <a:xfrm>
          <a:off x="60960" y="807720"/>
          <a:ext cx="480060" cy="484632"/>
        </a:xfrm>
        <a:prstGeom prst="lef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85375</xdr:colOff>
      <xdr:row>0</xdr:row>
      <xdr:rowOff>194387</xdr:rowOff>
    </xdr:from>
    <xdr:to>
      <xdr:col>0</xdr:col>
      <xdr:colOff>565435</xdr:colOff>
      <xdr:row>3</xdr:row>
      <xdr:rowOff>189162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C3C54D-15CC-4450-B49A-563438244961}"/>
            </a:ext>
          </a:extLst>
        </xdr:cNvPr>
        <xdr:cNvSpPr/>
      </xdr:nvSpPr>
      <xdr:spPr>
        <a:xfrm>
          <a:off x="85375" y="194387"/>
          <a:ext cx="480060" cy="48463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77755</xdr:colOff>
      <xdr:row>4</xdr:row>
      <xdr:rowOff>142602</xdr:rowOff>
    </xdr:from>
    <xdr:to>
      <xdr:col>0</xdr:col>
      <xdr:colOff>557815</xdr:colOff>
      <xdr:row>7</xdr:row>
      <xdr:rowOff>67397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A45491-3F65-4C16-8E12-51FA2AF117A5}"/>
            </a:ext>
          </a:extLst>
        </xdr:cNvPr>
        <xdr:cNvSpPr/>
      </xdr:nvSpPr>
      <xdr:spPr>
        <a:xfrm>
          <a:off x="77755" y="826847"/>
          <a:ext cx="480060" cy="484632"/>
        </a:xfrm>
        <a:prstGeom prst="lef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102870</xdr:rowOff>
    </xdr:from>
    <xdr:to>
      <xdr:col>14</xdr:col>
      <xdr:colOff>22860</xdr:colOff>
      <xdr:row>19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0C85C88-3184-4CE9-8E30-D7E66BF6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0</xdr:row>
      <xdr:rowOff>167640</xdr:rowOff>
    </xdr:from>
    <xdr:to>
      <xdr:col>0</xdr:col>
      <xdr:colOff>563880</xdr:colOff>
      <xdr:row>2</xdr:row>
      <xdr:rowOff>286512</xdr:rowOff>
    </xdr:to>
    <xdr:sp macro="" textlink="">
      <xdr:nvSpPr>
        <xdr:cNvPr id="7" name="Flecha: hacia la izquierda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1D6705-85BA-49EB-8AA8-771F30B88376}"/>
            </a:ext>
          </a:extLst>
        </xdr:cNvPr>
        <xdr:cNvSpPr/>
      </xdr:nvSpPr>
      <xdr:spPr>
        <a:xfrm>
          <a:off x="83820" y="167640"/>
          <a:ext cx="480060" cy="48463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76200</xdr:colOff>
      <xdr:row>3</xdr:row>
      <xdr:rowOff>68580</xdr:rowOff>
    </xdr:from>
    <xdr:to>
      <xdr:col>0</xdr:col>
      <xdr:colOff>556260</xdr:colOff>
      <xdr:row>6</xdr:row>
      <xdr:rowOff>4572</xdr:rowOff>
    </xdr:to>
    <xdr:sp macro="" textlink="">
      <xdr:nvSpPr>
        <xdr:cNvPr id="8" name="Flecha: hacia la izquierda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EAEDD5-24F6-4235-AC64-C2FAA024681A}"/>
            </a:ext>
          </a:extLst>
        </xdr:cNvPr>
        <xdr:cNvSpPr/>
      </xdr:nvSpPr>
      <xdr:spPr>
        <a:xfrm>
          <a:off x="76200" y="800100"/>
          <a:ext cx="480060" cy="484632"/>
        </a:xfrm>
        <a:prstGeom prst="lef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129540</xdr:rowOff>
    </xdr:from>
    <xdr:to>
      <xdr:col>0</xdr:col>
      <xdr:colOff>571500</xdr:colOff>
      <xdr:row>3</xdr:row>
      <xdr:rowOff>65532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9FB3C-584E-48A3-A4A3-9A7D80D8D18B}"/>
            </a:ext>
          </a:extLst>
        </xdr:cNvPr>
        <xdr:cNvSpPr/>
      </xdr:nvSpPr>
      <xdr:spPr>
        <a:xfrm>
          <a:off x="91440" y="129540"/>
          <a:ext cx="480060" cy="48463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83820</xdr:colOff>
      <xdr:row>4</xdr:row>
      <xdr:rowOff>30480</xdr:rowOff>
    </xdr:from>
    <xdr:to>
      <xdr:col>0</xdr:col>
      <xdr:colOff>563880</xdr:colOff>
      <xdr:row>6</xdr:row>
      <xdr:rowOff>126492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D99992-552D-496E-A433-09CB6FE9EB46}"/>
            </a:ext>
          </a:extLst>
        </xdr:cNvPr>
        <xdr:cNvSpPr/>
      </xdr:nvSpPr>
      <xdr:spPr>
        <a:xfrm>
          <a:off x="83820" y="762000"/>
          <a:ext cx="480060" cy="484632"/>
        </a:xfrm>
        <a:prstGeom prst="lef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75</xdr:col>
      <xdr:colOff>68580</xdr:colOff>
      <xdr:row>5</xdr:row>
      <xdr:rowOff>19050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FDE722D-A13D-43C9-A053-FBCDAD61DE02}"/>
                </a:ext>
              </a:extLst>
            </xdr:cNvPr>
            <xdr:cNvSpPr txBox="1"/>
          </xdr:nvSpPr>
          <xdr:spPr>
            <a:xfrm>
              <a:off x="62202060" y="105537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FDE722D-A13D-43C9-A053-FBCDAD61DE02}"/>
                </a:ext>
              </a:extLst>
            </xdr:cNvPr>
            <xdr:cNvSpPr txBox="1"/>
          </xdr:nvSpPr>
          <xdr:spPr>
            <a:xfrm>
              <a:off x="62202060" y="105537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7</xdr:row>
      <xdr:rowOff>3810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90CB646-5FD9-4680-A508-4B09F42D318E}"/>
                </a:ext>
              </a:extLst>
            </xdr:cNvPr>
            <xdr:cNvSpPr txBox="1"/>
          </xdr:nvSpPr>
          <xdr:spPr>
            <a:xfrm>
              <a:off x="62202060" y="142875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90CB646-5FD9-4680-A508-4B09F42D318E}"/>
                </a:ext>
              </a:extLst>
            </xdr:cNvPr>
            <xdr:cNvSpPr txBox="1"/>
          </xdr:nvSpPr>
          <xdr:spPr>
            <a:xfrm>
              <a:off x="62202060" y="142875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≤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6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49B9020-BF25-4241-AF40-56ACC262B12E}"/>
                </a:ext>
              </a:extLst>
            </xdr:cNvPr>
            <xdr:cNvSpPr txBox="1"/>
          </xdr:nvSpPr>
          <xdr:spPr>
            <a:xfrm>
              <a:off x="62202060" y="1257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49B9020-BF25-4241-AF40-56ACC262B12E}"/>
                </a:ext>
              </a:extLst>
            </xdr:cNvPr>
            <xdr:cNvSpPr txBox="1"/>
          </xdr:nvSpPr>
          <xdr:spPr>
            <a:xfrm>
              <a:off x="62202060" y="1257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9</xdr:row>
      <xdr:rowOff>3810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F36BD63-DE0B-48DA-B68A-67D102183444}"/>
                </a:ext>
              </a:extLst>
            </xdr:cNvPr>
            <xdr:cNvSpPr txBox="1"/>
          </xdr:nvSpPr>
          <xdr:spPr>
            <a:xfrm>
              <a:off x="62202060" y="142875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F36BD63-DE0B-48DA-B68A-67D102183444}"/>
                </a:ext>
              </a:extLst>
            </xdr:cNvPr>
            <xdr:cNvSpPr txBox="1"/>
          </xdr:nvSpPr>
          <xdr:spPr>
            <a:xfrm>
              <a:off x="62202060" y="142875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≤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8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64917B5-590B-43CA-A235-45AE5111734A}"/>
                </a:ext>
              </a:extLst>
            </xdr:cNvPr>
            <xdr:cNvSpPr txBox="1"/>
          </xdr:nvSpPr>
          <xdr:spPr>
            <a:xfrm>
              <a:off x="62202060" y="1257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64917B5-590B-43CA-A235-45AE5111734A}"/>
                </a:ext>
              </a:extLst>
            </xdr:cNvPr>
            <xdr:cNvSpPr txBox="1"/>
          </xdr:nvSpPr>
          <xdr:spPr>
            <a:xfrm>
              <a:off x="62202060" y="1257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10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8CE7C7-81EA-4305-AE00-815366B8E8AD}"/>
                </a:ext>
              </a:extLst>
            </xdr:cNvPr>
            <xdr:cNvSpPr txBox="1"/>
          </xdr:nvSpPr>
          <xdr:spPr>
            <a:xfrm>
              <a:off x="62202060" y="1257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8CE7C7-81EA-4305-AE00-815366B8E8AD}"/>
                </a:ext>
              </a:extLst>
            </xdr:cNvPr>
            <xdr:cNvSpPr txBox="1"/>
          </xdr:nvSpPr>
          <xdr:spPr>
            <a:xfrm>
              <a:off x="62202060" y="1257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11</xdr:row>
      <xdr:rowOff>3810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79E5F29-9DF5-4B12-B4EB-B8AB4155F65E}"/>
                </a:ext>
              </a:extLst>
            </xdr:cNvPr>
            <xdr:cNvSpPr txBox="1"/>
          </xdr:nvSpPr>
          <xdr:spPr>
            <a:xfrm>
              <a:off x="62202060" y="180975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≤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79E5F29-9DF5-4B12-B4EB-B8AB4155F65E}"/>
                </a:ext>
              </a:extLst>
            </xdr:cNvPr>
            <xdr:cNvSpPr txBox="1"/>
          </xdr:nvSpPr>
          <xdr:spPr>
            <a:xfrm>
              <a:off x="62202060" y="180975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≤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10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314A8DB-8295-4101-977E-0C6BC3B32FE8}"/>
                </a:ext>
              </a:extLst>
            </xdr:cNvPr>
            <xdr:cNvSpPr txBox="1"/>
          </xdr:nvSpPr>
          <xdr:spPr>
            <a:xfrm>
              <a:off x="62202060" y="1638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314A8DB-8295-4101-977E-0C6BC3B32FE8}"/>
                </a:ext>
              </a:extLst>
            </xdr:cNvPr>
            <xdr:cNvSpPr txBox="1"/>
          </xdr:nvSpPr>
          <xdr:spPr>
            <a:xfrm>
              <a:off x="62202060" y="1638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12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E7833B1-E8F0-45FD-A353-7F9E57856B53}"/>
                </a:ext>
              </a:extLst>
            </xdr:cNvPr>
            <xdr:cNvSpPr txBox="1"/>
          </xdr:nvSpPr>
          <xdr:spPr>
            <a:xfrm>
              <a:off x="62202060" y="2019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E7833B1-E8F0-45FD-A353-7F9E57856B53}"/>
                </a:ext>
              </a:extLst>
            </xdr:cNvPr>
            <xdr:cNvSpPr txBox="1"/>
          </xdr:nvSpPr>
          <xdr:spPr>
            <a:xfrm>
              <a:off x="62202060" y="2019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12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9CEF694-ADDE-4382-8CED-4C85D18110DA}"/>
                </a:ext>
              </a:extLst>
            </xdr:cNvPr>
            <xdr:cNvSpPr txBox="1"/>
          </xdr:nvSpPr>
          <xdr:spPr>
            <a:xfrm>
              <a:off x="62202060" y="2019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9CEF694-ADDE-4382-8CED-4C85D18110DA}"/>
                </a:ext>
              </a:extLst>
            </xdr:cNvPr>
            <xdr:cNvSpPr txBox="1"/>
          </xdr:nvSpPr>
          <xdr:spPr>
            <a:xfrm>
              <a:off x="62202060" y="20193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14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A91D786-9090-4860-86C3-11D635A66446}"/>
                </a:ext>
              </a:extLst>
            </xdr:cNvPr>
            <xdr:cNvSpPr txBox="1"/>
          </xdr:nvSpPr>
          <xdr:spPr>
            <a:xfrm>
              <a:off x="62202060" y="242316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A91D786-9090-4860-86C3-11D635A66446}"/>
                </a:ext>
              </a:extLst>
            </xdr:cNvPr>
            <xdr:cNvSpPr txBox="1"/>
          </xdr:nvSpPr>
          <xdr:spPr>
            <a:xfrm>
              <a:off x="62202060" y="242316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14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26FF749-F78E-4FDD-90A8-2619618DF7D9}"/>
                </a:ext>
              </a:extLst>
            </xdr:cNvPr>
            <xdr:cNvSpPr txBox="1"/>
          </xdr:nvSpPr>
          <xdr:spPr>
            <a:xfrm>
              <a:off x="62202060" y="242316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26FF749-F78E-4FDD-90A8-2619618DF7D9}"/>
                </a:ext>
              </a:extLst>
            </xdr:cNvPr>
            <xdr:cNvSpPr txBox="1"/>
          </xdr:nvSpPr>
          <xdr:spPr>
            <a:xfrm>
              <a:off x="62202060" y="242316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15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76D22A52-1D18-4CA6-8FEB-B58CCDEEEFE4}"/>
                </a:ext>
              </a:extLst>
            </xdr:cNvPr>
            <xdr:cNvSpPr txBox="1"/>
          </xdr:nvSpPr>
          <xdr:spPr>
            <a:xfrm>
              <a:off x="62202060" y="281178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76D22A52-1D18-4CA6-8FEB-B58CCDEEEFE4}"/>
                </a:ext>
              </a:extLst>
            </xdr:cNvPr>
            <xdr:cNvSpPr txBox="1"/>
          </xdr:nvSpPr>
          <xdr:spPr>
            <a:xfrm>
              <a:off x="62202060" y="281178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15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0FAEF46-5D26-4B6E-BF5F-90B023826987}"/>
                </a:ext>
              </a:extLst>
            </xdr:cNvPr>
            <xdr:cNvSpPr txBox="1"/>
          </xdr:nvSpPr>
          <xdr:spPr>
            <a:xfrm>
              <a:off x="62202060" y="281178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0FAEF46-5D26-4B6E-BF5F-90B023826987}"/>
                </a:ext>
              </a:extLst>
            </xdr:cNvPr>
            <xdr:cNvSpPr txBox="1"/>
          </xdr:nvSpPr>
          <xdr:spPr>
            <a:xfrm>
              <a:off x="62202060" y="281178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17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A59C517-EF45-42CA-B0C8-5A5BDB4FA133}"/>
                </a:ext>
              </a:extLst>
            </xdr:cNvPr>
            <xdr:cNvSpPr txBox="1"/>
          </xdr:nvSpPr>
          <xdr:spPr>
            <a:xfrm>
              <a:off x="62202060" y="30099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A59C517-EF45-42CA-B0C8-5A5BDB4FA133}"/>
                </a:ext>
              </a:extLst>
            </xdr:cNvPr>
            <xdr:cNvSpPr txBox="1"/>
          </xdr:nvSpPr>
          <xdr:spPr>
            <a:xfrm>
              <a:off x="62202060" y="30099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17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EAF95D9A-3059-405F-87AB-6FC8F7A9DAA4}"/>
                </a:ext>
              </a:extLst>
            </xdr:cNvPr>
            <xdr:cNvSpPr txBox="1"/>
          </xdr:nvSpPr>
          <xdr:spPr>
            <a:xfrm>
              <a:off x="62202060" y="30099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EAF95D9A-3059-405F-87AB-6FC8F7A9DAA4}"/>
                </a:ext>
              </a:extLst>
            </xdr:cNvPr>
            <xdr:cNvSpPr txBox="1"/>
          </xdr:nvSpPr>
          <xdr:spPr>
            <a:xfrm>
              <a:off x="62202060" y="300990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18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401DAA9D-42B9-4652-B767-946B058B6227}"/>
                </a:ext>
              </a:extLst>
            </xdr:cNvPr>
            <xdr:cNvSpPr txBox="1"/>
          </xdr:nvSpPr>
          <xdr:spPr>
            <a:xfrm>
              <a:off x="62202060" y="33985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401DAA9D-42B9-4652-B767-946B058B6227}"/>
                </a:ext>
              </a:extLst>
            </xdr:cNvPr>
            <xdr:cNvSpPr txBox="1"/>
          </xdr:nvSpPr>
          <xdr:spPr>
            <a:xfrm>
              <a:off x="62202060" y="33985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18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1E23097-450E-4DFB-9AFB-992397590773}"/>
                </a:ext>
              </a:extLst>
            </xdr:cNvPr>
            <xdr:cNvSpPr txBox="1"/>
          </xdr:nvSpPr>
          <xdr:spPr>
            <a:xfrm>
              <a:off x="62202060" y="33985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1E23097-450E-4DFB-9AFB-992397590773}"/>
                </a:ext>
              </a:extLst>
            </xdr:cNvPr>
            <xdr:cNvSpPr txBox="1"/>
          </xdr:nvSpPr>
          <xdr:spPr>
            <a:xfrm>
              <a:off x="62202060" y="33985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18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5520D57-89A8-41D8-B1AB-6B7B77697093}"/>
                </a:ext>
              </a:extLst>
            </xdr:cNvPr>
            <xdr:cNvSpPr txBox="1"/>
          </xdr:nvSpPr>
          <xdr:spPr>
            <a:xfrm>
              <a:off x="62202060" y="33985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5520D57-89A8-41D8-B1AB-6B7B77697093}"/>
                </a:ext>
              </a:extLst>
            </xdr:cNvPr>
            <xdr:cNvSpPr txBox="1"/>
          </xdr:nvSpPr>
          <xdr:spPr>
            <a:xfrm>
              <a:off x="62202060" y="33985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18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8B00A067-2ED9-475B-9FF5-0D0C09473ECB}"/>
                </a:ext>
              </a:extLst>
            </xdr:cNvPr>
            <xdr:cNvSpPr txBox="1"/>
          </xdr:nvSpPr>
          <xdr:spPr>
            <a:xfrm>
              <a:off x="62202060" y="33985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8B00A067-2ED9-475B-9FF5-0D0C09473ECB}"/>
                </a:ext>
              </a:extLst>
            </xdr:cNvPr>
            <xdr:cNvSpPr txBox="1"/>
          </xdr:nvSpPr>
          <xdr:spPr>
            <a:xfrm>
              <a:off x="62202060" y="33985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19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BC51B795-226A-4CA3-A30B-B0519E40D14B}"/>
                </a:ext>
              </a:extLst>
            </xdr:cNvPr>
            <xdr:cNvSpPr txBox="1"/>
          </xdr:nvSpPr>
          <xdr:spPr>
            <a:xfrm>
              <a:off x="62202060" y="35890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BC51B795-226A-4CA3-A30B-B0519E40D14B}"/>
                </a:ext>
              </a:extLst>
            </xdr:cNvPr>
            <xdr:cNvSpPr txBox="1"/>
          </xdr:nvSpPr>
          <xdr:spPr>
            <a:xfrm>
              <a:off x="62202060" y="35890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19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999ED7FE-4172-4CF9-90AB-EE8049159ECA}"/>
                </a:ext>
              </a:extLst>
            </xdr:cNvPr>
            <xdr:cNvSpPr txBox="1"/>
          </xdr:nvSpPr>
          <xdr:spPr>
            <a:xfrm>
              <a:off x="62202060" y="35890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999ED7FE-4172-4CF9-90AB-EE8049159ECA}"/>
                </a:ext>
              </a:extLst>
            </xdr:cNvPr>
            <xdr:cNvSpPr txBox="1"/>
          </xdr:nvSpPr>
          <xdr:spPr>
            <a:xfrm>
              <a:off x="62202060" y="358902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20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6ECC204-EFF8-43F8-8129-6A10246402C9}"/>
                </a:ext>
              </a:extLst>
            </xdr:cNvPr>
            <xdr:cNvSpPr txBox="1"/>
          </xdr:nvSpPr>
          <xdr:spPr>
            <a:xfrm>
              <a:off x="62202060" y="380238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6ECC204-EFF8-43F8-8129-6A10246402C9}"/>
                </a:ext>
              </a:extLst>
            </xdr:cNvPr>
            <xdr:cNvSpPr txBox="1"/>
          </xdr:nvSpPr>
          <xdr:spPr>
            <a:xfrm>
              <a:off x="62202060" y="380238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75</xdr:col>
      <xdr:colOff>68580</xdr:colOff>
      <xdr:row>20</xdr:row>
      <xdr:rowOff>22860</xdr:rowOff>
    </xdr:from>
    <xdr:ext cx="137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15DD1FC3-D9F6-41BC-B1A3-87C29639A77F}"/>
                </a:ext>
              </a:extLst>
            </xdr:cNvPr>
            <xdr:cNvSpPr txBox="1"/>
          </xdr:nvSpPr>
          <xdr:spPr>
            <a:xfrm>
              <a:off x="62202060" y="380238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>
                        <a:latin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15DD1FC3-D9F6-41BC-B1A3-87C29639A77F}"/>
                </a:ext>
              </a:extLst>
            </xdr:cNvPr>
            <xdr:cNvSpPr txBox="1"/>
          </xdr:nvSpPr>
          <xdr:spPr>
            <a:xfrm>
              <a:off x="62202060" y="3802380"/>
              <a:ext cx="137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i="0">
                  <a:latin typeface="Cambria Math" panose="02040503050406030204" pitchFamily="18" charset="0"/>
                </a:rPr>
                <a:t>≥</a:t>
              </a:r>
              <a:endParaRPr lang="es-PE" sz="1100"/>
            </a:p>
          </xdr:txBody>
        </xdr:sp>
      </mc:Fallback>
    </mc:AlternateContent>
    <xdr:clientData/>
  </xdr:oneCellAnchor>
  <xdr:twoCellAnchor>
    <xdr:from>
      <xdr:col>80</xdr:col>
      <xdr:colOff>350520</xdr:colOff>
      <xdr:row>0</xdr:row>
      <xdr:rowOff>133350</xdr:rowOff>
    </xdr:from>
    <xdr:to>
      <xdr:col>88</xdr:col>
      <xdr:colOff>487680</xdr:colOff>
      <xdr:row>15</xdr:row>
      <xdr:rowOff>60960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A6647F33-B90A-45FE-B93C-00B3A7F1A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80</xdr:col>
      <xdr:colOff>350520</xdr:colOff>
      <xdr:row>16</xdr:row>
      <xdr:rowOff>68580</xdr:rowOff>
    </xdr:from>
    <xdr:to>
      <xdr:col>88</xdr:col>
      <xdr:colOff>495300</xdr:colOff>
      <xdr:row>31</xdr:row>
      <xdr:rowOff>53340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940D9E23-C241-4DC0-9DC1-A730A4B96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80</xdr:col>
      <xdr:colOff>373380</xdr:colOff>
      <xdr:row>32</xdr:row>
      <xdr:rowOff>53340</xdr:rowOff>
    </xdr:from>
    <xdr:to>
      <xdr:col>88</xdr:col>
      <xdr:colOff>518160</xdr:colOff>
      <xdr:row>47</xdr:row>
      <xdr:rowOff>144780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E5709D57-1A63-4801-BB1B-93A8743D2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80</xdr:col>
      <xdr:colOff>381000</xdr:colOff>
      <xdr:row>48</xdr:row>
      <xdr:rowOff>53340</xdr:rowOff>
    </xdr:from>
    <xdr:to>
      <xdr:col>88</xdr:col>
      <xdr:colOff>525780</xdr:colOff>
      <xdr:row>63</xdr:row>
      <xdr:rowOff>129540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28C5F1D1-59A2-414F-9DDD-6E76C4AAC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129540</xdr:rowOff>
    </xdr:from>
    <xdr:to>
      <xdr:col>0</xdr:col>
      <xdr:colOff>571500</xdr:colOff>
      <xdr:row>3</xdr:row>
      <xdr:rowOff>65532</xdr:rowOff>
    </xdr:to>
    <xdr:sp macro="" textlink="">
      <xdr:nvSpPr>
        <xdr:cNvPr id="4" name="Flecha: hacia la izquierd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4A50FB-CF21-4139-8CC1-1D7E80889298}"/>
            </a:ext>
          </a:extLst>
        </xdr:cNvPr>
        <xdr:cNvSpPr/>
      </xdr:nvSpPr>
      <xdr:spPr>
        <a:xfrm>
          <a:off x="91440" y="129540"/>
          <a:ext cx="480060" cy="59893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83820</xdr:colOff>
      <xdr:row>4</xdr:row>
      <xdr:rowOff>30480</xdr:rowOff>
    </xdr:from>
    <xdr:to>
      <xdr:col>0</xdr:col>
      <xdr:colOff>563880</xdr:colOff>
      <xdr:row>6</xdr:row>
      <xdr:rowOff>126492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502626-A7E0-42B7-9FC2-09E6F0535476}"/>
            </a:ext>
          </a:extLst>
        </xdr:cNvPr>
        <xdr:cNvSpPr/>
      </xdr:nvSpPr>
      <xdr:spPr>
        <a:xfrm>
          <a:off x="83820" y="876300"/>
          <a:ext cx="480060" cy="499872"/>
        </a:xfrm>
        <a:prstGeom prst="lef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2057400</xdr:colOff>
      <xdr:row>10</xdr:row>
      <xdr:rowOff>110490</xdr:rowOff>
    </xdr:from>
    <xdr:to>
      <xdr:col>12</xdr:col>
      <xdr:colOff>281940</xdr:colOff>
      <xdr:row>28</xdr:row>
      <xdr:rowOff>137160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9F5631E-607A-40BA-8E0B-B5F71837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129540</xdr:rowOff>
    </xdr:from>
    <xdr:to>
      <xdr:col>0</xdr:col>
      <xdr:colOff>571500</xdr:colOff>
      <xdr:row>3</xdr:row>
      <xdr:rowOff>65532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966C3A-8684-49B3-9CC4-F103E8505686}"/>
            </a:ext>
          </a:extLst>
        </xdr:cNvPr>
        <xdr:cNvSpPr/>
      </xdr:nvSpPr>
      <xdr:spPr>
        <a:xfrm>
          <a:off x="91440" y="129540"/>
          <a:ext cx="480060" cy="827532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83820</xdr:colOff>
      <xdr:row>4</xdr:row>
      <xdr:rowOff>30480</xdr:rowOff>
    </xdr:from>
    <xdr:to>
      <xdr:col>0</xdr:col>
      <xdr:colOff>563880</xdr:colOff>
      <xdr:row>6</xdr:row>
      <xdr:rowOff>126492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9B3181-8CA2-489F-9F77-A15C58B0D510}"/>
            </a:ext>
          </a:extLst>
        </xdr:cNvPr>
        <xdr:cNvSpPr/>
      </xdr:nvSpPr>
      <xdr:spPr>
        <a:xfrm>
          <a:off x="83820" y="1104900"/>
          <a:ext cx="480060" cy="461772"/>
        </a:xfrm>
        <a:prstGeom prst="leftArrow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B764-4936-48FD-A92B-5A185608A1FD}">
  <dimension ref="C1:ED36"/>
  <sheetViews>
    <sheetView tabSelected="1" zoomScaleNormal="100" workbookViewId="0"/>
  </sheetViews>
  <sheetFormatPr baseColWidth="10" defaultRowHeight="14.4" x14ac:dyDescent="0.3"/>
  <cols>
    <col min="1" max="5" width="11.5546875" style="110" customWidth="1"/>
    <col min="6" max="8" width="11.5546875" style="110"/>
    <col min="9" max="9" width="14.44140625" style="110" bestFit="1" customWidth="1"/>
    <col min="10" max="21" width="11.5546875" style="110"/>
    <col min="22" max="22" width="10" style="110" customWidth="1"/>
    <col min="23" max="16384" width="11.5546875" style="110"/>
  </cols>
  <sheetData>
    <row r="1" spans="3:134" x14ac:dyDescent="0.3"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</row>
    <row r="2" spans="3:134" x14ac:dyDescent="0.3"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6" t="s">
        <v>234</v>
      </c>
      <c r="Q2" s="117">
        <f ca="1">(EA26-DZ26)/DZ26</f>
        <v>0.27602807878002195</v>
      </c>
    </row>
    <row r="3" spans="3:134" x14ac:dyDescent="0.3"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6" t="s">
        <v>233</v>
      </c>
      <c r="Q3" s="117">
        <f ca="1">(EA25-DZ25)/DZ25</f>
        <v>-0.62563856245222482</v>
      </c>
    </row>
    <row r="4" spans="3:134" ht="22.8" x14ac:dyDescent="0.4">
      <c r="E4" s="399" t="s">
        <v>221</v>
      </c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</row>
    <row r="5" spans="3:134" x14ac:dyDescent="0.3"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</row>
    <row r="6" spans="3:134" x14ac:dyDescent="0.3">
      <c r="E6" s="113"/>
      <c r="F6" s="113"/>
      <c r="G6" s="113"/>
      <c r="O6" s="113"/>
      <c r="P6" s="113"/>
      <c r="Q6" s="113"/>
    </row>
    <row r="7" spans="3:134" x14ac:dyDescent="0.3">
      <c r="E7" s="113"/>
      <c r="F7" s="113"/>
      <c r="G7" s="113"/>
      <c r="O7" s="113"/>
      <c r="P7" s="113"/>
      <c r="Q7" s="113"/>
    </row>
    <row r="8" spans="3:134" x14ac:dyDescent="0.3">
      <c r="E8" s="113"/>
      <c r="F8" s="113"/>
      <c r="G8" s="113"/>
      <c r="O8" s="113"/>
      <c r="P8" s="113"/>
      <c r="Q8" s="113"/>
      <c r="DX8" s="116"/>
      <c r="DY8" s="116"/>
      <c r="DZ8" s="116"/>
      <c r="EA8" s="116"/>
      <c r="EB8" s="116"/>
      <c r="EC8" s="116"/>
      <c r="ED8" s="113"/>
    </row>
    <row r="9" spans="3:134" x14ac:dyDescent="0.3">
      <c r="D9" s="111" t="s">
        <v>229</v>
      </c>
      <c r="E9" s="114" t="s">
        <v>228</v>
      </c>
      <c r="F9" s="113"/>
      <c r="G9" s="113"/>
      <c r="O9" s="113"/>
      <c r="P9" s="113"/>
      <c r="Q9" s="113"/>
      <c r="R9" s="113"/>
      <c r="S9" s="113"/>
      <c r="DX9" s="113"/>
      <c r="DY9" s="113"/>
      <c r="DZ9" s="113"/>
      <c r="EA9" s="113"/>
      <c r="EB9" s="113"/>
      <c r="EC9" s="113"/>
      <c r="ED9" s="113"/>
    </row>
    <row r="10" spans="3:134" x14ac:dyDescent="0.3">
      <c r="C10" s="110" t="s">
        <v>162</v>
      </c>
      <c r="D10" s="110">
        <f ca="1">INT(RAND()*1000)</f>
        <v>340</v>
      </c>
      <c r="E10" s="113">
        <f ca="1">INT(RAND()*1000)</f>
        <v>763</v>
      </c>
      <c r="F10" s="113"/>
      <c r="G10" s="113"/>
      <c r="O10" s="113"/>
      <c r="P10" s="113"/>
      <c r="Q10" s="113"/>
      <c r="DX10" s="113"/>
      <c r="DY10" s="113"/>
      <c r="DZ10" s="113"/>
      <c r="EA10" s="113"/>
      <c r="EB10" s="113"/>
      <c r="EC10" s="113"/>
      <c r="ED10" s="113"/>
    </row>
    <row r="11" spans="3:134" x14ac:dyDescent="0.3">
      <c r="C11" s="110" t="s">
        <v>163</v>
      </c>
      <c r="D11" s="110">
        <f t="shared" ref="D11:D21" ca="1" si="0">INT(RAND()*1000)</f>
        <v>985</v>
      </c>
      <c r="E11" s="113">
        <f t="shared" ref="E11:E21" ca="1" si="1">INT(RAND()*1000)</f>
        <v>857</v>
      </c>
      <c r="F11" s="113"/>
      <c r="G11" s="113"/>
      <c r="O11" s="113">
        <v>1</v>
      </c>
      <c r="P11" s="113" t="s">
        <v>162</v>
      </c>
      <c r="Q11" s="113"/>
      <c r="DX11" s="113"/>
      <c r="DY11" s="113"/>
      <c r="DZ11" s="113"/>
      <c r="EA11" s="113"/>
      <c r="EB11" s="113"/>
      <c r="EC11" s="113"/>
      <c r="ED11" s="113"/>
    </row>
    <row r="12" spans="3:134" x14ac:dyDescent="0.3">
      <c r="C12" s="110" t="s">
        <v>164</v>
      </c>
      <c r="D12" s="110">
        <f t="shared" ca="1" si="0"/>
        <v>461</v>
      </c>
      <c r="E12" s="113">
        <f t="shared" ca="1" si="1"/>
        <v>528</v>
      </c>
      <c r="F12" s="113"/>
      <c r="G12" s="113">
        <f ca="1">RANDBETWEEN(1,12)</f>
        <v>6</v>
      </c>
      <c r="O12" s="113">
        <v>2</v>
      </c>
      <c r="P12" s="113" t="s">
        <v>163</v>
      </c>
      <c r="Q12" s="113"/>
      <c r="DX12" s="113"/>
      <c r="DY12" s="113"/>
      <c r="DZ12" s="113"/>
      <c r="EA12" s="113"/>
      <c r="EB12" s="113"/>
      <c r="EC12" s="113"/>
      <c r="ED12" s="113"/>
    </row>
    <row r="13" spans="3:134" x14ac:dyDescent="0.3">
      <c r="C13" s="110" t="s">
        <v>165</v>
      </c>
      <c r="D13" s="110">
        <f t="shared" ca="1" si="0"/>
        <v>628</v>
      </c>
      <c r="E13" s="113">
        <f t="shared" ca="1" si="1"/>
        <v>162</v>
      </c>
      <c r="F13" s="113"/>
      <c r="G13" s="113">
        <f ca="1">+G12+1</f>
        <v>7</v>
      </c>
      <c r="O13" s="113">
        <v>3</v>
      </c>
      <c r="P13" s="113" t="s">
        <v>164</v>
      </c>
      <c r="Q13" s="113"/>
      <c r="U13" s="110">
        <v>5</v>
      </c>
      <c r="DX13" s="113"/>
      <c r="DY13" s="113"/>
      <c r="DZ13" s="113" t="s">
        <v>230</v>
      </c>
      <c r="EA13" s="113" t="s">
        <v>177</v>
      </c>
      <c r="EB13" s="113" t="s">
        <v>231</v>
      </c>
      <c r="EC13" s="113" t="s">
        <v>232</v>
      </c>
      <c r="ED13" s="113"/>
    </row>
    <row r="14" spans="3:134" x14ac:dyDescent="0.3">
      <c r="C14" s="110" t="s">
        <v>166</v>
      </c>
      <c r="D14" s="110">
        <f t="shared" ca="1" si="0"/>
        <v>116</v>
      </c>
      <c r="E14" s="113">
        <f t="shared" ca="1" si="1"/>
        <v>947</v>
      </c>
      <c r="F14" s="113"/>
      <c r="G14" s="113">
        <f t="shared" ref="G14:G23" ca="1" si="2">+G13+1</f>
        <v>8</v>
      </c>
      <c r="O14" s="113">
        <v>4</v>
      </c>
      <c r="P14" s="113" t="s">
        <v>165</v>
      </c>
      <c r="Q14" s="113"/>
      <c r="DX14" s="115">
        <f ca="1">RANDBETWEEN(2017,2020)</f>
        <v>2018</v>
      </c>
      <c r="DY14" s="113" t="str">
        <f t="shared" ref="DY14:DY25" ca="1" si="3">CONCATENATE(VLOOKUP(G12,O11:P34,2,)," ",DX14)</f>
        <v>Junio 2018</v>
      </c>
      <c r="DZ14" s="113">
        <f ca="1">RAND()*1000</f>
        <v>176.95464161176676</v>
      </c>
      <c r="EA14" s="113">
        <f ca="1">RAND()*1000</f>
        <v>954.70765154106584</v>
      </c>
      <c r="EB14" s="113">
        <f ca="1">+DZ14-EA14</f>
        <v>-777.75300992929908</v>
      </c>
      <c r="EC14" s="113">
        <f ca="1">+EB14</f>
        <v>-777.75300992929908</v>
      </c>
      <c r="ED14" s="113"/>
    </row>
    <row r="15" spans="3:134" x14ac:dyDescent="0.3">
      <c r="C15" s="110" t="s">
        <v>167</v>
      </c>
      <c r="D15" s="110">
        <f t="shared" ca="1" si="0"/>
        <v>497</v>
      </c>
      <c r="E15" s="113">
        <f t="shared" ca="1" si="1"/>
        <v>274</v>
      </c>
      <c r="F15" s="113"/>
      <c r="G15" s="113">
        <f t="shared" ca="1" si="2"/>
        <v>9</v>
      </c>
      <c r="O15" s="113">
        <v>5</v>
      </c>
      <c r="P15" s="113" t="s">
        <v>166</v>
      </c>
      <c r="Q15" s="113"/>
      <c r="DX15" s="113">
        <f t="shared" ref="DX15:DX25" ca="1" si="4">IF(G12=12,DX14+1,DX14)</f>
        <v>2018</v>
      </c>
      <c r="DY15" s="113" t="str">
        <f t="shared" ca="1" si="3"/>
        <v>Julio 2018</v>
      </c>
      <c r="DZ15" s="113">
        <f t="shared" ref="DZ15:EA25" ca="1" si="5">RAND()*1000</f>
        <v>347.30903849370407</v>
      </c>
      <c r="EA15" s="113">
        <f t="shared" ca="1" si="5"/>
        <v>658.54116233492971</v>
      </c>
      <c r="EB15" s="113">
        <f t="shared" ref="EB15:EB25" ca="1" si="6">+DZ15-EA15</f>
        <v>-311.23212384122564</v>
      </c>
      <c r="EC15" s="113">
        <f ca="1">+EC14+EB15</f>
        <v>-1088.9851337705247</v>
      </c>
      <c r="ED15" s="113"/>
    </row>
    <row r="16" spans="3:134" x14ac:dyDescent="0.3">
      <c r="C16" s="110" t="s">
        <v>222</v>
      </c>
      <c r="D16" s="110">
        <f t="shared" ca="1" si="0"/>
        <v>435</v>
      </c>
      <c r="E16" s="113">
        <f t="shared" ca="1" si="1"/>
        <v>348</v>
      </c>
      <c r="F16" s="113"/>
      <c r="G16" s="113">
        <f t="shared" ca="1" si="2"/>
        <v>10</v>
      </c>
      <c r="O16" s="113">
        <v>6</v>
      </c>
      <c r="P16" s="113" t="s">
        <v>167</v>
      </c>
      <c r="Q16" s="113"/>
      <c r="DX16" s="113">
        <f t="shared" ca="1" si="4"/>
        <v>2018</v>
      </c>
      <c r="DY16" s="113" t="str">
        <f t="shared" ca="1" si="3"/>
        <v>Agosto 2018</v>
      </c>
      <c r="DZ16" s="113">
        <f t="shared" ca="1" si="5"/>
        <v>286.61318458351468</v>
      </c>
      <c r="EA16" s="113">
        <f t="shared" ca="1" si="5"/>
        <v>102.73634338435444</v>
      </c>
      <c r="EB16" s="113">
        <f t="shared" ca="1" si="6"/>
        <v>183.87684119916025</v>
      </c>
      <c r="EC16" s="113">
        <f t="shared" ref="EC16:EC25" ca="1" si="7">+EC15+EB16</f>
        <v>-905.10829257136447</v>
      </c>
      <c r="ED16" s="113"/>
    </row>
    <row r="17" spans="3:134" x14ac:dyDescent="0.3">
      <c r="C17" s="110" t="s">
        <v>223</v>
      </c>
      <c r="D17" s="110">
        <f t="shared" ca="1" si="0"/>
        <v>162</v>
      </c>
      <c r="E17" s="113">
        <f t="shared" ca="1" si="1"/>
        <v>517</v>
      </c>
      <c r="F17" s="113"/>
      <c r="G17" s="113">
        <f t="shared" ca="1" si="2"/>
        <v>11</v>
      </c>
      <c r="O17" s="113">
        <v>7</v>
      </c>
      <c r="P17" s="113" t="s">
        <v>222</v>
      </c>
      <c r="Q17" s="113"/>
      <c r="DX17" s="113">
        <f t="shared" ca="1" si="4"/>
        <v>2018</v>
      </c>
      <c r="DY17" s="113" t="str">
        <f t="shared" ca="1" si="3"/>
        <v>Setiembre 2018</v>
      </c>
      <c r="DZ17" s="113">
        <f t="shared" ca="1" si="5"/>
        <v>98.706729352267203</v>
      </c>
      <c r="EA17" s="113">
        <f t="shared" ca="1" si="5"/>
        <v>827.30325311327761</v>
      </c>
      <c r="EB17" s="113">
        <f t="shared" ca="1" si="6"/>
        <v>-728.59652376101042</v>
      </c>
      <c r="EC17" s="113">
        <f t="shared" ca="1" si="7"/>
        <v>-1633.7048163323748</v>
      </c>
      <c r="ED17" s="113"/>
    </row>
    <row r="18" spans="3:134" x14ac:dyDescent="0.3">
      <c r="C18" s="110" t="s">
        <v>224</v>
      </c>
      <c r="D18" s="110">
        <f t="shared" ca="1" si="0"/>
        <v>174</v>
      </c>
      <c r="E18" s="113">
        <f t="shared" ca="1" si="1"/>
        <v>748</v>
      </c>
      <c r="F18" s="113"/>
      <c r="G18" s="113">
        <f t="shared" ca="1" si="2"/>
        <v>12</v>
      </c>
      <c r="O18" s="113">
        <v>8</v>
      </c>
      <c r="P18" s="113" t="s">
        <v>223</v>
      </c>
      <c r="Q18" s="113"/>
      <c r="DX18" s="113">
        <f t="shared" ca="1" si="4"/>
        <v>2018</v>
      </c>
      <c r="DY18" s="113" t="str">
        <f t="shared" ca="1" si="3"/>
        <v>Octubre 2018</v>
      </c>
      <c r="DZ18" s="113">
        <f t="shared" ca="1" si="5"/>
        <v>20.918102422494812</v>
      </c>
      <c r="EA18" s="113">
        <f t="shared" ca="1" si="5"/>
        <v>671.69806576059432</v>
      </c>
      <c r="EB18" s="113">
        <f t="shared" ca="1" si="6"/>
        <v>-650.77996333809949</v>
      </c>
      <c r="EC18" s="113">
        <f t="shared" ca="1" si="7"/>
        <v>-2284.4847796704744</v>
      </c>
      <c r="ED18" s="113"/>
    </row>
    <row r="19" spans="3:134" x14ac:dyDescent="0.3">
      <c r="C19" s="110" t="s">
        <v>225</v>
      </c>
      <c r="D19" s="110">
        <f t="shared" ca="1" si="0"/>
        <v>653</v>
      </c>
      <c r="E19" s="113">
        <f t="shared" ca="1" si="1"/>
        <v>430</v>
      </c>
      <c r="F19" s="113"/>
      <c r="G19" s="113">
        <f t="shared" ca="1" si="2"/>
        <v>13</v>
      </c>
      <c r="O19" s="113">
        <v>9</v>
      </c>
      <c r="P19" s="113" t="s">
        <v>224</v>
      </c>
      <c r="Q19" s="113"/>
      <c r="R19" s="110">
        <v>5</v>
      </c>
      <c r="DX19" s="113">
        <f t="shared" ca="1" si="4"/>
        <v>2018</v>
      </c>
      <c r="DY19" s="113" t="str">
        <f t="shared" ca="1" si="3"/>
        <v>Noviembre 2018</v>
      </c>
      <c r="DZ19" s="113">
        <f t="shared" ca="1" si="5"/>
        <v>853.33412432453588</v>
      </c>
      <c r="EA19" s="113">
        <f t="shared" ca="1" si="5"/>
        <v>870.65821548561757</v>
      </c>
      <c r="EB19" s="113">
        <f t="shared" ca="1" si="6"/>
        <v>-17.324091161081697</v>
      </c>
      <c r="EC19" s="113">
        <f t="shared" ca="1" si="7"/>
        <v>-2301.8088708315563</v>
      </c>
      <c r="ED19" s="113"/>
    </row>
    <row r="20" spans="3:134" x14ac:dyDescent="0.3">
      <c r="C20" s="110" t="s">
        <v>226</v>
      </c>
      <c r="D20" s="110">
        <f t="shared" ca="1" si="0"/>
        <v>335</v>
      </c>
      <c r="E20" s="113">
        <f t="shared" ca="1" si="1"/>
        <v>95</v>
      </c>
      <c r="F20" s="113"/>
      <c r="G20" s="113">
        <f t="shared" ca="1" si="2"/>
        <v>14</v>
      </c>
      <c r="O20" s="113">
        <v>10</v>
      </c>
      <c r="P20" s="113" t="s">
        <v>225</v>
      </c>
      <c r="Q20" s="113"/>
      <c r="DX20" s="113">
        <f t="shared" ca="1" si="4"/>
        <v>2018</v>
      </c>
      <c r="DY20" s="113" t="str">
        <f t="shared" ca="1" si="3"/>
        <v>Diciembre 2018</v>
      </c>
      <c r="DZ20" s="113">
        <f t="shared" ca="1" si="5"/>
        <v>107.03931164836588</v>
      </c>
      <c r="EA20" s="113">
        <f t="shared" ca="1" si="5"/>
        <v>286.48738310451836</v>
      </c>
      <c r="EB20" s="113">
        <f t="shared" ca="1" si="6"/>
        <v>-179.44807145615249</v>
      </c>
      <c r="EC20" s="113">
        <f t="shared" ca="1" si="7"/>
        <v>-2481.2569422877086</v>
      </c>
      <c r="ED20" s="113"/>
    </row>
    <row r="21" spans="3:134" x14ac:dyDescent="0.3">
      <c r="C21" s="110" t="s">
        <v>227</v>
      </c>
      <c r="D21" s="110">
        <f t="shared" ca="1" si="0"/>
        <v>951</v>
      </c>
      <c r="E21" s="113">
        <f t="shared" ca="1" si="1"/>
        <v>748</v>
      </c>
      <c r="F21" s="113"/>
      <c r="G21" s="113">
        <f t="shared" ca="1" si="2"/>
        <v>15</v>
      </c>
      <c r="O21" s="113">
        <v>11</v>
      </c>
      <c r="P21" s="113" t="s">
        <v>226</v>
      </c>
      <c r="Q21" s="113"/>
      <c r="DX21" s="113">
        <f t="shared" ca="1" si="4"/>
        <v>2019</v>
      </c>
      <c r="DY21" s="113" t="str">
        <f t="shared" ca="1" si="3"/>
        <v>Enero 2019</v>
      </c>
      <c r="DZ21" s="113">
        <f t="shared" ca="1" si="5"/>
        <v>303.20512942194523</v>
      </c>
      <c r="EA21" s="113">
        <f t="shared" ca="1" si="5"/>
        <v>72.862726701829587</v>
      </c>
      <c r="EB21" s="113">
        <f t="shared" ca="1" si="6"/>
        <v>230.34240272011564</v>
      </c>
      <c r="EC21" s="113">
        <f t="shared" ca="1" si="7"/>
        <v>-2250.9145395675928</v>
      </c>
      <c r="ED21" s="113"/>
    </row>
    <row r="22" spans="3:134" x14ac:dyDescent="0.3">
      <c r="E22" s="113"/>
      <c r="F22" s="113"/>
      <c r="G22" s="113">
        <f t="shared" ca="1" si="2"/>
        <v>16</v>
      </c>
      <c r="O22" s="113">
        <v>12</v>
      </c>
      <c r="P22" s="113" t="s">
        <v>227</v>
      </c>
      <c r="Q22" s="113"/>
      <c r="DX22" s="113">
        <f t="shared" ca="1" si="4"/>
        <v>2019</v>
      </c>
      <c r="DY22" s="113" t="str">
        <f t="shared" ca="1" si="3"/>
        <v>Febrero 2019</v>
      </c>
      <c r="DZ22" s="113">
        <f t="shared" ca="1" si="5"/>
        <v>285.79619511313524</v>
      </c>
      <c r="EA22" s="113">
        <f t="shared" ca="1" si="5"/>
        <v>205.37687275274763</v>
      </c>
      <c r="EB22" s="113">
        <f t="shared" ca="1" si="6"/>
        <v>80.419322360387611</v>
      </c>
      <c r="EC22" s="113">
        <f t="shared" ca="1" si="7"/>
        <v>-2170.4952172072053</v>
      </c>
      <c r="ED22" s="113"/>
    </row>
    <row r="23" spans="3:134" x14ac:dyDescent="0.3">
      <c r="E23" s="113"/>
      <c r="F23" s="113"/>
      <c r="G23" s="113">
        <f t="shared" ca="1" si="2"/>
        <v>17</v>
      </c>
      <c r="O23" s="113">
        <v>13</v>
      </c>
      <c r="P23" s="113" t="s">
        <v>162</v>
      </c>
      <c r="Q23" s="113"/>
      <c r="DX23" s="113">
        <f t="shared" ca="1" si="4"/>
        <v>2019</v>
      </c>
      <c r="DY23" s="113" t="str">
        <f t="shared" ca="1" si="3"/>
        <v>Marzo 2019</v>
      </c>
      <c r="DZ23" s="113">
        <f t="shared" ca="1" si="5"/>
        <v>749.82514172936851</v>
      </c>
      <c r="EA23" s="113">
        <f t="shared" ca="1" si="5"/>
        <v>684.19779437994646</v>
      </c>
      <c r="EB23" s="113">
        <f t="shared" ca="1" si="6"/>
        <v>65.627347349422053</v>
      </c>
      <c r="EC23" s="113">
        <f t="shared" ca="1" si="7"/>
        <v>-2104.8678698577833</v>
      </c>
      <c r="ED23" s="113"/>
    </row>
    <row r="24" spans="3:134" x14ac:dyDescent="0.3">
      <c r="E24" s="113"/>
      <c r="F24" s="113"/>
      <c r="G24" s="113"/>
      <c r="O24" s="113">
        <v>14</v>
      </c>
      <c r="P24" s="113" t="s">
        <v>163</v>
      </c>
      <c r="Q24" s="113"/>
      <c r="DX24" s="113">
        <f t="shared" ca="1" si="4"/>
        <v>2019</v>
      </c>
      <c r="DY24" s="113" t="str">
        <f t="shared" ca="1" si="3"/>
        <v>Abril 2019</v>
      </c>
      <c r="DZ24" s="113">
        <f t="shared" ca="1" si="5"/>
        <v>425.12009531186925</v>
      </c>
      <c r="EA24" s="113">
        <f t="shared" ca="1" si="5"/>
        <v>170.71701882516288</v>
      </c>
      <c r="EB24" s="113">
        <f t="shared" ca="1" si="6"/>
        <v>254.40307648670637</v>
      </c>
      <c r="EC24" s="113">
        <f t="shared" ca="1" si="7"/>
        <v>-1850.4647933710769</v>
      </c>
      <c r="ED24" s="113"/>
    </row>
    <row r="25" spans="3:134" x14ac:dyDescent="0.3">
      <c r="E25" s="113"/>
      <c r="F25" s="113"/>
      <c r="G25" s="113"/>
      <c r="O25" s="113">
        <v>15</v>
      </c>
      <c r="P25" s="113" t="s">
        <v>164</v>
      </c>
      <c r="Q25" s="113"/>
      <c r="DX25" s="113">
        <f t="shared" ca="1" si="4"/>
        <v>2019</v>
      </c>
      <c r="DY25" s="113" t="str">
        <f t="shared" ca="1" si="3"/>
        <v>Mayo 2019</v>
      </c>
      <c r="DZ25" s="113">
        <f t="shared" ca="1" si="5"/>
        <v>933.4174565213292</v>
      </c>
      <c r="EA25" s="113">
        <f t="shared" ca="1" si="5"/>
        <v>349.43550085551277</v>
      </c>
      <c r="EB25" s="113">
        <f t="shared" ca="1" si="6"/>
        <v>583.98195566581649</v>
      </c>
      <c r="EC25" s="113">
        <f t="shared" ca="1" si="7"/>
        <v>-1266.4828377052604</v>
      </c>
      <c r="ED25" s="113"/>
    </row>
    <row r="26" spans="3:134" x14ac:dyDescent="0.3">
      <c r="E26" s="113"/>
      <c r="F26" s="113"/>
      <c r="G26" s="113"/>
      <c r="O26" s="113">
        <v>16</v>
      </c>
      <c r="P26" s="113" t="s">
        <v>165</v>
      </c>
      <c r="Q26" s="113"/>
      <c r="DX26" s="113"/>
      <c r="DY26" s="113"/>
      <c r="DZ26" s="113">
        <f ca="1">SUM(DZ14:DZ25)</f>
        <v>4588.2391505342966</v>
      </c>
      <c r="EA26" s="113">
        <f ca="1">SUM(EA14:EA25)</f>
        <v>5854.7219882395584</v>
      </c>
      <c r="EB26" s="113"/>
      <c r="EC26" s="113"/>
      <c r="ED26" s="113"/>
    </row>
    <row r="27" spans="3:134" x14ac:dyDescent="0.3">
      <c r="E27" s="113"/>
      <c r="F27" s="113"/>
      <c r="G27" s="113"/>
      <c r="O27" s="113">
        <v>17</v>
      </c>
      <c r="P27" s="113" t="s">
        <v>166</v>
      </c>
      <c r="Q27" s="113"/>
      <c r="DX27" s="113"/>
      <c r="DY27" s="113"/>
      <c r="DZ27" s="113"/>
      <c r="EA27" s="113"/>
      <c r="EB27" s="113"/>
      <c r="EC27" s="113" t="s">
        <v>235</v>
      </c>
      <c r="ED27" s="113"/>
    </row>
    <row r="28" spans="3:134" x14ac:dyDescent="0.3">
      <c r="E28" s="113"/>
      <c r="F28" s="113"/>
      <c r="G28" s="113"/>
      <c r="O28" s="113">
        <v>18</v>
      </c>
      <c r="P28" s="113" t="s">
        <v>167</v>
      </c>
      <c r="Q28" s="113"/>
      <c r="DX28" s="113"/>
      <c r="DY28" s="113"/>
      <c r="DZ28" s="113"/>
      <c r="EA28" s="113"/>
      <c r="EB28" s="113"/>
      <c r="EC28" s="113"/>
      <c r="ED28" s="113"/>
    </row>
    <row r="29" spans="3:134" x14ac:dyDescent="0.3">
      <c r="E29" s="113"/>
      <c r="F29" s="113"/>
      <c r="G29" s="113"/>
      <c r="O29" s="113">
        <v>19</v>
      </c>
      <c r="P29" s="113" t="s">
        <v>222</v>
      </c>
      <c r="Q29" s="113"/>
      <c r="DX29" s="113"/>
      <c r="DY29" s="113"/>
      <c r="DZ29" s="113"/>
      <c r="EA29" s="113"/>
      <c r="ED29" s="113"/>
    </row>
    <row r="30" spans="3:134" x14ac:dyDescent="0.3">
      <c r="E30" s="113"/>
      <c r="F30" s="113"/>
      <c r="G30" s="113"/>
      <c r="O30" s="113">
        <v>20</v>
      </c>
      <c r="P30" s="113" t="s">
        <v>223</v>
      </c>
      <c r="Q30" s="113"/>
      <c r="DX30" s="113"/>
      <c r="DY30" s="113"/>
      <c r="DZ30" s="113"/>
      <c r="EA30" s="113"/>
      <c r="ED30" s="113"/>
    </row>
    <row r="31" spans="3:134" x14ac:dyDescent="0.3"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>
        <v>21</v>
      </c>
      <c r="P31" s="113" t="s">
        <v>224</v>
      </c>
      <c r="Q31" s="113"/>
      <c r="DX31" s="113"/>
      <c r="DY31" s="113"/>
      <c r="DZ31" s="113"/>
      <c r="EA31" s="113"/>
      <c r="EB31" s="113"/>
      <c r="EC31" s="113"/>
      <c r="ED31" s="113"/>
    </row>
    <row r="32" spans="3:134" x14ac:dyDescent="0.3"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>
        <v>22</v>
      </c>
      <c r="P32" s="113" t="s">
        <v>225</v>
      </c>
      <c r="Q32" s="113"/>
      <c r="DX32" s="113"/>
      <c r="DY32" s="113"/>
      <c r="DZ32" s="113"/>
      <c r="EA32" s="113"/>
      <c r="EB32" s="113"/>
      <c r="EC32" s="113"/>
      <c r="ED32" s="113"/>
    </row>
    <row r="33" spans="5:17" x14ac:dyDescent="0.3"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>
        <v>23</v>
      </c>
      <c r="P33" s="113" t="s">
        <v>226</v>
      </c>
      <c r="Q33" s="113"/>
    </row>
    <row r="34" spans="5:17" x14ac:dyDescent="0.3"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>
        <v>24</v>
      </c>
      <c r="P34" s="113" t="s">
        <v>227</v>
      </c>
      <c r="Q34" s="113"/>
    </row>
    <row r="35" spans="5:17" x14ac:dyDescent="0.3"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</row>
    <row r="36" spans="5:17" x14ac:dyDescent="0.3"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</row>
  </sheetData>
  <mergeCells count="1">
    <mergeCell ref="E4:Q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C4C817AE-F651-4CD8-91F7-F65595CA922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W6</xm:sqref>
        </x14:conditionalFormatting>
        <x14:conditionalFormatting xmlns:xm="http://schemas.microsoft.com/office/excel/2006/main">
          <x14:cfRule type="iconSet" priority="3" id="{AF357731-49C1-41DF-8D67-7A3758ACE0A7}">
            <x14:iconSet iconSet="3Triangles">
              <x14:cfvo type="percent">
                <xm:f>0</xm:f>
              </x14:cfvo>
              <x14:cfvo type="formula">
                <xm:f>0</xm:f>
              </x14:cfvo>
              <x14:cfvo type="formula">
                <xm:f>0</xm:f>
              </x14:cfvo>
            </x14:iconSet>
          </x14:cfRule>
          <xm:sqref>Q2</xm:sqref>
        </x14:conditionalFormatting>
        <x14:conditionalFormatting xmlns:xm="http://schemas.microsoft.com/office/excel/2006/main">
          <x14:cfRule type="iconSet" priority="2" id="{093EFB6F-1E24-4CCB-8790-480103D4D228}">
            <x14:iconSet iconSet="3Triangles">
              <x14:cfvo type="percent">
                <xm:f>0</xm:f>
              </x14:cfvo>
              <x14:cfvo type="formula">
                <xm:f>0</xm:f>
              </x14:cfvo>
              <x14:cfvo type="formula">
                <xm:f>0</xm:f>
              </x14:cfvo>
            </x14:iconSet>
          </x14:cfRule>
          <xm:sqref>Q3</xm:sqref>
        </x14:conditionalFormatting>
        <x14:conditionalFormatting xmlns:xm="http://schemas.microsoft.com/office/excel/2006/main">
          <x14:cfRule type="iconSet" priority="1" id="{45360ACE-F07A-4CC4-9A80-E1C24E9860C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Q2:Q3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84D8-334A-44D4-BB63-4513BCE7E936}">
  <dimension ref="A1:BD100"/>
  <sheetViews>
    <sheetView showGridLines="0" zoomScaleNormal="100" workbookViewId="0"/>
  </sheetViews>
  <sheetFormatPr baseColWidth="10" defaultRowHeight="14.4" x14ac:dyDescent="0.3"/>
  <cols>
    <col min="1" max="1" width="10.109375" customWidth="1"/>
    <col min="2" max="2" width="0.5546875" customWidth="1"/>
    <col min="4" max="4" width="5.21875" bestFit="1" customWidth="1"/>
    <col min="5" max="5" width="23.33203125" bestFit="1" customWidth="1"/>
    <col min="7" max="7" width="12.33203125" customWidth="1"/>
    <col min="10" max="10" width="24.6640625" customWidth="1"/>
    <col min="11" max="11" width="8.88671875" bestFit="1" customWidth="1"/>
    <col min="12" max="12" width="2.44140625" customWidth="1"/>
    <col min="13" max="13" width="5.21875" bestFit="1" customWidth="1"/>
    <col min="14" max="14" width="9.44140625" customWidth="1"/>
    <col min="19" max="19" width="2" bestFit="1" customWidth="1"/>
    <col min="20" max="20" width="19.109375" bestFit="1" customWidth="1"/>
    <col min="21" max="21" width="9.5546875" customWidth="1"/>
    <col min="22" max="23" width="9.33203125" bestFit="1" customWidth="1"/>
    <col min="24" max="24" width="9.33203125" customWidth="1"/>
    <col min="25" max="25" width="9.33203125" bestFit="1" customWidth="1"/>
    <col min="27" max="27" width="2" bestFit="1" customWidth="1"/>
    <col min="29" max="29" width="14" customWidth="1"/>
    <col min="35" max="35" width="2.6640625" bestFit="1" customWidth="1"/>
    <col min="44" max="44" width="2" bestFit="1" customWidth="1"/>
    <col min="53" max="53" width="8" bestFit="1" customWidth="1"/>
    <col min="54" max="54" width="14.88671875" bestFit="1" customWidth="1"/>
    <col min="55" max="55" width="15.6640625" bestFit="1" customWidth="1"/>
    <col min="56" max="56" width="15.33203125" bestFit="1" customWidth="1"/>
  </cols>
  <sheetData>
    <row r="1" spans="1:56" x14ac:dyDescent="0.3">
      <c r="A1" s="120"/>
      <c r="B1" s="19"/>
      <c r="C1" s="2"/>
      <c r="D1" s="456" t="s">
        <v>426</v>
      </c>
      <c r="E1" s="456"/>
      <c r="F1" s="456"/>
      <c r="G1" s="456"/>
      <c r="H1" s="456"/>
    </row>
    <row r="2" spans="1:56" x14ac:dyDescent="0.3">
      <c r="A2" s="120"/>
      <c r="B2" s="19"/>
      <c r="C2" s="2"/>
    </row>
    <row r="3" spans="1:56" ht="18" x14ac:dyDescent="0.35">
      <c r="A3" s="120"/>
      <c r="B3" s="19"/>
      <c r="C3" s="2"/>
      <c r="D3" s="434" t="s">
        <v>425</v>
      </c>
      <c r="E3" s="434"/>
      <c r="F3" s="434"/>
      <c r="G3" s="434"/>
      <c r="H3" s="434"/>
      <c r="J3" t="s">
        <v>433</v>
      </c>
      <c r="K3" s="196">
        <v>7500</v>
      </c>
      <c r="M3" s="434" t="s">
        <v>427</v>
      </c>
      <c r="N3" s="434"/>
      <c r="O3" s="434"/>
      <c r="P3" s="434"/>
      <c r="Q3" s="434"/>
      <c r="S3" s="407" t="s">
        <v>440</v>
      </c>
      <c r="T3" s="407"/>
      <c r="U3" s="407"/>
      <c r="V3" s="407"/>
      <c r="W3" s="407"/>
      <c r="X3" s="407"/>
      <c r="Y3" s="407"/>
      <c r="AA3" s="407" t="s">
        <v>450</v>
      </c>
      <c r="AB3" s="407"/>
      <c r="AC3" s="407"/>
      <c r="AD3" s="407"/>
      <c r="AE3" s="407"/>
      <c r="AF3" s="407"/>
      <c r="AG3" s="407"/>
      <c r="AI3" s="407" t="s">
        <v>457</v>
      </c>
      <c r="AJ3" s="407"/>
      <c r="AK3" s="407"/>
      <c r="AL3" s="407"/>
      <c r="AM3" s="407"/>
      <c r="AN3" s="407"/>
      <c r="AO3" s="407"/>
      <c r="AP3" s="407"/>
      <c r="AR3" s="407" t="s">
        <v>464</v>
      </c>
      <c r="AS3" s="407"/>
      <c r="AT3" s="407"/>
      <c r="AU3" s="407"/>
      <c r="AV3" s="407"/>
      <c r="AW3" s="407"/>
      <c r="AX3" s="407"/>
      <c r="AY3" s="407"/>
      <c r="BA3" s="407" t="s">
        <v>470</v>
      </c>
      <c r="BB3" s="407"/>
      <c r="BC3" s="407"/>
      <c r="BD3" s="407"/>
    </row>
    <row r="4" spans="1:56" x14ac:dyDescent="0.3">
      <c r="A4" s="120"/>
      <c r="B4" s="19"/>
      <c r="C4" s="2"/>
      <c r="J4" t="s">
        <v>434</v>
      </c>
      <c r="K4" t="s">
        <v>438</v>
      </c>
      <c r="S4" s="421" t="s">
        <v>218</v>
      </c>
      <c r="T4" s="421"/>
      <c r="U4" s="421"/>
      <c r="V4" s="421"/>
      <c r="W4" s="421"/>
      <c r="X4" s="421"/>
      <c r="Y4" s="421"/>
      <c r="AA4" s="421" t="s">
        <v>218</v>
      </c>
      <c r="AB4" s="421"/>
      <c r="AC4" s="421"/>
      <c r="AD4" s="421"/>
      <c r="AE4" s="421"/>
      <c r="AF4" s="421"/>
      <c r="AG4" s="421"/>
      <c r="AI4" s="421" t="s">
        <v>218</v>
      </c>
      <c r="AJ4" s="421"/>
      <c r="AK4" s="421"/>
      <c r="AL4" s="421"/>
      <c r="AM4" s="421"/>
      <c r="AN4" s="421"/>
      <c r="AO4" s="421"/>
      <c r="AP4" s="421"/>
      <c r="AR4" s="421" t="s">
        <v>218</v>
      </c>
      <c r="AS4" s="421"/>
      <c r="AT4" s="421"/>
      <c r="AU4" s="421"/>
      <c r="AV4" s="421"/>
      <c r="AW4" s="421"/>
      <c r="AX4" s="421"/>
      <c r="AY4" s="421"/>
      <c r="BA4" s="421" t="s">
        <v>218</v>
      </c>
      <c r="BB4" s="421"/>
      <c r="BC4" s="421"/>
      <c r="BD4" s="421"/>
    </row>
    <row r="5" spans="1:56" ht="14.4" customHeight="1" thickBot="1" x14ac:dyDescent="0.35">
      <c r="A5" s="120"/>
      <c r="B5" s="19"/>
      <c r="C5" s="2"/>
      <c r="D5" s="464" t="s">
        <v>417</v>
      </c>
      <c r="E5" s="464"/>
      <c r="F5" s="463" t="s">
        <v>421</v>
      </c>
      <c r="G5" s="464" t="s">
        <v>422</v>
      </c>
      <c r="H5" s="464"/>
      <c r="J5" t="s">
        <v>435</v>
      </c>
      <c r="K5" s="159">
        <v>0.1</v>
      </c>
      <c r="M5" s="461" t="s">
        <v>428</v>
      </c>
      <c r="N5" s="459" t="s">
        <v>432</v>
      </c>
      <c r="O5" s="457" t="s">
        <v>429</v>
      </c>
      <c r="P5" s="463" t="s">
        <v>430</v>
      </c>
      <c r="Q5" s="463" t="s">
        <v>431</v>
      </c>
      <c r="S5" s="440" t="s">
        <v>439</v>
      </c>
      <c r="T5" s="440"/>
      <c r="U5" s="440"/>
      <c r="V5" s="440"/>
      <c r="W5" s="440"/>
      <c r="X5" s="440"/>
      <c r="Y5" s="440"/>
      <c r="AA5" s="440" t="s">
        <v>451</v>
      </c>
      <c r="AB5" s="440"/>
      <c r="AC5" s="440"/>
      <c r="AD5" s="440"/>
      <c r="AE5" s="440"/>
      <c r="AF5" s="440"/>
      <c r="AG5" s="440"/>
      <c r="AI5" s="440" t="s">
        <v>458</v>
      </c>
      <c r="AJ5" s="440"/>
      <c r="AK5" s="440"/>
      <c r="AL5" s="440"/>
      <c r="AM5" s="440"/>
      <c r="AN5" s="440"/>
      <c r="AO5" s="440"/>
      <c r="AP5" s="440"/>
      <c r="AR5" s="440" t="s">
        <v>465</v>
      </c>
      <c r="AS5" s="440"/>
      <c r="AT5" s="440"/>
      <c r="AU5" s="440"/>
      <c r="AV5" s="440"/>
      <c r="AW5" s="440"/>
      <c r="AX5" s="440"/>
      <c r="AY5" s="440"/>
      <c r="BA5" s="440" t="s">
        <v>471</v>
      </c>
      <c r="BB5" s="440"/>
      <c r="BC5" s="440"/>
      <c r="BD5" s="440"/>
    </row>
    <row r="6" spans="1:56" ht="24.6" thickBot="1" x14ac:dyDescent="0.35">
      <c r="A6" s="120"/>
      <c r="B6" s="19"/>
      <c r="C6" s="2"/>
      <c r="D6" s="461"/>
      <c r="E6" s="461"/>
      <c r="F6" s="463"/>
      <c r="G6" s="198" t="s">
        <v>423</v>
      </c>
      <c r="H6" s="198" t="s">
        <v>424</v>
      </c>
      <c r="J6" t="s">
        <v>436</v>
      </c>
      <c r="K6">
        <v>3</v>
      </c>
      <c r="M6" s="462"/>
      <c r="N6" s="460"/>
      <c r="O6" s="458"/>
      <c r="P6" s="463"/>
      <c r="Q6" s="463"/>
      <c r="S6" s="465" t="s">
        <v>172</v>
      </c>
      <c r="T6" s="466"/>
      <c r="U6" s="467"/>
      <c r="V6" s="471" t="s">
        <v>448</v>
      </c>
      <c r="W6" s="472"/>
      <c r="X6" s="472"/>
      <c r="Y6" s="472"/>
      <c r="AA6" s="443" t="s">
        <v>172</v>
      </c>
      <c r="AB6" s="444"/>
      <c r="AC6" s="445"/>
      <c r="AD6" s="452" t="s">
        <v>448</v>
      </c>
      <c r="AE6" s="449"/>
      <c r="AF6" s="449"/>
      <c r="AG6" s="449"/>
      <c r="AI6" s="443" t="s">
        <v>172</v>
      </c>
      <c r="AJ6" s="444"/>
      <c r="AK6" s="445"/>
      <c r="AL6" s="452" t="s">
        <v>448</v>
      </c>
      <c r="AM6" s="449"/>
      <c r="AN6" s="449"/>
      <c r="AO6" s="449"/>
      <c r="AP6" s="449"/>
      <c r="AR6" s="443" t="s">
        <v>172</v>
      </c>
      <c r="AS6" s="444"/>
      <c r="AT6" s="445"/>
      <c r="AU6" s="449" t="s">
        <v>448</v>
      </c>
      <c r="AV6" s="449"/>
      <c r="AW6" s="449"/>
      <c r="AX6" s="449"/>
      <c r="AY6" s="449"/>
      <c r="BA6" s="237" t="s">
        <v>428</v>
      </c>
      <c r="BB6" s="238" t="s">
        <v>473</v>
      </c>
      <c r="BC6" s="238" t="s">
        <v>478</v>
      </c>
      <c r="BD6" s="239" t="s">
        <v>474</v>
      </c>
    </row>
    <row r="7" spans="1:56" ht="14.4" customHeight="1" x14ac:dyDescent="0.3">
      <c r="A7" s="120"/>
      <c r="B7" s="19"/>
      <c r="C7" s="2"/>
      <c r="D7" s="202" t="s">
        <v>15</v>
      </c>
      <c r="E7" s="201" t="s">
        <v>419</v>
      </c>
      <c r="F7" s="199">
        <v>7000</v>
      </c>
      <c r="G7" s="197">
        <v>1000</v>
      </c>
      <c r="H7" s="197">
        <v>6000</v>
      </c>
      <c r="J7" t="s">
        <v>437</v>
      </c>
      <c r="K7" s="196">
        <v>3015.8609999999999</v>
      </c>
      <c r="M7" s="200">
        <v>1</v>
      </c>
      <c r="N7" s="197">
        <v>7500</v>
      </c>
      <c r="O7" s="199">
        <f>+N7*K5</f>
        <v>750</v>
      </c>
      <c r="P7" s="199">
        <f>+K7</f>
        <v>3015.8609999999999</v>
      </c>
      <c r="Q7" s="199">
        <f>+P7-O7</f>
        <v>2265.8609999999999</v>
      </c>
      <c r="S7" s="468"/>
      <c r="T7" s="469"/>
      <c r="U7" s="470"/>
      <c r="V7" s="217">
        <v>1</v>
      </c>
      <c r="W7" s="217">
        <v>2</v>
      </c>
      <c r="X7" s="217">
        <v>3</v>
      </c>
      <c r="Y7" s="217">
        <v>4</v>
      </c>
      <c r="AA7" s="446"/>
      <c r="AB7" s="447"/>
      <c r="AC7" s="448"/>
      <c r="AD7" s="219">
        <v>1</v>
      </c>
      <c r="AE7" s="219">
        <v>2</v>
      </c>
      <c r="AF7" s="219">
        <v>3</v>
      </c>
      <c r="AG7" s="219">
        <v>4</v>
      </c>
      <c r="AI7" s="446"/>
      <c r="AJ7" s="447"/>
      <c r="AK7" s="448"/>
      <c r="AL7" s="219">
        <v>0</v>
      </c>
      <c r="AM7" s="219">
        <v>1</v>
      </c>
      <c r="AN7" s="219">
        <v>2</v>
      </c>
      <c r="AO7" s="219">
        <v>3</v>
      </c>
      <c r="AP7" s="219">
        <v>4</v>
      </c>
      <c r="AR7" s="446"/>
      <c r="AS7" s="447"/>
      <c r="AT7" s="448"/>
      <c r="AU7" s="221">
        <v>0</v>
      </c>
      <c r="AV7" s="221">
        <v>1</v>
      </c>
      <c r="AW7" s="221">
        <v>2</v>
      </c>
      <c r="AX7" s="221">
        <v>3</v>
      </c>
      <c r="AY7" s="221">
        <v>4</v>
      </c>
      <c r="BA7" s="39">
        <v>0</v>
      </c>
      <c r="BB7" s="72">
        <f>+AU8</f>
        <v>-10000</v>
      </c>
      <c r="BC7" s="230">
        <v>1</v>
      </c>
      <c r="BD7" s="72">
        <f>+BB7*BC7</f>
        <v>-10000</v>
      </c>
    </row>
    <row r="8" spans="1:56" x14ac:dyDescent="0.3">
      <c r="A8" s="120"/>
      <c r="B8" s="19"/>
      <c r="C8" s="2"/>
      <c r="D8" s="202" t="s">
        <v>15</v>
      </c>
      <c r="E8" s="201" t="s">
        <v>418</v>
      </c>
      <c r="F8" s="199">
        <v>2000</v>
      </c>
      <c r="G8" s="197">
        <v>1500</v>
      </c>
      <c r="H8" s="197">
        <v>500</v>
      </c>
      <c r="M8" s="200">
        <v>2</v>
      </c>
      <c r="N8" s="197">
        <f>+N7-P7+O7</f>
        <v>5234.1390000000001</v>
      </c>
      <c r="O8" s="199">
        <f>+N8*K5</f>
        <v>523.41390000000001</v>
      </c>
      <c r="P8" s="199">
        <f>+K7</f>
        <v>3015.8609999999999</v>
      </c>
      <c r="Q8" s="199">
        <f t="shared" ref="Q8:Q9" si="0">+P8-O8</f>
        <v>2492.4470999999999</v>
      </c>
      <c r="S8" s="210" t="s">
        <v>15</v>
      </c>
      <c r="T8" s="441" t="s">
        <v>74</v>
      </c>
      <c r="U8" s="442"/>
      <c r="V8" s="215">
        <v>20000</v>
      </c>
      <c r="W8" s="215">
        <v>20000</v>
      </c>
      <c r="X8" s="215">
        <v>20000</v>
      </c>
      <c r="Y8" s="215">
        <v>20000</v>
      </c>
      <c r="AA8" s="210" t="s">
        <v>15</v>
      </c>
      <c r="AB8" s="441" t="s">
        <v>452</v>
      </c>
      <c r="AC8" s="442"/>
      <c r="AD8" s="215">
        <v>3250</v>
      </c>
      <c r="AE8" s="215">
        <v>3250</v>
      </c>
      <c r="AF8" s="215">
        <v>3250</v>
      </c>
      <c r="AG8" s="215">
        <v>5250</v>
      </c>
      <c r="AI8" s="210" t="s">
        <v>15</v>
      </c>
      <c r="AJ8" s="441" t="s">
        <v>189</v>
      </c>
      <c r="AK8" s="442"/>
      <c r="AL8" s="215"/>
      <c r="AM8" s="215">
        <v>20000</v>
      </c>
      <c r="AN8" s="215">
        <v>20000</v>
      </c>
      <c r="AO8" s="215">
        <v>20000</v>
      </c>
      <c r="AP8" s="215">
        <v>20000</v>
      </c>
      <c r="AR8" s="210"/>
      <c r="AS8" s="441" t="s">
        <v>463</v>
      </c>
      <c r="AT8" s="442"/>
      <c r="AU8" s="215">
        <f>+AL19</f>
        <v>-10000</v>
      </c>
      <c r="AV8" s="215">
        <f t="shared" ref="AV8:AY8" si="1">+AM19</f>
        <v>4025</v>
      </c>
      <c r="AW8" s="215">
        <f t="shared" si="1"/>
        <v>4025</v>
      </c>
      <c r="AX8" s="215">
        <f t="shared" si="1"/>
        <v>4025</v>
      </c>
      <c r="AY8" s="215">
        <f t="shared" si="1"/>
        <v>4425</v>
      </c>
      <c r="BA8" s="232">
        <v>1</v>
      </c>
      <c r="BB8" s="229">
        <f>+AV8</f>
        <v>4025</v>
      </c>
      <c r="BC8" s="174">
        <v>0.89300000000000002</v>
      </c>
      <c r="BD8" s="72">
        <f t="shared" ref="BD8:BD11" si="2">+BB8*BC8</f>
        <v>3594.3250000000003</v>
      </c>
    </row>
    <row r="9" spans="1:56" ht="15" thickBot="1" x14ac:dyDescent="0.35">
      <c r="A9" s="120"/>
      <c r="B9" s="19"/>
      <c r="C9" s="2"/>
      <c r="D9" s="202" t="s">
        <v>15</v>
      </c>
      <c r="E9" s="201" t="s">
        <v>420</v>
      </c>
      <c r="F9" s="199">
        <v>1000</v>
      </c>
      <c r="G9" s="197">
        <v>0</v>
      </c>
      <c r="H9" s="197">
        <v>1000</v>
      </c>
      <c r="M9" s="200">
        <v>3</v>
      </c>
      <c r="N9" s="197">
        <f>+N8-P8+O8</f>
        <v>2741.6919000000003</v>
      </c>
      <c r="O9" s="199">
        <f>+N9*K5</f>
        <v>274.16919000000001</v>
      </c>
      <c r="P9" s="199">
        <f>+K7</f>
        <v>3015.8609999999999</v>
      </c>
      <c r="Q9" s="199">
        <f t="shared" si="0"/>
        <v>2741.6918099999998</v>
      </c>
      <c r="S9" s="24" t="s">
        <v>50</v>
      </c>
      <c r="T9" s="480" t="s">
        <v>441</v>
      </c>
      <c r="U9" s="481"/>
      <c r="V9" s="72">
        <v>0</v>
      </c>
      <c r="W9" s="72">
        <v>0</v>
      </c>
      <c r="X9" s="72">
        <v>0</v>
      </c>
      <c r="Y9" s="72">
        <v>2000</v>
      </c>
      <c r="AA9" s="24" t="s">
        <v>50</v>
      </c>
      <c r="AB9" s="12" t="s">
        <v>453</v>
      </c>
      <c r="AC9" s="211"/>
      <c r="AD9" s="72">
        <v>750</v>
      </c>
      <c r="AE9" s="72">
        <v>523</v>
      </c>
      <c r="AF9" s="72">
        <v>274</v>
      </c>
      <c r="AG9" s="72">
        <v>0</v>
      </c>
      <c r="AI9" s="24" t="s">
        <v>50</v>
      </c>
      <c r="AJ9" s="12" t="s">
        <v>459</v>
      </c>
      <c r="AK9" s="211"/>
      <c r="AL9" s="72"/>
      <c r="AM9" s="72">
        <v>0</v>
      </c>
      <c r="AN9" s="72">
        <v>0</v>
      </c>
      <c r="AO9" s="72">
        <v>0</v>
      </c>
      <c r="AP9" s="72">
        <v>0</v>
      </c>
      <c r="AR9" s="24" t="s">
        <v>50</v>
      </c>
      <c r="AS9" s="12" t="s">
        <v>466</v>
      </c>
      <c r="AT9" s="211"/>
      <c r="AU9" s="72"/>
      <c r="AV9" s="72">
        <v>3016</v>
      </c>
      <c r="AW9" s="72">
        <v>3016</v>
      </c>
      <c r="AX9" s="72">
        <v>3016</v>
      </c>
      <c r="AY9" s="72"/>
      <c r="BA9" s="232">
        <v>2</v>
      </c>
      <c r="BB9" s="229">
        <f>+AW8</f>
        <v>4025</v>
      </c>
      <c r="BC9" s="174">
        <v>0.79700000000000004</v>
      </c>
      <c r="BD9" s="72">
        <f t="shared" si="2"/>
        <v>3207.9250000000002</v>
      </c>
    </row>
    <row r="10" spans="1:56" x14ac:dyDescent="0.3">
      <c r="A10" s="404" t="s">
        <v>603</v>
      </c>
      <c r="B10" s="19"/>
      <c r="C10" s="2"/>
      <c r="M10" s="203" t="s">
        <v>14</v>
      </c>
      <c r="N10" s="204">
        <f>+N9-Q9</f>
        <v>9.000000045489287E-5</v>
      </c>
      <c r="O10" s="205">
        <f>SUM(O7:O9)</f>
        <v>1547.5830900000001</v>
      </c>
      <c r="P10" s="205">
        <f>SUM(P7:P9)</f>
        <v>9047.5829999999987</v>
      </c>
      <c r="Q10" s="205">
        <f>SUM(Q7:Q9)</f>
        <v>7499.9999100000005</v>
      </c>
      <c r="S10" s="24" t="s">
        <v>50</v>
      </c>
      <c r="T10" s="2" t="s">
        <v>442</v>
      </c>
      <c r="U10" s="212"/>
      <c r="V10" s="72">
        <v>12000</v>
      </c>
      <c r="W10" s="72">
        <v>12000</v>
      </c>
      <c r="X10" s="72">
        <v>12000</v>
      </c>
      <c r="Y10" s="72">
        <v>12000</v>
      </c>
      <c r="AA10" s="193" t="s">
        <v>15</v>
      </c>
      <c r="AB10" s="454" t="s">
        <v>192</v>
      </c>
      <c r="AC10" s="455"/>
      <c r="AD10" s="218">
        <f>+AD8-AD9</f>
        <v>2500</v>
      </c>
      <c r="AE10" s="218">
        <f t="shared" ref="AE10:AG10" si="3">+AE8-AE9</f>
        <v>2727</v>
      </c>
      <c r="AF10" s="218">
        <f t="shared" si="3"/>
        <v>2976</v>
      </c>
      <c r="AG10" s="218">
        <f t="shared" si="3"/>
        <v>5250</v>
      </c>
      <c r="AI10" s="24" t="s">
        <v>50</v>
      </c>
      <c r="AJ10" s="12" t="s">
        <v>442</v>
      </c>
      <c r="AK10" s="211"/>
      <c r="AL10" s="72"/>
      <c r="AM10" s="72">
        <f>+AM8*0.6</f>
        <v>12000</v>
      </c>
      <c r="AN10" s="72">
        <v>12000</v>
      </c>
      <c r="AO10" s="72">
        <v>12000</v>
      </c>
      <c r="AP10" s="72">
        <v>12000</v>
      </c>
      <c r="AR10" s="24" t="s">
        <v>15</v>
      </c>
      <c r="AS10" s="12" t="s">
        <v>467</v>
      </c>
      <c r="AT10" s="211"/>
      <c r="AU10" s="72">
        <v>7500</v>
      </c>
      <c r="AV10" s="72"/>
      <c r="AW10" s="72"/>
      <c r="AX10" s="72"/>
      <c r="AY10" s="72"/>
      <c r="BA10" s="232">
        <v>3</v>
      </c>
      <c r="BB10" s="229">
        <f>+AX8</f>
        <v>4025</v>
      </c>
      <c r="BC10" s="174">
        <v>0.71199999999999997</v>
      </c>
      <c r="BD10" s="72">
        <f t="shared" si="2"/>
        <v>2865.7999999999997</v>
      </c>
    </row>
    <row r="11" spans="1:56" ht="15" thickBot="1" x14ac:dyDescent="0.35">
      <c r="A11" s="405"/>
      <c r="B11" s="19"/>
      <c r="C11" s="2"/>
      <c r="S11" s="213"/>
      <c r="T11" s="43" t="s">
        <v>351</v>
      </c>
      <c r="U11" s="214"/>
      <c r="V11" s="216">
        <f>+V8-V10</f>
        <v>8000</v>
      </c>
      <c r="W11" s="216">
        <f t="shared" ref="W11:Y11" si="4">+W8-W10</f>
        <v>8000</v>
      </c>
      <c r="X11" s="216">
        <f t="shared" si="4"/>
        <v>8000</v>
      </c>
      <c r="Y11" s="216">
        <f t="shared" si="4"/>
        <v>8000</v>
      </c>
      <c r="AA11" s="24" t="s">
        <v>50</v>
      </c>
      <c r="AB11" s="2" t="s">
        <v>445</v>
      </c>
      <c r="AC11" s="212"/>
      <c r="AD11" s="72">
        <v>750</v>
      </c>
      <c r="AE11" s="72">
        <v>818</v>
      </c>
      <c r="AF11" s="72">
        <v>893</v>
      </c>
      <c r="AG11" s="72">
        <v>1575</v>
      </c>
      <c r="AI11" s="24" t="s">
        <v>50</v>
      </c>
      <c r="AJ11" s="12" t="s">
        <v>103</v>
      </c>
      <c r="AK11" s="211"/>
      <c r="AL11" s="72"/>
      <c r="AM11" s="72">
        <v>2000</v>
      </c>
      <c r="AN11" s="72">
        <v>2000</v>
      </c>
      <c r="AO11" s="72">
        <v>2000</v>
      </c>
      <c r="AP11" s="72">
        <v>2000</v>
      </c>
      <c r="AR11" s="162" t="s">
        <v>15</v>
      </c>
      <c r="AS11" t="s">
        <v>468</v>
      </c>
      <c r="AT11" s="163"/>
      <c r="AU11" s="174"/>
      <c r="AV11" s="174">
        <v>227</v>
      </c>
      <c r="AW11" s="72">
        <v>157</v>
      </c>
      <c r="AX11" s="72">
        <v>82</v>
      </c>
      <c r="AY11" s="174"/>
      <c r="BA11" s="232">
        <v>4</v>
      </c>
      <c r="BB11" s="229">
        <f>+AY8</f>
        <v>4425</v>
      </c>
      <c r="BC11" s="174">
        <v>0.63600000000000001</v>
      </c>
      <c r="BD11" s="72">
        <f t="shared" si="2"/>
        <v>2814.3</v>
      </c>
    </row>
    <row r="12" spans="1:56" ht="15" thickBot="1" x14ac:dyDescent="0.35">
      <c r="A12" s="405"/>
      <c r="B12" s="19"/>
      <c r="C12" s="2"/>
      <c r="S12" s="24" t="s">
        <v>50</v>
      </c>
      <c r="T12" s="441" t="s">
        <v>103</v>
      </c>
      <c r="U12" s="442"/>
      <c r="V12" s="72">
        <v>2000</v>
      </c>
      <c r="W12" s="72">
        <v>2000</v>
      </c>
      <c r="X12" s="72">
        <v>2000</v>
      </c>
      <c r="Y12" s="72">
        <v>2000</v>
      </c>
      <c r="AA12" s="213" t="s">
        <v>15</v>
      </c>
      <c r="AB12" s="43" t="s">
        <v>83</v>
      </c>
      <c r="AC12" s="214"/>
      <c r="AD12" s="216">
        <f>+AD10-AD11</f>
        <v>1750</v>
      </c>
      <c r="AE12" s="216">
        <f t="shared" ref="AE12:AG12" si="5">+AE10-AE11</f>
        <v>1909</v>
      </c>
      <c r="AF12" s="216">
        <f t="shared" si="5"/>
        <v>2083</v>
      </c>
      <c r="AG12" s="216">
        <f t="shared" si="5"/>
        <v>3675</v>
      </c>
      <c r="AI12" s="24" t="s">
        <v>50</v>
      </c>
      <c r="AJ12" s="12" t="s">
        <v>104</v>
      </c>
      <c r="AK12" s="211"/>
      <c r="AL12" s="72"/>
      <c r="AM12" s="72">
        <v>1000</v>
      </c>
      <c r="AN12" s="72">
        <v>1000</v>
      </c>
      <c r="AO12" s="72">
        <v>1000</v>
      </c>
      <c r="AP12" s="72">
        <v>1000</v>
      </c>
      <c r="AR12" s="224" t="s">
        <v>469</v>
      </c>
      <c r="AS12" s="225"/>
      <c r="AT12" s="226"/>
      <c r="AU12" s="227">
        <f>+AU8-AU9+AU10+AU11</f>
        <v>-2500</v>
      </c>
      <c r="AV12" s="227">
        <f t="shared" ref="AV12:AY12" si="6">+AV8-AV9+AV10+AV11</f>
        <v>1236</v>
      </c>
      <c r="AW12" s="227">
        <f t="shared" si="6"/>
        <v>1166</v>
      </c>
      <c r="AX12" s="227">
        <f t="shared" si="6"/>
        <v>1091</v>
      </c>
      <c r="AY12" s="227">
        <f t="shared" si="6"/>
        <v>4425</v>
      </c>
      <c r="BA12" s="233" t="s">
        <v>14</v>
      </c>
      <c r="BB12" s="234">
        <f>SUM(BB7:BB11)</f>
        <v>6500</v>
      </c>
      <c r="BC12" s="235"/>
      <c r="BD12" s="236">
        <f>SUM(BD7:BD11)</f>
        <v>2482.3500000000008</v>
      </c>
    </row>
    <row r="13" spans="1:56" x14ac:dyDescent="0.3">
      <c r="A13" s="405"/>
      <c r="B13" s="19"/>
      <c r="C13" s="2"/>
      <c r="S13" s="24" t="s">
        <v>50</v>
      </c>
      <c r="T13" s="473" t="s">
        <v>104</v>
      </c>
      <c r="U13" s="474"/>
      <c r="V13" s="72">
        <v>1000</v>
      </c>
      <c r="W13" s="72">
        <v>1000</v>
      </c>
      <c r="X13" s="72">
        <v>1000</v>
      </c>
      <c r="Y13" s="72">
        <v>1000</v>
      </c>
      <c r="AI13" s="24" t="s">
        <v>50</v>
      </c>
      <c r="AJ13" s="12" t="s">
        <v>445</v>
      </c>
      <c r="AK13" s="211"/>
      <c r="AL13" s="72"/>
      <c r="AM13" s="72">
        <v>975</v>
      </c>
      <c r="AN13" s="72">
        <v>975</v>
      </c>
      <c r="AO13" s="72">
        <v>975</v>
      </c>
      <c r="AP13" s="72">
        <v>1575</v>
      </c>
    </row>
    <row r="14" spans="1:56" x14ac:dyDescent="0.3">
      <c r="A14" s="405"/>
      <c r="B14" s="19"/>
      <c r="C14" s="2"/>
      <c r="S14" s="213"/>
      <c r="T14" s="475" t="s">
        <v>443</v>
      </c>
      <c r="U14" s="476"/>
      <c r="V14" s="216">
        <f>+V11-V13-V12</f>
        <v>5000</v>
      </c>
      <c r="W14" s="216">
        <f t="shared" ref="W14:Y14" si="7">+W11-W13-W12</f>
        <v>5000</v>
      </c>
      <c r="X14" s="216">
        <f t="shared" si="7"/>
        <v>5000</v>
      </c>
      <c r="Y14" s="216">
        <f t="shared" si="7"/>
        <v>5000</v>
      </c>
      <c r="AI14" s="453" t="s">
        <v>460</v>
      </c>
      <c r="AJ14" s="454"/>
      <c r="AK14" s="455"/>
      <c r="AL14" s="218"/>
      <c r="AM14" s="218"/>
      <c r="AN14" s="218"/>
      <c r="AO14" s="218"/>
      <c r="AP14" s="218"/>
      <c r="BB14" s="246" t="s">
        <v>475</v>
      </c>
      <c r="BC14" s="228">
        <v>12</v>
      </c>
    </row>
    <row r="15" spans="1:56" x14ac:dyDescent="0.3">
      <c r="A15" s="405"/>
      <c r="B15" s="19"/>
      <c r="C15" s="2"/>
      <c r="S15" s="24" t="s">
        <v>50</v>
      </c>
      <c r="T15" s="441" t="s">
        <v>80</v>
      </c>
      <c r="U15" s="442"/>
      <c r="V15" s="72">
        <v>1250</v>
      </c>
      <c r="W15" s="72">
        <v>1250</v>
      </c>
      <c r="X15" s="72">
        <v>1250</v>
      </c>
      <c r="Y15" s="72">
        <v>1250</v>
      </c>
      <c r="AC15" s="450" t="s">
        <v>454</v>
      </c>
      <c r="AD15" s="451" t="s">
        <v>448</v>
      </c>
      <c r="AE15" s="451"/>
      <c r="AF15" s="451"/>
      <c r="AG15" s="451"/>
      <c r="AI15" s="24" t="s">
        <v>50</v>
      </c>
      <c r="AJ15" s="2" t="s">
        <v>419</v>
      </c>
      <c r="AK15" s="212"/>
      <c r="AL15" s="72">
        <v>7000</v>
      </c>
      <c r="AM15" s="72"/>
      <c r="AN15" s="72"/>
      <c r="AO15" s="72"/>
      <c r="AP15" s="72"/>
      <c r="BB15" s="246" t="s">
        <v>476</v>
      </c>
      <c r="BC15" s="241">
        <f>+BD12</f>
        <v>2482.3500000000008</v>
      </c>
      <c r="BD15" t="s">
        <v>479</v>
      </c>
    </row>
    <row r="16" spans="1:56" x14ac:dyDescent="0.3">
      <c r="A16" s="405"/>
      <c r="B16" s="19"/>
      <c r="C16" s="2"/>
      <c r="S16" s="24" t="s">
        <v>50</v>
      </c>
      <c r="T16" s="473" t="s">
        <v>444</v>
      </c>
      <c r="U16" s="474"/>
      <c r="V16" s="72">
        <v>500</v>
      </c>
      <c r="W16" s="72">
        <v>500</v>
      </c>
      <c r="X16" s="72">
        <v>500</v>
      </c>
      <c r="Y16" s="72">
        <v>500</v>
      </c>
      <c r="AC16" s="450"/>
      <c r="AD16" s="209">
        <v>1</v>
      </c>
      <c r="AE16" s="209">
        <v>2</v>
      </c>
      <c r="AF16" s="209">
        <v>3</v>
      </c>
      <c r="AG16" s="209">
        <v>4</v>
      </c>
      <c r="AI16" s="24" t="s">
        <v>50</v>
      </c>
      <c r="AJ16" s="2" t="s">
        <v>418</v>
      </c>
      <c r="AK16" s="212"/>
      <c r="AL16" s="72">
        <v>2000</v>
      </c>
      <c r="AM16" s="72"/>
      <c r="AN16" s="72"/>
      <c r="AO16" s="72"/>
      <c r="AP16" s="72"/>
      <c r="BB16" s="246" t="s">
        <v>477</v>
      </c>
      <c r="BC16" s="242">
        <f>ABS(BC15/BD7)</f>
        <v>0.24823500000000009</v>
      </c>
      <c r="BD16" t="s">
        <v>480</v>
      </c>
    </row>
    <row r="17" spans="1:56" x14ac:dyDescent="0.3">
      <c r="A17" s="405"/>
      <c r="B17" s="19"/>
      <c r="C17" s="2"/>
      <c r="S17" s="213"/>
      <c r="T17" s="475" t="s">
        <v>192</v>
      </c>
      <c r="U17" s="476"/>
      <c r="V17" s="216">
        <f>+V14-V15-V16</f>
        <v>3250</v>
      </c>
      <c r="W17" s="216">
        <f t="shared" ref="W17:Y17" si="8">+W14-W15-W16</f>
        <v>3250</v>
      </c>
      <c r="X17" s="216">
        <f t="shared" si="8"/>
        <v>3250</v>
      </c>
      <c r="Y17" s="216">
        <f t="shared" si="8"/>
        <v>3250</v>
      </c>
      <c r="AC17" s="207" t="s">
        <v>446</v>
      </c>
      <c r="AD17" s="208">
        <f>+AD8</f>
        <v>3250</v>
      </c>
      <c r="AE17" s="208">
        <f t="shared" ref="AE17:AG17" si="9">+AE8</f>
        <v>3250</v>
      </c>
      <c r="AF17" s="208">
        <f t="shared" si="9"/>
        <v>3250</v>
      </c>
      <c r="AG17" s="208">
        <f t="shared" si="9"/>
        <v>5250</v>
      </c>
      <c r="AI17" s="24" t="s">
        <v>50</v>
      </c>
      <c r="AJ17" s="2" t="s">
        <v>461</v>
      </c>
      <c r="AK17" s="212"/>
      <c r="AL17" s="72">
        <v>1000</v>
      </c>
      <c r="AM17" s="72"/>
      <c r="AN17" s="72"/>
      <c r="AO17" s="72"/>
      <c r="AP17" s="72"/>
    </row>
    <row r="18" spans="1:56" x14ac:dyDescent="0.3">
      <c r="A18" s="405"/>
      <c r="B18" s="19"/>
      <c r="C18" s="2"/>
      <c r="S18" s="24" t="s">
        <v>50</v>
      </c>
      <c r="T18" s="477" t="s">
        <v>445</v>
      </c>
      <c r="U18" s="478"/>
      <c r="V18" s="72">
        <v>975</v>
      </c>
      <c r="W18" s="72">
        <v>975</v>
      </c>
      <c r="X18" s="72">
        <v>975</v>
      </c>
      <c r="Y18" s="72">
        <v>1575</v>
      </c>
      <c r="AC18" s="207" t="s">
        <v>455</v>
      </c>
      <c r="AD18" s="208">
        <f>-AD9</f>
        <v>-750</v>
      </c>
      <c r="AE18" s="208">
        <f t="shared" ref="AE18:AG18" si="10">-AE9</f>
        <v>-523</v>
      </c>
      <c r="AF18" s="208">
        <f t="shared" si="10"/>
        <v>-274</v>
      </c>
      <c r="AG18" s="208">
        <f t="shared" si="10"/>
        <v>0</v>
      </c>
      <c r="AI18" s="24" t="s">
        <v>15</v>
      </c>
      <c r="AJ18" s="2" t="s">
        <v>462</v>
      </c>
      <c r="AK18" s="212"/>
      <c r="AL18" s="72"/>
      <c r="AM18" s="72"/>
      <c r="AN18" s="72"/>
      <c r="AO18" s="72"/>
      <c r="AP18" s="72">
        <v>1000</v>
      </c>
    </row>
    <row r="19" spans="1:56" x14ac:dyDescent="0.3">
      <c r="A19" s="405"/>
      <c r="B19" s="19"/>
      <c r="C19" s="2"/>
      <c r="S19" s="213"/>
      <c r="T19" s="475" t="s">
        <v>83</v>
      </c>
      <c r="U19" s="476"/>
      <c r="V19" s="216">
        <f>+V17-V18</f>
        <v>2275</v>
      </c>
      <c r="W19" s="216">
        <f t="shared" ref="W19:Y19" si="11">+W17-W18</f>
        <v>2275</v>
      </c>
      <c r="X19" s="216">
        <f t="shared" si="11"/>
        <v>2275</v>
      </c>
      <c r="Y19" s="216">
        <f t="shared" si="11"/>
        <v>1675</v>
      </c>
      <c r="AC19" s="207" t="s">
        <v>456</v>
      </c>
      <c r="AD19" s="208">
        <f>+AD17+AD18</f>
        <v>2500</v>
      </c>
      <c r="AE19" s="208">
        <f t="shared" ref="AE19:AG19" si="12">+AE17+AE18</f>
        <v>2727</v>
      </c>
      <c r="AF19" s="208">
        <f t="shared" si="12"/>
        <v>2976</v>
      </c>
      <c r="AG19" s="208">
        <f t="shared" si="12"/>
        <v>5250</v>
      </c>
      <c r="AI19" s="213" t="s">
        <v>463</v>
      </c>
      <c r="AJ19" s="43"/>
      <c r="AK19" s="214"/>
      <c r="AL19" s="216">
        <f>+AL14-AL15-AL16-AL17-AL18</f>
        <v>-10000</v>
      </c>
      <c r="AM19" s="216">
        <f>+AM8-AM10-AM11-AM12-AM13</f>
        <v>4025</v>
      </c>
      <c r="AN19" s="216">
        <f t="shared" ref="AN19:AO19" si="13">+AN8-AN10-AN11-AN12-AN13</f>
        <v>4025</v>
      </c>
      <c r="AO19" s="216">
        <f t="shared" si="13"/>
        <v>4025</v>
      </c>
      <c r="AP19" s="216">
        <f>+AP8-AP10-AP11-AP12-AP13+AP18</f>
        <v>4425</v>
      </c>
    </row>
    <row r="20" spans="1:56" ht="18" x14ac:dyDescent="0.35">
      <c r="A20" s="405"/>
      <c r="B20" s="19"/>
      <c r="C20" s="2"/>
      <c r="BA20" s="407" t="s">
        <v>481</v>
      </c>
      <c r="BB20" s="407"/>
      <c r="BC20" s="407"/>
      <c r="BD20" s="407"/>
    </row>
    <row r="21" spans="1:56" x14ac:dyDescent="0.3">
      <c r="A21" s="405"/>
      <c r="B21" s="19"/>
      <c r="C21" s="2"/>
      <c r="BA21" s="421" t="s">
        <v>218</v>
      </c>
      <c r="BB21" s="421"/>
      <c r="BC21" s="421"/>
      <c r="BD21" s="421"/>
    </row>
    <row r="22" spans="1:56" ht="15" thickBot="1" x14ac:dyDescent="0.35">
      <c r="A22" s="405"/>
      <c r="B22" s="19"/>
      <c r="C22" s="2"/>
      <c r="U22" s="479" t="s">
        <v>447</v>
      </c>
      <c r="V22" s="451" t="s">
        <v>448</v>
      </c>
      <c r="W22" s="451"/>
      <c r="X22" s="451"/>
      <c r="Y22" s="451"/>
      <c r="BA22" s="440" t="s">
        <v>482</v>
      </c>
      <c r="BB22" s="440"/>
      <c r="BC22" s="440"/>
      <c r="BD22" s="440"/>
    </row>
    <row r="23" spans="1:56" ht="16.2" thickBot="1" x14ac:dyDescent="0.35">
      <c r="A23" s="405"/>
      <c r="B23" s="19"/>
      <c r="C23" s="2"/>
      <c r="U23" s="479"/>
      <c r="V23" s="209">
        <v>1</v>
      </c>
      <c r="W23" s="209">
        <v>2</v>
      </c>
      <c r="X23" s="209">
        <v>3</v>
      </c>
      <c r="Y23" s="209">
        <v>4</v>
      </c>
      <c r="BA23" s="237" t="s">
        <v>428</v>
      </c>
      <c r="BB23" s="238" t="s">
        <v>483</v>
      </c>
      <c r="BC23" s="238" t="s">
        <v>478</v>
      </c>
      <c r="BD23" s="239" t="s">
        <v>474</v>
      </c>
    </row>
    <row r="24" spans="1:56" x14ac:dyDescent="0.3">
      <c r="A24" s="405"/>
      <c r="B24" s="19"/>
      <c r="C24" s="2"/>
      <c r="U24" s="207" t="s">
        <v>449</v>
      </c>
      <c r="V24" s="208">
        <v>1500</v>
      </c>
      <c r="W24" s="208">
        <v>1000</v>
      </c>
      <c r="X24" s="208">
        <v>1500</v>
      </c>
      <c r="Y24" s="208">
        <v>2100</v>
      </c>
      <c r="BA24" s="39">
        <v>0</v>
      </c>
      <c r="BB24" s="72">
        <f>+AU12</f>
        <v>-2500</v>
      </c>
      <c r="BC24" s="230">
        <v>1</v>
      </c>
      <c r="BD24" s="72">
        <f>+BB24*BC24</f>
        <v>-2500</v>
      </c>
    </row>
    <row r="25" spans="1:56" x14ac:dyDescent="0.3">
      <c r="A25" s="405"/>
      <c r="B25" s="19"/>
      <c r="C25" s="2"/>
      <c r="U25" s="207" t="s">
        <v>446</v>
      </c>
      <c r="V25" s="208">
        <f>-V18</f>
        <v>-975</v>
      </c>
      <c r="W25" s="208">
        <f t="shared" ref="W25:Y25" si="14">-W18</f>
        <v>-975</v>
      </c>
      <c r="X25" s="208">
        <f t="shared" si="14"/>
        <v>-975</v>
      </c>
      <c r="Y25" s="208">
        <f t="shared" si="14"/>
        <v>-1575</v>
      </c>
      <c r="BA25" s="232">
        <v>1</v>
      </c>
      <c r="BB25" s="229">
        <f>+AV12</f>
        <v>1236</v>
      </c>
      <c r="BC25" s="174">
        <v>0.89300000000000002</v>
      </c>
      <c r="BD25" s="72">
        <f t="shared" ref="BD25:BD28" si="15">+BB25*BC25</f>
        <v>1103.748</v>
      </c>
    </row>
    <row r="26" spans="1:56" ht="15" thickBot="1" x14ac:dyDescent="0.35">
      <c r="A26" s="406"/>
      <c r="B26" s="19"/>
      <c r="C26" s="2"/>
      <c r="BA26" s="232">
        <v>2</v>
      </c>
      <c r="BB26" s="229">
        <f>+AW12</f>
        <v>1166</v>
      </c>
      <c r="BC26" s="174">
        <v>0.79700000000000004</v>
      </c>
      <c r="BD26" s="72">
        <f t="shared" si="15"/>
        <v>929.30200000000002</v>
      </c>
    </row>
    <row r="27" spans="1:56" x14ac:dyDescent="0.3">
      <c r="A27" s="120"/>
      <c r="B27" s="19"/>
      <c r="C27" s="2"/>
      <c r="BA27" s="232">
        <v>3</v>
      </c>
      <c r="BB27" s="229">
        <f>+AX12</f>
        <v>1091</v>
      </c>
      <c r="BC27" s="174">
        <v>0.71199999999999997</v>
      </c>
      <c r="BD27" s="72">
        <f t="shared" si="15"/>
        <v>776.79199999999992</v>
      </c>
    </row>
    <row r="28" spans="1:56" ht="15" thickBot="1" x14ac:dyDescent="0.35">
      <c r="A28" s="120"/>
      <c r="B28" s="19"/>
      <c r="C28" s="2"/>
      <c r="BA28" s="232">
        <v>4</v>
      </c>
      <c r="BB28" s="229">
        <f>+AY12</f>
        <v>4425</v>
      </c>
      <c r="BC28" s="174">
        <v>0.63600000000000001</v>
      </c>
      <c r="BD28" s="72">
        <f t="shared" si="15"/>
        <v>2814.3</v>
      </c>
    </row>
    <row r="29" spans="1:56" ht="15" thickBot="1" x14ac:dyDescent="0.35">
      <c r="A29" s="120"/>
      <c r="B29" s="19"/>
      <c r="C29" s="2"/>
      <c r="BA29" s="233" t="s">
        <v>14</v>
      </c>
      <c r="BB29" s="234">
        <f>SUM(BB24:BB28)</f>
        <v>5418</v>
      </c>
      <c r="BC29" s="235"/>
      <c r="BD29" s="236">
        <f>SUM(BD24:BD28)</f>
        <v>3124.1420000000003</v>
      </c>
    </row>
    <row r="30" spans="1:56" x14ac:dyDescent="0.3">
      <c r="A30" s="120"/>
      <c r="B30" s="19"/>
      <c r="C30" s="2"/>
    </row>
    <row r="31" spans="1:56" x14ac:dyDescent="0.3">
      <c r="A31" s="120"/>
      <c r="B31" s="19"/>
      <c r="C31" s="2"/>
      <c r="BB31" s="246" t="s">
        <v>475</v>
      </c>
      <c r="BC31" s="243">
        <v>12</v>
      </c>
    </row>
    <row r="32" spans="1:56" x14ac:dyDescent="0.3">
      <c r="A32" s="120"/>
      <c r="B32" s="19"/>
      <c r="C32" s="2"/>
      <c r="BB32" s="246" t="s">
        <v>476</v>
      </c>
      <c r="BC32" s="244">
        <f>+BD29</f>
        <v>3124.1420000000003</v>
      </c>
      <c r="BD32" t="s">
        <v>479</v>
      </c>
    </row>
    <row r="33" spans="1:56" x14ac:dyDescent="0.3">
      <c r="A33" s="120"/>
      <c r="B33" s="19"/>
      <c r="C33" s="2"/>
      <c r="BB33" s="246" t="s">
        <v>477</v>
      </c>
      <c r="BC33" s="245">
        <f>ABS(BD29/BD24)</f>
        <v>1.2496568000000001</v>
      </c>
      <c r="BD33" t="s">
        <v>480</v>
      </c>
    </row>
    <row r="34" spans="1:56" x14ac:dyDescent="0.3">
      <c r="A34" s="120"/>
      <c r="B34" s="19"/>
      <c r="C34" s="2"/>
    </row>
    <row r="35" spans="1:56" x14ac:dyDescent="0.3">
      <c r="A35" s="120"/>
      <c r="B35" s="19"/>
      <c r="C35" s="2"/>
      <c r="BC35" s="220"/>
    </row>
    <row r="36" spans="1:56" x14ac:dyDescent="0.3">
      <c r="A36" s="120"/>
      <c r="B36" s="19"/>
      <c r="C36" s="2"/>
      <c r="BC36" s="247"/>
    </row>
    <row r="37" spans="1:56" x14ac:dyDescent="0.3">
      <c r="A37" s="120"/>
      <c r="B37" s="19"/>
      <c r="C37" s="2"/>
      <c r="BC37" s="159"/>
    </row>
    <row r="38" spans="1:56" x14ac:dyDescent="0.3">
      <c r="A38" s="120"/>
      <c r="B38" s="19"/>
      <c r="C38" s="2"/>
    </row>
    <row r="39" spans="1:56" x14ac:dyDescent="0.3">
      <c r="A39" s="120"/>
      <c r="B39" s="19"/>
      <c r="C39" s="2"/>
    </row>
    <row r="40" spans="1:56" x14ac:dyDescent="0.3">
      <c r="A40" s="120"/>
      <c r="B40" s="19"/>
      <c r="C40" s="2"/>
    </row>
    <row r="41" spans="1:56" x14ac:dyDescent="0.3">
      <c r="A41" s="120"/>
      <c r="B41" s="19"/>
      <c r="C41" s="2"/>
    </row>
    <row r="42" spans="1:56" x14ac:dyDescent="0.3">
      <c r="A42" s="120"/>
      <c r="B42" s="19"/>
      <c r="C42" s="2"/>
    </row>
    <row r="43" spans="1:56" x14ac:dyDescent="0.3">
      <c r="A43" s="120"/>
      <c r="B43" s="19"/>
      <c r="C43" s="2"/>
    </row>
    <row r="44" spans="1:56" x14ac:dyDescent="0.3">
      <c r="A44" s="120"/>
      <c r="B44" s="19"/>
      <c r="C44" s="2"/>
    </row>
    <row r="45" spans="1:56" x14ac:dyDescent="0.3">
      <c r="A45" s="120"/>
      <c r="B45" s="19"/>
      <c r="C45" s="2"/>
    </row>
    <row r="46" spans="1:56" x14ac:dyDescent="0.3">
      <c r="A46" s="120"/>
      <c r="B46" s="19"/>
      <c r="C46" s="2"/>
    </row>
    <row r="47" spans="1:56" x14ac:dyDescent="0.3">
      <c r="A47" s="120"/>
      <c r="B47" s="19"/>
      <c r="C47" s="2"/>
    </row>
    <row r="48" spans="1:56" x14ac:dyDescent="0.3">
      <c r="A48" s="120"/>
      <c r="B48" s="19"/>
      <c r="C48" s="2"/>
    </row>
    <row r="49" spans="1:3" x14ac:dyDescent="0.3">
      <c r="A49" s="120"/>
      <c r="B49" s="19"/>
      <c r="C49" s="2"/>
    </row>
    <row r="50" spans="1:3" x14ac:dyDescent="0.3">
      <c r="A50" s="120"/>
      <c r="B50" s="19"/>
      <c r="C50" s="2"/>
    </row>
    <row r="51" spans="1:3" x14ac:dyDescent="0.3">
      <c r="A51" s="120"/>
      <c r="B51" s="19"/>
      <c r="C51" s="2"/>
    </row>
    <row r="52" spans="1:3" x14ac:dyDescent="0.3">
      <c r="A52" s="120"/>
      <c r="B52" s="19"/>
      <c r="C52" s="2"/>
    </row>
    <row r="53" spans="1:3" x14ac:dyDescent="0.3">
      <c r="A53" s="120"/>
      <c r="B53" s="19"/>
      <c r="C53" s="2"/>
    </row>
    <row r="54" spans="1:3" x14ac:dyDescent="0.3">
      <c r="A54" s="120"/>
      <c r="B54" s="19"/>
      <c r="C54" s="2"/>
    </row>
    <row r="55" spans="1:3" x14ac:dyDescent="0.3">
      <c r="A55" s="120"/>
      <c r="B55" s="19"/>
      <c r="C55" s="2"/>
    </row>
    <row r="56" spans="1:3" x14ac:dyDescent="0.3">
      <c r="A56" s="120"/>
      <c r="B56" s="19"/>
      <c r="C56" s="2"/>
    </row>
    <row r="57" spans="1:3" x14ac:dyDescent="0.3">
      <c r="A57" s="120"/>
      <c r="B57" s="19"/>
      <c r="C57" s="2"/>
    </row>
    <row r="58" spans="1:3" x14ac:dyDescent="0.3">
      <c r="A58" s="120"/>
      <c r="B58" s="19"/>
      <c r="C58" s="2"/>
    </row>
    <row r="59" spans="1:3" x14ac:dyDescent="0.3">
      <c r="A59" s="120"/>
      <c r="B59" s="19"/>
      <c r="C59" s="2"/>
    </row>
    <row r="60" spans="1:3" x14ac:dyDescent="0.3">
      <c r="A60" s="120"/>
      <c r="B60" s="19"/>
      <c r="C60" s="2"/>
    </row>
    <row r="61" spans="1:3" x14ac:dyDescent="0.3">
      <c r="A61" s="120"/>
      <c r="B61" s="19"/>
      <c r="C61" s="2"/>
    </row>
    <row r="62" spans="1:3" x14ac:dyDescent="0.3">
      <c r="A62" s="120"/>
      <c r="B62" s="19"/>
      <c r="C62" s="2"/>
    </row>
    <row r="63" spans="1:3" x14ac:dyDescent="0.3">
      <c r="A63" s="120"/>
      <c r="B63" s="19"/>
      <c r="C63" s="2"/>
    </row>
    <row r="64" spans="1:3" x14ac:dyDescent="0.3">
      <c r="A64" s="120"/>
      <c r="B64" s="19"/>
      <c r="C64" s="2"/>
    </row>
    <row r="65" spans="1:3" x14ac:dyDescent="0.3">
      <c r="A65" s="120"/>
      <c r="B65" s="19"/>
      <c r="C65" s="2"/>
    </row>
    <row r="66" spans="1:3" x14ac:dyDescent="0.3">
      <c r="A66" s="120"/>
      <c r="B66" s="19"/>
      <c r="C66" s="2"/>
    </row>
    <row r="67" spans="1:3" x14ac:dyDescent="0.3">
      <c r="A67" s="120"/>
      <c r="B67" s="19"/>
      <c r="C67" s="2"/>
    </row>
    <row r="68" spans="1:3" x14ac:dyDescent="0.3">
      <c r="A68" s="120"/>
      <c r="B68" s="19"/>
      <c r="C68" s="2"/>
    </row>
    <row r="69" spans="1:3" x14ac:dyDescent="0.3">
      <c r="A69" s="120"/>
      <c r="B69" s="19"/>
      <c r="C69" s="2"/>
    </row>
    <row r="70" spans="1:3" x14ac:dyDescent="0.3">
      <c r="A70" s="120"/>
      <c r="B70" s="19"/>
      <c r="C70" s="2"/>
    </row>
    <row r="71" spans="1:3" x14ac:dyDescent="0.3">
      <c r="A71" s="120"/>
      <c r="B71" s="19"/>
      <c r="C71" s="2"/>
    </row>
    <row r="72" spans="1:3" x14ac:dyDescent="0.3">
      <c r="A72" s="120"/>
      <c r="B72" s="19"/>
      <c r="C72" s="2"/>
    </row>
    <row r="73" spans="1:3" x14ac:dyDescent="0.3">
      <c r="A73" s="120"/>
      <c r="B73" s="19"/>
      <c r="C73" s="2"/>
    </row>
    <row r="74" spans="1:3" x14ac:dyDescent="0.3">
      <c r="A74" s="120"/>
      <c r="B74" s="19"/>
      <c r="C74" s="2"/>
    </row>
    <row r="75" spans="1:3" x14ac:dyDescent="0.3">
      <c r="A75" s="120"/>
      <c r="B75" s="19"/>
      <c r="C75" s="2"/>
    </row>
    <row r="76" spans="1:3" x14ac:dyDescent="0.3">
      <c r="A76" s="120"/>
      <c r="B76" s="19"/>
      <c r="C76" s="2"/>
    </row>
    <row r="77" spans="1:3" x14ac:dyDescent="0.3">
      <c r="A77" s="120"/>
      <c r="B77" s="19"/>
      <c r="C77" s="2"/>
    </row>
    <row r="78" spans="1:3" x14ac:dyDescent="0.3">
      <c r="A78" s="120"/>
      <c r="B78" s="19"/>
      <c r="C78" s="2"/>
    </row>
    <row r="79" spans="1:3" x14ac:dyDescent="0.3">
      <c r="A79" s="120"/>
      <c r="B79" s="19"/>
      <c r="C79" s="2"/>
    </row>
    <row r="80" spans="1:3" x14ac:dyDescent="0.3">
      <c r="A80" s="120"/>
      <c r="B80" s="19"/>
      <c r="C80" s="2"/>
    </row>
    <row r="81" spans="1:3" x14ac:dyDescent="0.3">
      <c r="A81" s="120"/>
      <c r="B81" s="19"/>
      <c r="C81" s="2"/>
    </row>
    <row r="82" spans="1:3" x14ac:dyDescent="0.3">
      <c r="A82" s="120"/>
      <c r="B82" s="19"/>
      <c r="C82" s="2"/>
    </row>
    <row r="83" spans="1:3" x14ac:dyDescent="0.3">
      <c r="A83" s="120"/>
      <c r="B83" s="19"/>
      <c r="C83" s="2"/>
    </row>
    <row r="84" spans="1:3" x14ac:dyDescent="0.3">
      <c r="A84" s="120"/>
      <c r="B84" s="19"/>
      <c r="C84" s="2"/>
    </row>
    <row r="85" spans="1:3" x14ac:dyDescent="0.3">
      <c r="A85" s="120"/>
      <c r="B85" s="19"/>
      <c r="C85" s="2"/>
    </row>
    <row r="86" spans="1:3" x14ac:dyDescent="0.3">
      <c r="A86" s="120"/>
      <c r="B86" s="19"/>
      <c r="C86" s="2"/>
    </row>
    <row r="87" spans="1:3" x14ac:dyDescent="0.3">
      <c r="A87" s="120"/>
      <c r="B87" s="19"/>
      <c r="C87" s="2"/>
    </row>
    <row r="88" spans="1:3" x14ac:dyDescent="0.3">
      <c r="A88" s="120"/>
      <c r="B88" s="19"/>
      <c r="C88" s="2"/>
    </row>
    <row r="89" spans="1:3" x14ac:dyDescent="0.3">
      <c r="A89" s="120"/>
      <c r="B89" s="19"/>
      <c r="C89" s="2"/>
    </row>
    <row r="90" spans="1:3" x14ac:dyDescent="0.3">
      <c r="A90" s="120"/>
      <c r="B90" s="19"/>
      <c r="C90" s="2"/>
    </row>
    <row r="91" spans="1:3" x14ac:dyDescent="0.3">
      <c r="A91" s="120"/>
      <c r="B91" s="19"/>
      <c r="C91" s="2"/>
    </row>
    <row r="92" spans="1:3" x14ac:dyDescent="0.3">
      <c r="A92" s="120"/>
      <c r="B92" s="19"/>
      <c r="C92" s="2"/>
    </row>
    <row r="93" spans="1:3" x14ac:dyDescent="0.3">
      <c r="A93" s="120"/>
      <c r="B93" s="19"/>
      <c r="C93" s="2"/>
    </row>
    <row r="94" spans="1:3" x14ac:dyDescent="0.3">
      <c r="A94" s="120"/>
      <c r="B94" s="19"/>
      <c r="C94" s="2"/>
    </row>
    <row r="95" spans="1:3" x14ac:dyDescent="0.3">
      <c r="A95" s="120"/>
      <c r="B95" s="19"/>
      <c r="C95" s="2"/>
    </row>
    <row r="96" spans="1:3" x14ac:dyDescent="0.3">
      <c r="A96" s="120"/>
      <c r="B96" s="19"/>
      <c r="C96" s="2"/>
    </row>
    <row r="97" spans="1:3" x14ac:dyDescent="0.3">
      <c r="A97" s="120"/>
      <c r="B97" s="19"/>
      <c r="C97" s="2"/>
    </row>
    <row r="98" spans="1:3" x14ac:dyDescent="0.3">
      <c r="A98" s="120"/>
      <c r="B98" s="19"/>
      <c r="C98" s="2"/>
    </row>
    <row r="99" spans="1:3" x14ac:dyDescent="0.3">
      <c r="A99" s="120"/>
      <c r="B99" s="19"/>
      <c r="C99" s="2"/>
    </row>
    <row r="100" spans="1:3" x14ac:dyDescent="0.3">
      <c r="A100" s="120"/>
      <c r="B100" s="19"/>
      <c r="C100" s="2"/>
    </row>
  </sheetData>
  <mergeCells count="57">
    <mergeCell ref="U22:U23"/>
    <mergeCell ref="T9:U9"/>
    <mergeCell ref="T12:U12"/>
    <mergeCell ref="T13:U13"/>
    <mergeCell ref="T14:U14"/>
    <mergeCell ref="T15:U15"/>
    <mergeCell ref="S3:Y3"/>
    <mergeCell ref="S4:Y4"/>
    <mergeCell ref="S5:Y5"/>
    <mergeCell ref="T8:U8"/>
    <mergeCell ref="A10:A26"/>
    <mergeCell ref="D5:E6"/>
    <mergeCell ref="F5:F6"/>
    <mergeCell ref="G5:H5"/>
    <mergeCell ref="D3:H3"/>
    <mergeCell ref="V22:Y22"/>
    <mergeCell ref="S6:U7"/>
    <mergeCell ref="V6:Y6"/>
    <mergeCell ref="T16:U16"/>
    <mergeCell ref="T17:U17"/>
    <mergeCell ref="T18:U18"/>
    <mergeCell ref="T19:U19"/>
    <mergeCell ref="D1:H1"/>
    <mergeCell ref="M3:Q3"/>
    <mergeCell ref="O5:O6"/>
    <mergeCell ref="N5:N6"/>
    <mergeCell ref="M5:M6"/>
    <mergeCell ref="P5:P6"/>
    <mergeCell ref="Q5:Q6"/>
    <mergeCell ref="AC15:AC16"/>
    <mergeCell ref="AD15:AG15"/>
    <mergeCell ref="AI3:AP3"/>
    <mergeCell ref="AI4:AP4"/>
    <mergeCell ref="AI5:AP5"/>
    <mergeCell ref="AI6:AK7"/>
    <mergeCell ref="AL6:AP6"/>
    <mergeCell ref="AJ8:AK8"/>
    <mergeCell ref="AI14:AK14"/>
    <mergeCell ref="AB8:AC8"/>
    <mergeCell ref="AB10:AC10"/>
    <mergeCell ref="AA3:AG3"/>
    <mergeCell ref="AA4:AG4"/>
    <mergeCell ref="AA5:AG5"/>
    <mergeCell ref="AA6:AC7"/>
    <mergeCell ref="AD6:AG6"/>
    <mergeCell ref="BA20:BD20"/>
    <mergeCell ref="BA21:BD21"/>
    <mergeCell ref="BA22:BD22"/>
    <mergeCell ref="AS8:AT8"/>
    <mergeCell ref="BA3:BD3"/>
    <mergeCell ref="BA4:BD4"/>
    <mergeCell ref="BA5:BD5"/>
    <mergeCell ref="AR3:AY3"/>
    <mergeCell ref="AR4:AY4"/>
    <mergeCell ref="AR5:AY5"/>
    <mergeCell ref="AR6:AT7"/>
    <mergeCell ref="AU6:AY6"/>
  </mergeCells>
  <conditionalFormatting sqref="V11">
    <cfRule type="cellIs" dxfId="9" priority="15" operator="lessThan">
      <formula>0</formula>
    </cfRule>
  </conditionalFormatting>
  <conditionalFormatting sqref="V19">
    <cfRule type="cellIs" dxfId="8" priority="14" operator="lessThan">
      <formula>0</formula>
    </cfRule>
  </conditionalFormatting>
  <conditionalFormatting sqref="V14">
    <cfRule type="cellIs" dxfId="7" priority="13" operator="lessThan">
      <formula>0</formula>
    </cfRule>
  </conditionalFormatting>
  <conditionalFormatting sqref="V17">
    <cfRule type="cellIs" dxfId="6" priority="12" operator="lessThan">
      <formula>0</formula>
    </cfRule>
  </conditionalFormatting>
  <conditionalFormatting sqref="W11:Y11">
    <cfRule type="cellIs" dxfId="5" priority="7" operator="lessThan">
      <formula>0</formula>
    </cfRule>
  </conditionalFormatting>
  <conditionalFormatting sqref="W14:Y14">
    <cfRule type="cellIs" dxfId="4" priority="6" operator="lessThan">
      <formula>0</formula>
    </cfRule>
  </conditionalFormatting>
  <conditionalFormatting sqref="W17:Y17">
    <cfRule type="cellIs" dxfId="3" priority="5" operator="lessThan">
      <formula>0</formula>
    </cfRule>
  </conditionalFormatting>
  <conditionalFormatting sqref="W19:Y19">
    <cfRule type="cellIs" dxfId="2" priority="4" operator="lessThan">
      <formula>0</formula>
    </cfRule>
  </conditionalFormatting>
  <conditionalFormatting sqref="AD12:AG12">
    <cfRule type="cellIs" dxfId="1" priority="3" operator="lessThan">
      <formula>0</formula>
    </cfRule>
  </conditionalFormatting>
  <conditionalFormatting sqref="AL19:AP1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9FCE-86BE-48C7-89EE-421CAF0D91ED}">
  <dimension ref="A1:BV100"/>
  <sheetViews>
    <sheetView showGridLines="0" workbookViewId="0">
      <selection activeCell="BQ27" sqref="BQ27"/>
    </sheetView>
  </sheetViews>
  <sheetFormatPr baseColWidth="10" defaultRowHeight="14.4" x14ac:dyDescent="0.3"/>
  <cols>
    <col min="1" max="1" width="10.109375" customWidth="1"/>
    <col min="2" max="2" width="0.5546875" customWidth="1"/>
    <col min="4" max="4" width="4.109375" bestFit="1" customWidth="1"/>
    <col min="6" max="6" width="12" bestFit="1" customWidth="1"/>
    <col min="7" max="7" width="9.109375" bestFit="1" customWidth="1"/>
    <col min="8" max="8" width="13" bestFit="1" customWidth="1"/>
    <col min="9" max="9" width="13.77734375" bestFit="1" customWidth="1"/>
    <col min="11" max="11" width="0.5546875" style="19" customWidth="1"/>
    <col min="12" max="12" width="11.5546875" customWidth="1"/>
    <col min="13" max="13" width="4.109375" bestFit="1" customWidth="1"/>
    <col min="18" max="18" width="11.109375" bestFit="1" customWidth="1"/>
    <col min="19" max="19" width="11.109375" customWidth="1"/>
    <col min="20" max="20" width="0.6640625" style="19" customWidth="1"/>
    <col min="22" max="22" width="4.109375" bestFit="1" customWidth="1"/>
    <col min="23" max="23" width="8.77734375" bestFit="1" customWidth="1"/>
    <col min="24" max="24" width="11.109375" bestFit="1" customWidth="1"/>
    <col min="25" max="25" width="12.109375" customWidth="1"/>
    <col min="26" max="26" width="8.33203125" bestFit="1" customWidth="1"/>
    <col min="27" max="27" width="13.77734375" bestFit="1" customWidth="1"/>
    <col min="28" max="28" width="16.88671875" bestFit="1" customWidth="1"/>
    <col min="29" max="29" width="16.109375" bestFit="1" customWidth="1"/>
    <col min="30" max="30" width="9.6640625" customWidth="1"/>
    <col min="31" max="31" width="0.6640625" style="19" customWidth="1"/>
    <col min="33" max="33" width="4.109375" bestFit="1" customWidth="1"/>
    <col min="34" max="34" width="8.88671875" bestFit="1" customWidth="1"/>
    <col min="35" max="35" width="11.109375" bestFit="1" customWidth="1"/>
    <col min="36" max="36" width="12.88671875" bestFit="1" customWidth="1"/>
    <col min="37" max="37" width="11.88671875" bestFit="1" customWidth="1"/>
    <col min="39" max="39" width="0.6640625" style="19" customWidth="1"/>
    <col min="41" max="41" width="17.44140625" bestFit="1" customWidth="1"/>
    <col min="42" max="42" width="12.77734375" bestFit="1" customWidth="1"/>
    <col min="43" max="44" width="11.88671875" customWidth="1"/>
    <col min="47" max="47" width="0.88671875" style="19" customWidth="1"/>
    <col min="49" max="49" width="24.109375" bestFit="1" customWidth="1"/>
    <col min="50" max="53" width="8.77734375" bestFit="1" customWidth="1"/>
    <col min="54" max="54" width="10" bestFit="1" customWidth="1"/>
    <col min="56" max="56" width="1" style="19" customWidth="1"/>
    <col min="58" max="58" width="27.109375" bestFit="1" customWidth="1"/>
    <col min="66" max="66" width="0.6640625" style="19" customWidth="1"/>
  </cols>
  <sheetData>
    <row r="1" spans="1:74" x14ac:dyDescent="0.3">
      <c r="A1" s="120"/>
      <c r="B1" s="19"/>
      <c r="C1" s="2"/>
      <c r="D1" s="495" t="s">
        <v>605</v>
      </c>
      <c r="E1" s="495"/>
      <c r="F1" s="495"/>
      <c r="G1" s="495"/>
      <c r="H1" s="495"/>
      <c r="I1" s="495"/>
      <c r="M1" s="434" t="s">
        <v>502</v>
      </c>
      <c r="N1" s="434"/>
      <c r="O1" s="434"/>
      <c r="P1" s="434"/>
      <c r="Q1" s="434"/>
      <c r="V1" s="434" t="s">
        <v>522</v>
      </c>
      <c r="W1" s="434"/>
      <c r="X1" s="434"/>
      <c r="Y1" s="434"/>
      <c r="AG1" s="434" t="s">
        <v>606</v>
      </c>
      <c r="AH1" s="434"/>
      <c r="AI1" s="434"/>
      <c r="AJ1" s="434"/>
      <c r="AK1" s="434"/>
      <c r="AO1" s="434" t="s">
        <v>608</v>
      </c>
      <c r="AP1" s="434"/>
      <c r="AQ1" s="434"/>
      <c r="AR1" s="434"/>
      <c r="AS1" s="434"/>
      <c r="AW1" s="434" t="s">
        <v>610</v>
      </c>
      <c r="AX1" s="434"/>
      <c r="AY1" s="434"/>
      <c r="AZ1" s="434"/>
      <c r="BA1" s="434"/>
      <c r="BB1" s="434"/>
      <c r="BF1" s="434" t="s">
        <v>636</v>
      </c>
      <c r="BG1" s="434"/>
      <c r="BH1" s="434"/>
      <c r="BI1" s="434"/>
      <c r="BJ1" s="434"/>
      <c r="BK1" s="434"/>
      <c r="BL1" s="434"/>
      <c r="BP1" s="434" t="s">
        <v>470</v>
      </c>
      <c r="BQ1" s="434"/>
      <c r="BR1" s="434"/>
      <c r="BS1" s="434"/>
      <c r="BT1" s="434"/>
      <c r="BU1" s="434"/>
      <c r="BV1" s="434"/>
    </row>
    <row r="2" spans="1:74" x14ac:dyDescent="0.3">
      <c r="A2" s="120"/>
      <c r="B2" s="19"/>
      <c r="C2" s="2"/>
      <c r="D2" s="495"/>
      <c r="E2" s="495"/>
      <c r="F2" s="495"/>
      <c r="G2" s="495"/>
      <c r="H2" s="495"/>
      <c r="I2" s="495"/>
      <c r="M2" s="484" t="s">
        <v>503</v>
      </c>
      <c r="N2" s="484"/>
      <c r="O2" s="484"/>
      <c r="P2" s="484"/>
      <c r="Q2" s="484"/>
      <c r="V2" s="484" t="s">
        <v>523</v>
      </c>
      <c r="W2" s="484"/>
      <c r="X2" s="484"/>
      <c r="Y2" s="484"/>
      <c r="Z2" s="240"/>
      <c r="AG2" s="484" t="s">
        <v>547</v>
      </c>
      <c r="AH2" s="484"/>
      <c r="AI2" s="484"/>
      <c r="AJ2" s="484"/>
      <c r="AO2" s="484" t="s">
        <v>565</v>
      </c>
      <c r="AP2" s="484"/>
      <c r="AQ2" s="484"/>
      <c r="AR2" s="484"/>
      <c r="AW2" s="484" t="s">
        <v>611</v>
      </c>
      <c r="AX2" s="484"/>
      <c r="AY2" s="484"/>
      <c r="AZ2" s="484"/>
      <c r="BF2" s="484" t="s">
        <v>637</v>
      </c>
      <c r="BG2" s="484"/>
      <c r="BH2" s="484"/>
      <c r="BI2" s="484"/>
      <c r="BP2" s="484" t="s">
        <v>648</v>
      </c>
      <c r="BQ2" s="484"/>
      <c r="BR2" s="484"/>
      <c r="BS2" s="484"/>
    </row>
    <row r="3" spans="1:74" x14ac:dyDescent="0.3">
      <c r="A3" s="120"/>
      <c r="B3" s="19"/>
      <c r="C3" s="2"/>
    </row>
    <row r="4" spans="1:74" ht="14.4" customHeight="1" x14ac:dyDescent="0.3">
      <c r="A4" s="120"/>
      <c r="B4" s="19"/>
      <c r="C4" s="2"/>
      <c r="D4" t="s">
        <v>487</v>
      </c>
      <c r="M4" s="496" t="s">
        <v>428</v>
      </c>
      <c r="N4" s="284" t="s">
        <v>305</v>
      </c>
      <c r="O4" s="284" t="s">
        <v>614</v>
      </c>
      <c r="P4" s="284" t="s">
        <v>625</v>
      </c>
      <c r="Q4" s="284" t="s">
        <v>598</v>
      </c>
      <c r="R4" s="284" t="s">
        <v>618</v>
      </c>
      <c r="V4" s="284" t="s">
        <v>428</v>
      </c>
      <c r="W4" s="284" t="s">
        <v>509</v>
      </c>
      <c r="X4" s="284" t="s">
        <v>618</v>
      </c>
      <c r="Y4" s="284" t="s">
        <v>620</v>
      </c>
      <c r="AG4" s="498" t="s">
        <v>428</v>
      </c>
      <c r="AH4" s="498" t="s">
        <v>509</v>
      </c>
      <c r="AI4" s="363" t="s">
        <v>618</v>
      </c>
      <c r="AJ4" s="363" t="s">
        <v>622</v>
      </c>
      <c r="AO4" s="365" t="s">
        <v>599</v>
      </c>
      <c r="AP4" s="364" t="s">
        <v>599</v>
      </c>
      <c r="AQ4" s="503" t="s">
        <v>568</v>
      </c>
      <c r="AR4" s="504"/>
      <c r="AW4" s="487" t="s">
        <v>172</v>
      </c>
      <c r="AX4" s="488" t="s">
        <v>448</v>
      </c>
      <c r="AY4" s="488"/>
      <c r="AZ4" s="488"/>
      <c r="BA4" s="488"/>
      <c r="BB4" s="488"/>
      <c r="BF4" s="482" t="s">
        <v>172</v>
      </c>
      <c r="BG4" s="483" t="s">
        <v>448</v>
      </c>
      <c r="BH4" s="483"/>
      <c r="BI4" s="483"/>
      <c r="BJ4" s="483"/>
      <c r="BK4" s="483"/>
      <c r="BL4" s="483"/>
      <c r="BP4" s="485" t="s">
        <v>448</v>
      </c>
      <c r="BQ4" s="389" t="s">
        <v>649</v>
      </c>
      <c r="BR4" s="346" t="s">
        <v>651</v>
      </c>
      <c r="BS4" s="390" t="s">
        <v>472</v>
      </c>
    </row>
    <row r="5" spans="1:74" x14ac:dyDescent="0.3">
      <c r="A5" s="120"/>
      <c r="B5" s="19"/>
      <c r="C5" s="2"/>
      <c r="E5" t="s">
        <v>488</v>
      </c>
      <c r="F5" s="2">
        <v>5</v>
      </c>
      <c r="G5" t="s">
        <v>489</v>
      </c>
      <c r="M5" s="497"/>
      <c r="N5" s="349" t="s">
        <v>612</v>
      </c>
      <c r="O5" s="349" t="s">
        <v>613</v>
      </c>
      <c r="P5" s="349" t="s">
        <v>615</v>
      </c>
      <c r="Q5" s="349" t="s">
        <v>616</v>
      </c>
      <c r="R5" s="349" t="s">
        <v>617</v>
      </c>
      <c r="S5" s="260"/>
      <c r="T5" s="295"/>
      <c r="V5" s="349"/>
      <c r="W5" s="349"/>
      <c r="X5" s="349" t="s">
        <v>619</v>
      </c>
      <c r="Y5" s="349" t="s">
        <v>621</v>
      </c>
      <c r="AG5" s="499"/>
      <c r="AH5" s="499"/>
      <c r="AI5" s="349" t="s">
        <v>619</v>
      </c>
      <c r="AJ5" s="349" t="s">
        <v>623</v>
      </c>
      <c r="AO5" s="366" t="s">
        <v>624</v>
      </c>
      <c r="AP5" s="285" t="s">
        <v>560</v>
      </c>
      <c r="AQ5" s="282" t="s">
        <v>566</v>
      </c>
      <c r="AR5" s="252" t="s">
        <v>567</v>
      </c>
      <c r="AW5" s="487"/>
      <c r="AX5" s="369">
        <v>1</v>
      </c>
      <c r="AY5" s="369">
        <v>2</v>
      </c>
      <c r="AZ5" s="369">
        <v>3</v>
      </c>
      <c r="BA5" s="369">
        <v>4</v>
      </c>
      <c r="BB5" s="369">
        <v>5</v>
      </c>
      <c r="BF5" s="482"/>
      <c r="BG5" s="380">
        <v>0</v>
      </c>
      <c r="BH5" s="380">
        <v>1</v>
      </c>
      <c r="BI5" s="380">
        <v>2</v>
      </c>
      <c r="BJ5" s="380">
        <v>3</v>
      </c>
      <c r="BK5" s="380">
        <v>4</v>
      </c>
      <c r="BL5" s="380">
        <v>5</v>
      </c>
      <c r="BP5" s="486"/>
      <c r="BQ5" s="391" t="s">
        <v>560</v>
      </c>
      <c r="BR5" s="347" t="s">
        <v>650</v>
      </c>
      <c r="BS5" s="396" t="s">
        <v>652</v>
      </c>
    </row>
    <row r="6" spans="1:74" x14ac:dyDescent="0.3">
      <c r="A6" s="120"/>
      <c r="B6" s="19"/>
      <c r="C6" s="2"/>
      <c r="E6" t="s">
        <v>490</v>
      </c>
      <c r="F6" s="2">
        <v>360</v>
      </c>
      <c r="G6" t="s">
        <v>491</v>
      </c>
      <c r="M6" s="313">
        <v>1</v>
      </c>
      <c r="N6" s="314">
        <f>+E26</f>
        <v>9600</v>
      </c>
      <c r="O6" s="357">
        <f>+G14</f>
        <v>9600</v>
      </c>
      <c r="P6" s="314">
        <f>+$F$39</f>
        <v>15000</v>
      </c>
      <c r="Q6" s="358">
        <v>0.64</v>
      </c>
      <c r="R6" s="329">
        <f>+P6*$F$6*Q6</f>
        <v>3456000</v>
      </c>
      <c r="S6" s="260"/>
      <c r="T6" s="295"/>
      <c r="V6" s="356">
        <v>1</v>
      </c>
      <c r="W6" s="359">
        <f>+R23</f>
        <v>1.3582554517133957E-2</v>
      </c>
      <c r="X6" s="360">
        <f>+R6</f>
        <v>3456000</v>
      </c>
      <c r="Y6" s="361">
        <f>+W6*X6</f>
        <v>46941.308411214959</v>
      </c>
      <c r="AG6" s="356">
        <v>1</v>
      </c>
      <c r="AH6" s="359">
        <f>+$AC$34</f>
        <v>3.1152647975077885E-3</v>
      </c>
      <c r="AI6" s="360">
        <f>+X6</f>
        <v>3456000</v>
      </c>
      <c r="AJ6" s="362">
        <f>+AH6*AI6</f>
        <v>10766.355140186917</v>
      </c>
      <c r="AO6" s="505" t="s">
        <v>569</v>
      </c>
      <c r="AP6" s="506"/>
      <c r="AQ6" s="507"/>
      <c r="AR6" s="508"/>
      <c r="AW6" s="489" t="s">
        <v>12</v>
      </c>
      <c r="AX6" s="490"/>
      <c r="AY6" s="490"/>
      <c r="AZ6" s="490"/>
      <c r="BA6" s="490"/>
      <c r="BB6" s="491"/>
      <c r="BF6" s="381" t="s">
        <v>74</v>
      </c>
      <c r="BG6" s="373"/>
      <c r="BH6" s="373">
        <f>+AX7</f>
        <v>107663.55140186916</v>
      </c>
      <c r="BI6" s="373">
        <f t="shared" ref="BI6:BL6" si="0">+AY7</f>
        <v>121121.49532710281</v>
      </c>
      <c r="BJ6" s="373">
        <f t="shared" si="0"/>
        <v>134579.43925233645</v>
      </c>
      <c r="BK6" s="373">
        <f t="shared" si="0"/>
        <v>134579.43925233645</v>
      </c>
      <c r="BL6" s="373">
        <f t="shared" si="0"/>
        <v>134579.43925233645</v>
      </c>
      <c r="BP6" s="355">
        <v>0</v>
      </c>
      <c r="BQ6" s="260">
        <f>BG19</f>
        <v>-127979</v>
      </c>
      <c r="BR6" s="392">
        <v>1</v>
      </c>
      <c r="BS6" s="167">
        <f>+BQ6*BR6</f>
        <v>-127979</v>
      </c>
    </row>
    <row r="7" spans="1:74" x14ac:dyDescent="0.3">
      <c r="A7" s="120"/>
      <c r="B7" s="19"/>
      <c r="C7" s="2"/>
      <c r="E7" t="s">
        <v>492</v>
      </c>
      <c r="F7" s="300">
        <v>3.21</v>
      </c>
      <c r="M7" s="207">
        <v>2</v>
      </c>
      <c r="N7" s="254">
        <f>+E27</f>
        <v>10800</v>
      </c>
      <c r="O7" s="259">
        <f>+G15</f>
        <v>10800</v>
      </c>
      <c r="P7" s="254">
        <f>+$F$39</f>
        <v>15000</v>
      </c>
      <c r="Q7" s="298">
        <v>0.72</v>
      </c>
      <c r="R7" s="261">
        <f t="shared" ref="R7:R10" si="1">+P7*$F$6*Q7</f>
        <v>3888000</v>
      </c>
      <c r="S7" s="260"/>
      <c r="T7" s="295"/>
      <c r="V7" s="253">
        <v>2</v>
      </c>
      <c r="W7" s="290">
        <f t="shared" ref="W7:W10" si="2">+$R$23</f>
        <v>1.3582554517133957E-2</v>
      </c>
      <c r="X7" s="264">
        <f>+R7</f>
        <v>3888000</v>
      </c>
      <c r="Y7" s="265">
        <f>+W7*X7</f>
        <v>52808.971962616823</v>
      </c>
      <c r="AG7" s="253">
        <v>2</v>
      </c>
      <c r="AH7" s="290">
        <f t="shared" ref="AH7:AH10" si="3">+$AC$34</f>
        <v>3.1152647975077885E-3</v>
      </c>
      <c r="AI7" s="264">
        <f>+X7</f>
        <v>3888000</v>
      </c>
      <c r="AJ7" s="292">
        <f t="shared" ref="AJ7:AJ10" si="4">+AH7*AI7</f>
        <v>12112.149532710282</v>
      </c>
      <c r="AO7" s="325" t="s">
        <v>4</v>
      </c>
      <c r="AP7" s="334">
        <v>11250</v>
      </c>
      <c r="AQ7" s="335">
        <v>11250</v>
      </c>
      <c r="AR7" s="335"/>
      <c r="AW7" s="174" t="s">
        <v>74</v>
      </c>
      <c r="AX7" s="373">
        <f>+I26</f>
        <v>107663.55140186916</v>
      </c>
      <c r="AY7" s="373">
        <f>+I27</f>
        <v>121121.49532710281</v>
      </c>
      <c r="AZ7" s="373">
        <f>+I28</f>
        <v>134579.43925233645</v>
      </c>
      <c r="BA7" s="373">
        <f>+I29</f>
        <v>134579.43925233645</v>
      </c>
      <c r="BB7" s="167">
        <f>+I30</f>
        <v>134579.43925233645</v>
      </c>
      <c r="BF7" s="174" t="s">
        <v>638</v>
      </c>
      <c r="BG7" s="167"/>
      <c r="BH7" s="373">
        <f>+AX8</f>
        <v>0</v>
      </c>
      <c r="BI7" s="373">
        <f t="shared" ref="BI7" si="5">+AY8</f>
        <v>0</v>
      </c>
      <c r="BJ7" s="373">
        <f t="shared" ref="BJ7" si="6">+AZ8</f>
        <v>0</v>
      </c>
      <c r="BK7" s="373">
        <f t="shared" ref="BK7" si="7">+BA8</f>
        <v>0</v>
      </c>
      <c r="BL7" s="373">
        <f t="shared" ref="BL7" si="8">+BB8</f>
        <v>11250</v>
      </c>
      <c r="BP7" s="355">
        <v>1</v>
      </c>
      <c r="BQ7" s="260">
        <f>+BH19</f>
        <v>24439.121495327101</v>
      </c>
      <c r="BR7" s="392">
        <v>0.89300000000000002</v>
      </c>
      <c r="BS7" s="167">
        <f t="shared" ref="BS7:BS11" si="9">+BQ7*BR7</f>
        <v>21824.1354953271</v>
      </c>
    </row>
    <row r="8" spans="1:74" x14ac:dyDescent="0.3">
      <c r="A8" s="120"/>
      <c r="B8" s="19"/>
      <c r="C8" s="2"/>
      <c r="M8" s="207">
        <v>3</v>
      </c>
      <c r="N8" s="254">
        <f>+E28</f>
        <v>12000</v>
      </c>
      <c r="O8" s="259">
        <f>+G16</f>
        <v>12000</v>
      </c>
      <c r="P8" s="254">
        <f>+$F$39</f>
        <v>15000</v>
      </c>
      <c r="Q8" s="298">
        <v>0.8</v>
      </c>
      <c r="R8" s="261">
        <f t="shared" si="1"/>
        <v>4320000</v>
      </c>
      <c r="S8" s="260"/>
      <c r="T8" s="295"/>
      <c r="V8" s="253">
        <v>3</v>
      </c>
      <c r="W8" s="290">
        <f t="shared" si="2"/>
        <v>1.3582554517133957E-2</v>
      </c>
      <c r="X8" s="264">
        <f>+R8</f>
        <v>4320000</v>
      </c>
      <c r="Y8" s="265">
        <f>+W8*X8</f>
        <v>58676.635514018693</v>
      </c>
      <c r="AG8" s="253">
        <v>3</v>
      </c>
      <c r="AH8" s="290">
        <f t="shared" si="3"/>
        <v>3.1152647975077885E-3</v>
      </c>
      <c r="AI8" s="264">
        <f>+X8</f>
        <v>4320000</v>
      </c>
      <c r="AJ8" s="292">
        <f t="shared" si="4"/>
        <v>13457.943925233647</v>
      </c>
      <c r="AO8" s="326" t="s">
        <v>570</v>
      </c>
      <c r="AP8" s="336">
        <v>21000</v>
      </c>
      <c r="AQ8" s="336"/>
      <c r="AR8" s="336">
        <v>21000</v>
      </c>
      <c r="AW8" s="174" t="s">
        <v>626</v>
      </c>
      <c r="AX8" s="231"/>
      <c r="AY8" s="231"/>
      <c r="AZ8" s="231"/>
      <c r="BA8" s="231"/>
      <c r="BB8" s="167">
        <v>11250</v>
      </c>
      <c r="BF8" s="174" t="s">
        <v>90</v>
      </c>
      <c r="BG8" s="167"/>
      <c r="BH8" s="167">
        <f>-AX11</f>
        <v>-46941.308411214959</v>
      </c>
      <c r="BI8" s="167">
        <f t="shared" ref="BI8:BL10" si="10">-AY11</f>
        <v>-52808.971962616823</v>
      </c>
      <c r="BJ8" s="167">
        <f t="shared" si="10"/>
        <v>-58676.635514018693</v>
      </c>
      <c r="BK8" s="167">
        <f t="shared" si="10"/>
        <v>-58676.635514018693</v>
      </c>
      <c r="BL8" s="167">
        <f t="shared" si="10"/>
        <v>-58676.635514018693</v>
      </c>
      <c r="BP8" s="355">
        <v>2</v>
      </c>
      <c r="BQ8" s="260">
        <f>+BI19</f>
        <v>28810.261682242988</v>
      </c>
      <c r="BR8" s="392">
        <v>0.79700000000000004</v>
      </c>
      <c r="BS8" s="167">
        <f t="shared" si="9"/>
        <v>22961.778560747662</v>
      </c>
    </row>
    <row r="9" spans="1:74" ht="15" thickBot="1" x14ac:dyDescent="0.35">
      <c r="A9" s="120"/>
      <c r="B9" s="19"/>
      <c r="C9" s="2"/>
      <c r="D9" s="434" t="s">
        <v>499</v>
      </c>
      <c r="E9" s="434"/>
      <c r="F9" s="434"/>
      <c r="G9" s="434"/>
      <c r="H9" s="434"/>
      <c r="M9" s="207">
        <v>4</v>
      </c>
      <c r="N9" s="254">
        <f>+E29</f>
        <v>12000</v>
      </c>
      <c r="O9" s="259">
        <f>+G17</f>
        <v>12000</v>
      </c>
      <c r="P9" s="254">
        <f>+$F$39</f>
        <v>15000</v>
      </c>
      <c r="Q9" s="298">
        <v>0.8</v>
      </c>
      <c r="R9" s="261">
        <f t="shared" si="1"/>
        <v>4320000</v>
      </c>
      <c r="S9" s="260"/>
      <c r="T9" s="295"/>
      <c r="V9" s="253">
        <v>4</v>
      </c>
      <c r="W9" s="290">
        <f t="shared" si="2"/>
        <v>1.3582554517133957E-2</v>
      </c>
      <c r="X9" s="264">
        <f>+R9</f>
        <v>4320000</v>
      </c>
      <c r="Y9" s="265">
        <f>+W9*X9</f>
        <v>58676.635514018693</v>
      </c>
      <c r="AG9" s="253">
        <v>4</v>
      </c>
      <c r="AH9" s="290">
        <f t="shared" si="3"/>
        <v>3.1152647975077885E-3</v>
      </c>
      <c r="AI9" s="264">
        <f>+X9</f>
        <v>4320000</v>
      </c>
      <c r="AJ9" s="292">
        <f t="shared" si="4"/>
        <v>13457.943925233647</v>
      </c>
      <c r="AO9" s="326" t="s">
        <v>571</v>
      </c>
      <c r="AP9" s="336">
        <v>68500</v>
      </c>
      <c r="AQ9" s="336"/>
      <c r="AR9" s="336">
        <v>68500</v>
      </c>
      <c r="AW9" s="370" t="s">
        <v>628</v>
      </c>
      <c r="AX9" s="375">
        <f>+AX7+AX8</f>
        <v>107663.55140186916</v>
      </c>
      <c r="AY9" s="375">
        <f t="shared" ref="AY9:BB9" si="11">+AY7+AY8</f>
        <v>121121.49532710281</v>
      </c>
      <c r="AZ9" s="375">
        <f t="shared" si="11"/>
        <v>134579.43925233645</v>
      </c>
      <c r="BA9" s="375">
        <f t="shared" si="11"/>
        <v>134579.43925233645</v>
      </c>
      <c r="BB9" s="375">
        <f t="shared" si="11"/>
        <v>145829.43925233645</v>
      </c>
      <c r="BF9" s="174" t="s">
        <v>102</v>
      </c>
      <c r="BG9" s="167"/>
      <c r="BH9" s="167">
        <f t="shared" ref="BH9:BH10" si="12">-AX12</f>
        <v>-24000</v>
      </c>
      <c r="BI9" s="167">
        <f t="shared" si="10"/>
        <v>-24000</v>
      </c>
      <c r="BJ9" s="167">
        <f t="shared" si="10"/>
        <v>-24000</v>
      </c>
      <c r="BK9" s="167">
        <f t="shared" si="10"/>
        <v>-24000</v>
      </c>
      <c r="BL9" s="167">
        <f t="shared" si="10"/>
        <v>-24000</v>
      </c>
      <c r="BP9" s="355">
        <v>3</v>
      </c>
      <c r="BQ9" s="260">
        <f>+BJ19</f>
        <v>33181.401869158879</v>
      </c>
      <c r="BR9" s="392">
        <v>0.71199999999999997</v>
      </c>
      <c r="BS9" s="167">
        <f t="shared" si="9"/>
        <v>23625.158130841122</v>
      </c>
    </row>
    <row r="10" spans="1:74" x14ac:dyDescent="0.3">
      <c r="A10" s="404" t="s">
        <v>602</v>
      </c>
      <c r="B10" s="19"/>
      <c r="C10" s="2"/>
      <c r="D10" s="484" t="s">
        <v>484</v>
      </c>
      <c r="E10" s="484"/>
      <c r="F10" s="484"/>
      <c r="G10" s="484"/>
      <c r="H10" s="484"/>
      <c r="M10" s="207">
        <v>5</v>
      </c>
      <c r="N10" s="254">
        <f>+E30</f>
        <v>12000</v>
      </c>
      <c r="O10" s="259">
        <f>+G18</f>
        <v>12000</v>
      </c>
      <c r="P10" s="254">
        <f>+$F$39</f>
        <v>15000</v>
      </c>
      <c r="Q10" s="298">
        <v>0.8</v>
      </c>
      <c r="R10" s="261">
        <f t="shared" si="1"/>
        <v>4320000</v>
      </c>
      <c r="V10" s="253">
        <v>5</v>
      </c>
      <c r="W10" s="290">
        <f t="shared" si="2"/>
        <v>1.3582554517133957E-2</v>
      </c>
      <c r="X10" s="264">
        <f>+R10</f>
        <v>4320000</v>
      </c>
      <c r="Y10" s="265">
        <f>+W10*X10</f>
        <v>58676.635514018693</v>
      </c>
      <c r="AG10" s="253">
        <v>5</v>
      </c>
      <c r="AH10" s="290">
        <f t="shared" si="3"/>
        <v>3.1152647975077885E-3</v>
      </c>
      <c r="AI10" s="264">
        <f>+X10</f>
        <v>4320000</v>
      </c>
      <c r="AJ10" s="292">
        <f t="shared" si="4"/>
        <v>13457.943925233647</v>
      </c>
      <c r="AO10" s="327" t="s">
        <v>572</v>
      </c>
      <c r="AP10" s="283">
        <v>15000</v>
      </c>
      <c r="AQ10" s="283">
        <v>15000</v>
      </c>
      <c r="AR10" s="283"/>
      <c r="AW10" s="492" t="s">
        <v>177</v>
      </c>
      <c r="AX10" s="493"/>
      <c r="AY10" s="493"/>
      <c r="AZ10" s="493"/>
      <c r="BA10" s="493"/>
      <c r="BB10" s="494"/>
      <c r="BF10" s="174" t="s">
        <v>627</v>
      </c>
      <c r="BG10" s="167"/>
      <c r="BH10" s="167">
        <f t="shared" si="12"/>
        <v>-10766.355140186917</v>
      </c>
      <c r="BI10" s="167">
        <f t="shared" si="10"/>
        <v>-12112.149532710282</v>
      </c>
      <c r="BJ10" s="167">
        <f t="shared" si="10"/>
        <v>-13457.943925233647</v>
      </c>
      <c r="BK10" s="167">
        <f t="shared" si="10"/>
        <v>-13457.943925233647</v>
      </c>
      <c r="BL10" s="167">
        <f t="shared" si="10"/>
        <v>-13457.943925233647</v>
      </c>
      <c r="BP10" s="355">
        <v>4</v>
      </c>
      <c r="BQ10" s="260">
        <f>+BK19</f>
        <v>33181.401869158879</v>
      </c>
      <c r="BR10" s="392">
        <v>0.63600000000000001</v>
      </c>
      <c r="BS10" s="167">
        <f t="shared" si="9"/>
        <v>21103.371588785049</v>
      </c>
    </row>
    <row r="11" spans="1:74" x14ac:dyDescent="0.3">
      <c r="A11" s="405"/>
      <c r="B11" s="19"/>
      <c r="C11" s="2"/>
      <c r="AG11" s="291" t="s">
        <v>200</v>
      </c>
      <c r="AH11" s="291"/>
      <c r="AI11" s="291"/>
      <c r="AJ11" s="293">
        <f>SUM(AJ6:AJ10)</f>
        <v>63252.336448598136</v>
      </c>
      <c r="AO11" s="324" t="s">
        <v>573</v>
      </c>
      <c r="AP11" s="337">
        <f>SUM(AP7:AP10)</f>
        <v>115750</v>
      </c>
      <c r="AQ11" s="337">
        <f t="shared" ref="AQ11:AR11" si="13">SUM(AQ7:AQ10)</f>
        <v>26250</v>
      </c>
      <c r="AR11" s="337">
        <f t="shared" si="13"/>
        <v>89500</v>
      </c>
      <c r="AW11" s="174" t="s">
        <v>90</v>
      </c>
      <c r="AX11" s="167">
        <f>+Y6</f>
        <v>46941.308411214959</v>
      </c>
      <c r="AY11" s="167">
        <f>+Y7</f>
        <v>52808.971962616823</v>
      </c>
      <c r="AZ11" s="167">
        <f>+Y8</f>
        <v>58676.635514018693</v>
      </c>
      <c r="BA11" s="167">
        <f>+Y9</f>
        <v>58676.635514018693</v>
      </c>
      <c r="BB11" s="167">
        <f>+Y10</f>
        <v>58676.635514018693</v>
      </c>
      <c r="BF11" s="174" t="s">
        <v>445</v>
      </c>
      <c r="BG11" s="167"/>
      <c r="BH11" s="167">
        <f>-AX18</f>
        <v>-1516.7663551401827</v>
      </c>
      <c r="BI11" s="167">
        <f t="shared" ref="BI11:BL11" si="14">-AY18</f>
        <v>-3390.1121495327125</v>
      </c>
      <c r="BJ11" s="167">
        <f t="shared" si="14"/>
        <v>-5263.4579439252338</v>
      </c>
      <c r="BK11" s="167">
        <f t="shared" si="14"/>
        <v>-5263.4579439252338</v>
      </c>
      <c r="BL11" s="167">
        <f t="shared" si="14"/>
        <v>-8638.4579439252338</v>
      </c>
      <c r="BP11" s="355">
        <v>5</v>
      </c>
      <c r="BQ11" s="260">
        <f>+BL19</f>
        <v>53285.401869158879</v>
      </c>
      <c r="BR11" s="392">
        <v>0.56699999999999995</v>
      </c>
      <c r="BS11" s="329">
        <f t="shared" si="9"/>
        <v>30212.822859813081</v>
      </c>
    </row>
    <row r="12" spans="1:74" x14ac:dyDescent="0.3">
      <c r="A12" s="405"/>
      <c r="B12" s="19"/>
      <c r="C12" s="2"/>
      <c r="D12" s="496" t="s">
        <v>428</v>
      </c>
      <c r="E12" s="284" t="s">
        <v>574</v>
      </c>
      <c r="F12" s="284" t="s">
        <v>575</v>
      </c>
      <c r="G12" s="284" t="s">
        <v>576</v>
      </c>
      <c r="H12" s="284" t="s">
        <v>577</v>
      </c>
      <c r="AO12" s="509" t="s">
        <v>582</v>
      </c>
      <c r="AP12" s="507"/>
      <c r="AQ12" s="507"/>
      <c r="AR12" s="508"/>
      <c r="AW12" s="174" t="s">
        <v>102</v>
      </c>
      <c r="AX12" s="167">
        <f>+$AB$22</f>
        <v>24000</v>
      </c>
      <c r="AY12" s="167">
        <f t="shared" ref="AY12:BB12" si="15">+$AB$22</f>
        <v>24000</v>
      </c>
      <c r="AZ12" s="167">
        <f t="shared" si="15"/>
        <v>24000</v>
      </c>
      <c r="BA12" s="167">
        <f t="shared" si="15"/>
        <v>24000</v>
      </c>
      <c r="BB12" s="167">
        <f t="shared" si="15"/>
        <v>24000</v>
      </c>
      <c r="BF12" s="371" t="s">
        <v>497</v>
      </c>
      <c r="BG12" s="383"/>
      <c r="BH12" s="383"/>
      <c r="BI12" s="383"/>
      <c r="BJ12" s="383"/>
      <c r="BK12" s="383"/>
      <c r="BL12" s="383"/>
      <c r="BP12" s="393" t="s">
        <v>14</v>
      </c>
      <c r="BQ12" s="394"/>
      <c r="BR12" s="394"/>
      <c r="BS12" s="395">
        <f>SUM(BS6:BS11)</f>
        <v>-8251.7333644859973</v>
      </c>
    </row>
    <row r="13" spans="1:74" x14ac:dyDescent="0.3">
      <c r="A13" s="405"/>
      <c r="B13" s="19"/>
      <c r="C13" s="2"/>
      <c r="D13" s="497"/>
      <c r="E13" s="285" t="s">
        <v>578</v>
      </c>
      <c r="F13" s="285" t="s">
        <v>579</v>
      </c>
      <c r="G13" s="285" t="s">
        <v>580</v>
      </c>
      <c r="H13" s="285" t="s">
        <v>581</v>
      </c>
      <c r="M13" s="434" t="s">
        <v>504</v>
      </c>
      <c r="N13" s="434"/>
      <c r="O13" s="434"/>
      <c r="P13" s="434"/>
      <c r="Q13" s="434"/>
      <c r="V13" s="434" t="s">
        <v>535</v>
      </c>
      <c r="W13" s="434"/>
      <c r="X13" s="434"/>
      <c r="Y13" s="434"/>
      <c r="Z13" s="434"/>
      <c r="AA13" s="434"/>
      <c r="AB13" s="434"/>
      <c r="AO13" s="328" t="s">
        <v>584</v>
      </c>
      <c r="AP13" s="338">
        <v>6583</v>
      </c>
      <c r="AQ13" s="339">
        <v>6583</v>
      </c>
      <c r="AR13" s="339"/>
      <c r="AW13" s="174" t="s">
        <v>627</v>
      </c>
      <c r="AX13" s="167">
        <f>+AJ6</f>
        <v>10766.355140186917</v>
      </c>
      <c r="AY13" s="167">
        <f>+AJ7</f>
        <v>12112.149532710282</v>
      </c>
      <c r="AZ13" s="167">
        <f>+AJ8</f>
        <v>13457.943925233647</v>
      </c>
      <c r="BA13" s="167">
        <f>+AJ9</f>
        <v>13457.943925233647</v>
      </c>
      <c r="BB13" s="167">
        <f>+AJ10</f>
        <v>13457.943925233647</v>
      </c>
      <c r="BF13" s="174" t="s">
        <v>4</v>
      </c>
      <c r="BG13" s="167">
        <f>-AP7</f>
        <v>-11250</v>
      </c>
      <c r="BH13" s="167"/>
      <c r="BI13" s="167"/>
      <c r="BJ13" s="167"/>
      <c r="BK13" s="167"/>
      <c r="BL13" s="167"/>
    </row>
    <row r="14" spans="1:74" x14ac:dyDescent="0.3">
      <c r="A14" s="405"/>
      <c r="B14" s="19"/>
      <c r="C14" s="2"/>
      <c r="D14" s="313">
        <v>1</v>
      </c>
      <c r="E14" s="321">
        <v>12000</v>
      </c>
      <c r="F14" s="322">
        <v>0.8</v>
      </c>
      <c r="G14" s="314">
        <f>+E14*F14</f>
        <v>9600</v>
      </c>
      <c r="H14" s="323">
        <v>0.1</v>
      </c>
      <c r="M14" s="484" t="s">
        <v>505</v>
      </c>
      <c r="N14" s="484"/>
      <c r="O14" s="484"/>
      <c r="P14" s="484"/>
      <c r="Q14" s="484"/>
      <c r="V14" s="484" t="s">
        <v>524</v>
      </c>
      <c r="W14" s="484"/>
      <c r="X14" s="484"/>
      <c r="Y14" s="484"/>
      <c r="Z14" s="484"/>
      <c r="AG14" s="434" t="s">
        <v>607</v>
      </c>
      <c r="AH14" s="434"/>
      <c r="AI14" s="434"/>
      <c r="AJ14" s="434"/>
      <c r="AK14" s="434"/>
      <c r="AO14" s="326" t="s">
        <v>585</v>
      </c>
      <c r="AP14" s="340">
        <v>4000</v>
      </c>
      <c r="AQ14" s="340">
        <v>4000</v>
      </c>
      <c r="AR14" s="340"/>
      <c r="AW14" s="174" t="s">
        <v>80</v>
      </c>
      <c r="AX14" s="167">
        <f>($AP$8+$AP$9)/5</f>
        <v>17900</v>
      </c>
      <c r="AY14" s="167">
        <f t="shared" ref="AY14:BB14" si="16">($AP$8+$AP$9)/5</f>
        <v>17900</v>
      </c>
      <c r="AZ14" s="167">
        <f t="shared" si="16"/>
        <v>17900</v>
      </c>
      <c r="BA14" s="167">
        <f t="shared" si="16"/>
        <v>17900</v>
      </c>
      <c r="BB14" s="167">
        <f t="shared" si="16"/>
        <v>17900</v>
      </c>
      <c r="BF14" s="174" t="s">
        <v>639</v>
      </c>
      <c r="BG14" s="167">
        <f t="shared" ref="BG14:BG16" si="17">-AP8</f>
        <v>-21000</v>
      </c>
      <c r="BH14" s="167"/>
      <c r="BI14" s="167"/>
      <c r="BJ14" s="167"/>
      <c r="BK14" s="167"/>
      <c r="BL14" s="167"/>
      <c r="BP14" s="397" t="s">
        <v>653</v>
      </c>
      <c r="BQ14" s="250">
        <v>0.12</v>
      </c>
    </row>
    <row r="15" spans="1:74" x14ac:dyDescent="0.3">
      <c r="A15" s="405"/>
      <c r="B15" s="19"/>
      <c r="C15" s="2"/>
      <c r="D15" s="207">
        <v>2</v>
      </c>
      <c r="E15" s="297">
        <v>12000</v>
      </c>
      <c r="F15" s="298">
        <v>0.9</v>
      </c>
      <c r="G15" s="254">
        <f t="shared" ref="G15:G18" si="18">+E15*F15</f>
        <v>10800</v>
      </c>
      <c r="H15" s="299">
        <v>0.1</v>
      </c>
      <c r="Z15" s="504" t="s">
        <v>533</v>
      </c>
      <c r="AA15" s="504"/>
      <c r="AG15" s="484" t="s">
        <v>550</v>
      </c>
      <c r="AH15" s="484"/>
      <c r="AI15" s="484"/>
      <c r="AJ15" s="484"/>
      <c r="AO15" s="327" t="s">
        <v>586</v>
      </c>
      <c r="AP15" s="341">
        <v>1646</v>
      </c>
      <c r="AQ15" s="341">
        <v>1646</v>
      </c>
      <c r="AR15" s="341"/>
      <c r="AW15" s="174" t="s">
        <v>444</v>
      </c>
      <c r="AX15" s="167">
        <f>+$AP$10/5</f>
        <v>3000</v>
      </c>
      <c r="AY15" s="167">
        <f t="shared" ref="AY15:BB15" si="19">+$AP$10/5</f>
        <v>3000</v>
      </c>
      <c r="AZ15" s="167">
        <f t="shared" si="19"/>
        <v>3000</v>
      </c>
      <c r="BA15" s="167">
        <f t="shared" si="19"/>
        <v>3000</v>
      </c>
      <c r="BB15" s="167">
        <f t="shared" si="19"/>
        <v>3000</v>
      </c>
      <c r="BF15" s="174" t="s">
        <v>640</v>
      </c>
      <c r="BG15" s="167">
        <f t="shared" si="17"/>
        <v>-68500</v>
      </c>
      <c r="BH15" s="167"/>
      <c r="BI15" s="167"/>
      <c r="BJ15" s="167"/>
      <c r="BK15" s="167"/>
      <c r="BL15" s="167"/>
      <c r="BP15" s="249" t="s">
        <v>654</v>
      </c>
      <c r="BQ15" s="398">
        <f>+BS12</f>
        <v>-8251.7333644859973</v>
      </c>
      <c r="BR15" s="206" t="str">
        <f>IF(BQ15&lt;0,"&lt; 0","&gt; 0")</f>
        <v>&lt; 0</v>
      </c>
      <c r="BS15" t="str">
        <f>IF(BQ15&lt;0, "Entonces se rechaza el proyecto","Entonces se acepta el proyecto")</f>
        <v>Entonces se rechaza el proyecto</v>
      </c>
    </row>
    <row r="16" spans="1:74" ht="14.4" customHeight="1" x14ac:dyDescent="0.3">
      <c r="A16" s="405"/>
      <c r="B16" s="19"/>
      <c r="C16" s="2"/>
      <c r="D16" s="207">
        <v>3</v>
      </c>
      <c r="E16" s="297">
        <v>12000</v>
      </c>
      <c r="F16" s="298">
        <v>1</v>
      </c>
      <c r="G16" s="254">
        <f t="shared" si="18"/>
        <v>12000</v>
      </c>
      <c r="H16" s="299">
        <v>0.1</v>
      </c>
      <c r="N16" s="252" t="s">
        <v>506</v>
      </c>
      <c r="O16" s="252" t="s">
        <v>507</v>
      </c>
      <c r="P16" s="252" t="s">
        <v>517</v>
      </c>
      <c r="Q16" s="252" t="s">
        <v>508</v>
      </c>
      <c r="R16" s="252" t="s">
        <v>509</v>
      </c>
      <c r="V16" s="514" t="s">
        <v>525</v>
      </c>
      <c r="W16" s="515"/>
      <c r="X16" s="516"/>
      <c r="Y16" s="252" t="s">
        <v>530</v>
      </c>
      <c r="Z16" s="252" t="s">
        <v>531</v>
      </c>
      <c r="AA16" s="252" t="s">
        <v>532</v>
      </c>
      <c r="AB16" s="266" t="s">
        <v>534</v>
      </c>
      <c r="AO16" s="324" t="s">
        <v>583</v>
      </c>
      <c r="AP16" s="342">
        <f>SUM(AP13:AP15)</f>
        <v>12229</v>
      </c>
      <c r="AQ16" s="342">
        <f t="shared" ref="AQ16:AR16" si="20">SUM(AQ13:AQ15)</f>
        <v>12229</v>
      </c>
      <c r="AR16" s="342">
        <f t="shared" si="20"/>
        <v>0</v>
      </c>
      <c r="AW16" s="370" t="s">
        <v>629</v>
      </c>
      <c r="AX16" s="376">
        <f>+AX11+AX12+AX13+AX14+AX15</f>
        <v>102607.66355140189</v>
      </c>
      <c r="AY16" s="376">
        <f t="shared" ref="AY16:BB16" si="21">+AY11+AY12+AY13+AY14+AY15</f>
        <v>109821.1214953271</v>
      </c>
      <c r="AZ16" s="376">
        <f t="shared" si="21"/>
        <v>117034.57943925234</v>
      </c>
      <c r="BA16" s="376">
        <f t="shared" si="21"/>
        <v>117034.57943925234</v>
      </c>
      <c r="BB16" s="376">
        <f t="shared" si="21"/>
        <v>117034.57943925234</v>
      </c>
      <c r="BF16" s="174" t="s">
        <v>641</v>
      </c>
      <c r="BG16" s="167">
        <f t="shared" si="17"/>
        <v>-15000</v>
      </c>
      <c r="BH16" s="167"/>
      <c r="BI16" s="167"/>
      <c r="BJ16" s="167"/>
      <c r="BK16" s="167"/>
      <c r="BL16" s="167"/>
      <c r="BP16" s="249" t="s">
        <v>655</v>
      </c>
      <c r="BQ16" s="250">
        <f>IRR(BS6:BS11)</f>
        <v>-2.0957905999803628E-2</v>
      </c>
      <c r="BR16" s="206" t="s">
        <v>656</v>
      </c>
      <c r="BS16" t="str">
        <f>IF(BQ16&lt;12%, "Entonces el proyecto de inversión no es rentable","Entonces el proyecto de inversión es rentable")</f>
        <v>Entonces el proyecto de inversión no es rentable</v>
      </c>
    </row>
    <row r="17" spans="1:74" ht="14.4" customHeight="1" x14ac:dyDescent="0.3">
      <c r="A17" s="405"/>
      <c r="B17" s="19"/>
      <c r="C17" s="2"/>
      <c r="D17" s="207">
        <v>4</v>
      </c>
      <c r="E17" s="297">
        <v>12000</v>
      </c>
      <c r="F17" s="298">
        <v>1</v>
      </c>
      <c r="G17" s="254">
        <f t="shared" si="18"/>
        <v>12000</v>
      </c>
      <c r="H17" s="299">
        <v>0.1</v>
      </c>
      <c r="N17" s="302" t="s">
        <v>510</v>
      </c>
      <c r="O17" s="303">
        <v>25</v>
      </c>
      <c r="P17" s="304" t="s">
        <v>516</v>
      </c>
      <c r="Q17" s="308">
        <v>3.5000000000000001E-3</v>
      </c>
      <c r="R17" s="263">
        <f>+Q17/$F$7</f>
        <v>1.0903426791277258E-3</v>
      </c>
      <c r="S17" s="294"/>
      <c r="T17" s="296"/>
      <c r="V17" s="517" t="s">
        <v>526</v>
      </c>
      <c r="W17" s="517"/>
      <c r="X17" s="517"/>
      <c r="Y17" s="253">
        <v>1</v>
      </c>
      <c r="Z17" s="267">
        <v>200</v>
      </c>
      <c r="AA17" s="223">
        <f>+Y17*Z17</f>
        <v>200</v>
      </c>
      <c r="AB17" s="223">
        <f>+AA17*12</f>
        <v>2400</v>
      </c>
      <c r="AG17" s="510" t="s">
        <v>290</v>
      </c>
      <c r="AH17" s="511"/>
      <c r="AI17" s="511"/>
      <c r="AJ17" s="512"/>
      <c r="AK17" s="284" t="s">
        <v>564</v>
      </c>
      <c r="AO17" s="330" t="s">
        <v>14</v>
      </c>
      <c r="AP17" s="343">
        <f>+AP11+AP16</f>
        <v>127979</v>
      </c>
      <c r="AQ17" s="343">
        <f t="shared" ref="AQ17:AR17" si="22">+AQ11+AQ16</f>
        <v>38479</v>
      </c>
      <c r="AR17" s="344">
        <f t="shared" si="22"/>
        <v>89500</v>
      </c>
      <c r="AW17" s="174" t="s">
        <v>661</v>
      </c>
      <c r="AX17" s="167">
        <f>+AX9-AX16</f>
        <v>5055.8878504672757</v>
      </c>
      <c r="AY17" s="167">
        <f t="shared" ref="AY17:BB17" si="23">+AY9-AY16</f>
        <v>11300.373831775709</v>
      </c>
      <c r="AZ17" s="167">
        <f t="shared" si="23"/>
        <v>17544.859813084113</v>
      </c>
      <c r="BA17" s="167">
        <f t="shared" si="23"/>
        <v>17544.859813084113</v>
      </c>
      <c r="BB17" s="167">
        <f t="shared" si="23"/>
        <v>28794.859813084113</v>
      </c>
      <c r="BF17" s="174" t="s">
        <v>461</v>
      </c>
      <c r="BG17" s="167">
        <f>-AP16</f>
        <v>-12229</v>
      </c>
      <c r="BH17" s="167"/>
      <c r="BI17" s="167"/>
      <c r="BJ17" s="167"/>
      <c r="BK17" s="167"/>
      <c r="BL17" s="167"/>
    </row>
    <row r="18" spans="1:74" x14ac:dyDescent="0.3">
      <c r="A18" s="405"/>
      <c r="B18" s="19"/>
      <c r="C18" s="2"/>
      <c r="D18" s="207">
        <v>5</v>
      </c>
      <c r="E18" s="297">
        <v>12000</v>
      </c>
      <c r="F18" s="298">
        <v>1</v>
      </c>
      <c r="G18" s="254">
        <f t="shared" si="18"/>
        <v>12000</v>
      </c>
      <c r="H18" s="299">
        <v>0.1</v>
      </c>
      <c r="N18" s="305" t="s">
        <v>511</v>
      </c>
      <c r="O18" s="303">
        <v>5</v>
      </c>
      <c r="P18" s="304" t="s">
        <v>516</v>
      </c>
      <c r="Q18" s="308">
        <v>8.9999999999999993E-3</v>
      </c>
      <c r="R18" s="263">
        <f t="shared" ref="R18:R23" si="24">+Q18/$F$7</f>
        <v>2.8037383177570091E-3</v>
      </c>
      <c r="S18" s="294"/>
      <c r="T18" s="296"/>
      <c r="V18" s="517" t="s">
        <v>527</v>
      </c>
      <c r="W18" s="517"/>
      <c r="X18" s="517"/>
      <c r="Y18" s="253">
        <v>2</v>
      </c>
      <c r="Z18" s="267">
        <v>400</v>
      </c>
      <c r="AA18" s="223">
        <f t="shared" ref="AA18:AA21" si="25">+Y18*Z18</f>
        <v>800</v>
      </c>
      <c r="AB18" s="223">
        <f t="shared" ref="AB18:AB22" si="26">+AA18*12</f>
        <v>9600</v>
      </c>
      <c r="AG18" s="513" t="s">
        <v>551</v>
      </c>
      <c r="AH18" s="513"/>
      <c r="AI18" s="513"/>
      <c r="AJ18" s="513"/>
      <c r="AK18" s="292">
        <v>5000</v>
      </c>
      <c r="AO18" s="331" t="s">
        <v>587</v>
      </c>
      <c r="AP18" s="332">
        <v>1</v>
      </c>
      <c r="AQ18" s="332">
        <f>+AQ17/AP17</f>
        <v>0.30066651560021568</v>
      </c>
      <c r="AR18" s="333">
        <f>+AR17/AP17</f>
        <v>0.69933348439978438</v>
      </c>
      <c r="AW18" s="174" t="s">
        <v>445</v>
      </c>
      <c r="AX18" s="167">
        <f>+AX17*0.3</f>
        <v>1516.7663551401827</v>
      </c>
      <c r="AY18" s="167">
        <f t="shared" ref="AY18:BB18" si="27">+AY17*0.3</f>
        <v>3390.1121495327125</v>
      </c>
      <c r="AZ18" s="167">
        <f t="shared" si="27"/>
        <v>5263.4579439252338</v>
      </c>
      <c r="BA18" s="167">
        <f t="shared" si="27"/>
        <v>5263.4579439252338</v>
      </c>
      <c r="BB18" s="167">
        <f t="shared" si="27"/>
        <v>8638.4579439252338</v>
      </c>
      <c r="BF18" s="174" t="s">
        <v>642</v>
      </c>
      <c r="BG18" s="167"/>
      <c r="BH18" s="167"/>
      <c r="BI18" s="167"/>
      <c r="BJ18" s="167"/>
      <c r="BK18" s="167"/>
      <c r="BL18" s="167">
        <v>12229</v>
      </c>
    </row>
    <row r="19" spans="1:74" x14ac:dyDescent="0.3">
      <c r="A19" s="405"/>
      <c r="B19" s="19"/>
      <c r="C19" s="2"/>
      <c r="N19" s="305" t="s">
        <v>512</v>
      </c>
      <c r="O19" s="303">
        <v>2</v>
      </c>
      <c r="P19" s="304" t="s">
        <v>516</v>
      </c>
      <c r="Q19" s="308">
        <v>1.4E-2</v>
      </c>
      <c r="R19" s="263">
        <f t="shared" si="24"/>
        <v>4.3613707165109034E-3</v>
      </c>
      <c r="S19" s="294"/>
      <c r="T19" s="296"/>
      <c r="V19" s="517" t="s">
        <v>528</v>
      </c>
      <c r="W19" s="517"/>
      <c r="X19" s="517"/>
      <c r="Y19" s="253">
        <v>2</v>
      </c>
      <c r="Z19" s="267">
        <v>150</v>
      </c>
      <c r="AA19" s="223">
        <f t="shared" si="25"/>
        <v>300</v>
      </c>
      <c r="AB19" s="223">
        <f t="shared" si="26"/>
        <v>3600</v>
      </c>
      <c r="AG19" s="513" t="s">
        <v>552</v>
      </c>
      <c r="AH19" s="513"/>
      <c r="AI19" s="513"/>
      <c r="AJ19" s="513"/>
      <c r="AK19" s="292">
        <v>2500</v>
      </c>
      <c r="AW19" s="372" t="s">
        <v>630</v>
      </c>
      <c r="AX19" s="377">
        <f>+AX17-AX18</f>
        <v>3539.1214953270928</v>
      </c>
      <c r="AY19" s="377">
        <f t="shared" ref="AY19:BB19" si="28">+AY17-AY18</f>
        <v>7910.2616822429964</v>
      </c>
      <c r="AZ19" s="377">
        <f t="shared" si="28"/>
        <v>12281.401869158879</v>
      </c>
      <c r="BA19" s="377">
        <f t="shared" si="28"/>
        <v>12281.401869158879</v>
      </c>
      <c r="BB19" s="377">
        <f t="shared" si="28"/>
        <v>20156.401869158879</v>
      </c>
      <c r="BF19" s="382" t="s">
        <v>643</v>
      </c>
      <c r="BG19" s="384">
        <f>-(BG12-BG13-BG14-BG15-BG16-BG17+BG18)</f>
        <v>-127979</v>
      </c>
      <c r="BH19" s="384">
        <f>+BH6+BH7+BH8+BH9+BH10+BH11-BH13-BH14-BH15-BH16-BH17+BH18</f>
        <v>24439.121495327101</v>
      </c>
      <c r="BI19" s="384">
        <f>+BI6+BI7+BI8+BI9+BI10+BI11-BI13-BI14-BI15-BI16-BI17+BI18</f>
        <v>28810.261682242988</v>
      </c>
      <c r="BJ19" s="384">
        <f>+BJ6+BJ7+BJ8+BJ9+BJ10+BJ11-BJ13-BJ14-BJ15-BJ16-BJ17+BJ18</f>
        <v>33181.401869158879</v>
      </c>
      <c r="BK19" s="384">
        <f>+BK6+BK7+BK8+BK9+BK10+BK11-BK13-BK14-BK15-BK16-BK17+BK18</f>
        <v>33181.401869158879</v>
      </c>
      <c r="BL19" s="384">
        <f>+BL6+BL7+BL8+BL9+BL10+BL11-BL13-BL14-BL15-BL16-BL17+BL18</f>
        <v>53285.401869158879</v>
      </c>
    </row>
    <row r="20" spans="1:74" x14ac:dyDescent="0.3">
      <c r="A20" s="405"/>
      <c r="B20" s="19"/>
      <c r="C20" s="2"/>
      <c r="N20" s="305" t="s">
        <v>513</v>
      </c>
      <c r="O20" s="303">
        <v>3</v>
      </c>
      <c r="P20" s="304" t="s">
        <v>516</v>
      </c>
      <c r="Q20" s="308">
        <v>2.3E-3</v>
      </c>
      <c r="R20" s="263">
        <f t="shared" si="24"/>
        <v>7.1651090342679123E-4</v>
      </c>
      <c r="S20" s="294"/>
      <c r="T20" s="296"/>
      <c r="V20" s="517" t="s">
        <v>1</v>
      </c>
      <c r="W20" s="517"/>
      <c r="X20" s="517"/>
      <c r="Y20" s="253">
        <v>1</v>
      </c>
      <c r="Z20" s="267">
        <v>200</v>
      </c>
      <c r="AA20" s="223">
        <f t="shared" si="25"/>
        <v>200</v>
      </c>
      <c r="AB20" s="223">
        <f t="shared" si="26"/>
        <v>2400</v>
      </c>
      <c r="AG20" s="513" t="s">
        <v>553</v>
      </c>
      <c r="AH20" s="513"/>
      <c r="AI20" s="513"/>
      <c r="AJ20" s="513"/>
      <c r="AK20" s="292">
        <v>8000</v>
      </c>
      <c r="AO20" t="s">
        <v>588</v>
      </c>
      <c r="BP20" s="434" t="s">
        <v>481</v>
      </c>
      <c r="BQ20" s="434"/>
      <c r="BR20" s="434"/>
      <c r="BS20" s="434"/>
      <c r="BT20" s="434"/>
      <c r="BU20" s="434"/>
      <c r="BV20" s="434"/>
    </row>
    <row r="21" spans="1:74" ht="15" thickBot="1" x14ac:dyDescent="0.35">
      <c r="A21" s="405"/>
      <c r="B21" s="19"/>
      <c r="C21" s="2"/>
      <c r="D21" s="434" t="s">
        <v>500</v>
      </c>
      <c r="E21" s="434"/>
      <c r="F21" s="434"/>
      <c r="G21" s="434"/>
      <c r="H21" s="434"/>
      <c r="N21" s="305" t="s">
        <v>514</v>
      </c>
      <c r="O21" s="303">
        <v>2</v>
      </c>
      <c r="P21" s="304" t="s">
        <v>516</v>
      </c>
      <c r="Q21" s="308">
        <v>1.4E-2</v>
      </c>
      <c r="R21" s="263">
        <f t="shared" si="24"/>
        <v>4.3613707165109034E-3</v>
      </c>
      <c r="S21" s="294"/>
      <c r="T21" s="296"/>
      <c r="V21" s="518" t="s">
        <v>529</v>
      </c>
      <c r="W21" s="518"/>
      <c r="X21" s="518"/>
      <c r="Y21" s="271">
        <v>1</v>
      </c>
      <c r="Z21" s="272">
        <v>500</v>
      </c>
      <c r="AA21" s="273">
        <f t="shared" si="25"/>
        <v>500</v>
      </c>
      <c r="AB21" s="273">
        <f t="shared" si="26"/>
        <v>6000</v>
      </c>
      <c r="AG21" s="513" t="s">
        <v>554</v>
      </c>
      <c r="AH21" s="513"/>
      <c r="AI21" s="513"/>
      <c r="AJ21" s="513"/>
      <c r="AK21" s="292">
        <v>3000</v>
      </c>
      <c r="AP21" t="s">
        <v>433</v>
      </c>
      <c r="AR21" s="345">
        <v>89500</v>
      </c>
      <c r="BP21" s="484" t="s">
        <v>657</v>
      </c>
      <c r="BQ21" s="484"/>
      <c r="BR21" s="484"/>
      <c r="BS21" s="484"/>
    </row>
    <row r="22" spans="1:74" ht="15" thickBot="1" x14ac:dyDescent="0.35">
      <c r="A22" s="405"/>
      <c r="B22" s="19"/>
      <c r="C22" s="2"/>
      <c r="D22" s="484" t="s">
        <v>485</v>
      </c>
      <c r="E22" s="484"/>
      <c r="F22" s="484"/>
      <c r="G22" s="484"/>
      <c r="H22" s="484"/>
      <c r="N22" s="305" t="s">
        <v>515</v>
      </c>
      <c r="O22" s="303">
        <v>10</v>
      </c>
      <c r="P22" s="304" t="s">
        <v>516</v>
      </c>
      <c r="Q22" s="308">
        <v>8.0000000000000004E-4</v>
      </c>
      <c r="R22" s="263">
        <f t="shared" si="24"/>
        <v>2.4922118380062304E-4</v>
      </c>
      <c r="S22" s="294"/>
      <c r="T22" s="296"/>
      <c r="V22" s="274" t="s">
        <v>14</v>
      </c>
      <c r="W22" s="275"/>
      <c r="X22" s="276"/>
      <c r="Y22" s="277">
        <f>SUM(Y17:Y21)</f>
        <v>7</v>
      </c>
      <c r="Z22" s="275"/>
      <c r="AA22" s="278">
        <f>SUM(AA17:AA21)</f>
        <v>2000</v>
      </c>
      <c r="AB22" s="279">
        <f t="shared" si="26"/>
        <v>24000</v>
      </c>
      <c r="AG22" s="513" t="s">
        <v>555</v>
      </c>
      <c r="AH22" s="513"/>
      <c r="AI22" s="513"/>
      <c r="AJ22" s="513"/>
      <c r="AK22" s="292">
        <v>35000</v>
      </c>
      <c r="AP22" t="s">
        <v>589</v>
      </c>
      <c r="AR22" s="228" t="s">
        <v>438</v>
      </c>
    </row>
    <row r="23" spans="1:74" x14ac:dyDescent="0.3">
      <c r="A23" s="405"/>
      <c r="B23" s="19"/>
      <c r="C23" s="2"/>
      <c r="N23" s="305" t="s">
        <v>14</v>
      </c>
      <c r="O23" s="306">
        <f>SUM(O17:O22)</f>
        <v>47</v>
      </c>
      <c r="P23" s="307" t="s">
        <v>516</v>
      </c>
      <c r="Q23" s="309">
        <f>SUM(Q17:Q22)</f>
        <v>4.36E-2</v>
      </c>
      <c r="R23" s="263">
        <f t="shared" si="24"/>
        <v>1.3582554517133957E-2</v>
      </c>
      <c r="S23" s="294"/>
      <c r="T23" s="296"/>
      <c r="AG23" s="513" t="s">
        <v>6</v>
      </c>
      <c r="AH23" s="513"/>
      <c r="AI23" s="513"/>
      <c r="AJ23" s="513"/>
      <c r="AK23" s="292">
        <v>10000</v>
      </c>
      <c r="AP23" t="s">
        <v>435</v>
      </c>
      <c r="AR23" s="242">
        <v>0.1</v>
      </c>
      <c r="BF23" s="434" t="s">
        <v>644</v>
      </c>
      <c r="BG23" s="434"/>
      <c r="BH23" s="434"/>
      <c r="BI23" s="434"/>
      <c r="BJ23" s="434"/>
      <c r="BK23" s="434"/>
      <c r="BL23" s="434"/>
      <c r="BP23" s="485" t="s">
        <v>448</v>
      </c>
      <c r="BQ23" s="389" t="s">
        <v>658</v>
      </c>
      <c r="BR23" s="346" t="s">
        <v>651</v>
      </c>
      <c r="BS23" s="390" t="s">
        <v>472</v>
      </c>
    </row>
    <row r="24" spans="1:74" x14ac:dyDescent="0.3">
      <c r="A24" s="405"/>
      <c r="B24" s="19"/>
      <c r="C24" s="2"/>
      <c r="D24" s="496" t="s">
        <v>428</v>
      </c>
      <c r="E24" s="319" t="s">
        <v>305</v>
      </c>
      <c r="F24" s="319" t="s">
        <v>556</v>
      </c>
      <c r="G24" s="319" t="s">
        <v>12</v>
      </c>
      <c r="H24" s="319" t="s">
        <v>12</v>
      </c>
      <c r="I24" s="319" t="s">
        <v>486</v>
      </c>
      <c r="AG24" s="513" t="s">
        <v>562</v>
      </c>
      <c r="AH24" s="513"/>
      <c r="AI24" s="513"/>
      <c r="AJ24" s="513"/>
      <c r="AK24" s="292">
        <v>2000</v>
      </c>
      <c r="AP24" t="s">
        <v>590</v>
      </c>
      <c r="AR24" s="228">
        <v>5</v>
      </c>
      <c r="AW24" s="434" t="s">
        <v>631</v>
      </c>
      <c r="AX24" s="434"/>
      <c r="AY24" s="434"/>
      <c r="AZ24" s="434"/>
      <c r="BA24" s="434"/>
      <c r="BB24" s="434"/>
      <c r="BF24" s="484" t="s">
        <v>645</v>
      </c>
      <c r="BG24" s="484"/>
      <c r="BH24" s="484"/>
      <c r="BI24" s="484"/>
      <c r="BP24" s="486"/>
      <c r="BQ24" s="391" t="s">
        <v>560</v>
      </c>
      <c r="BR24" s="347" t="s">
        <v>650</v>
      </c>
      <c r="BS24" s="396" t="s">
        <v>652</v>
      </c>
    </row>
    <row r="25" spans="1:74" x14ac:dyDescent="0.3">
      <c r="A25" s="405"/>
      <c r="B25" s="19"/>
      <c r="C25" s="2"/>
      <c r="D25" s="497"/>
      <c r="E25" s="285" t="s">
        <v>557</v>
      </c>
      <c r="F25" s="285" t="s">
        <v>561</v>
      </c>
      <c r="G25" s="285" t="s">
        <v>558</v>
      </c>
      <c r="H25" s="285" t="s">
        <v>559</v>
      </c>
      <c r="I25" s="285" t="s">
        <v>560</v>
      </c>
      <c r="M25" t="s">
        <v>518</v>
      </c>
      <c r="N25" s="240"/>
      <c r="AG25" s="513" t="s">
        <v>563</v>
      </c>
      <c r="AH25" s="513"/>
      <c r="AI25" s="513"/>
      <c r="AJ25" s="513"/>
      <c r="AK25" s="292">
        <v>3000</v>
      </c>
      <c r="AP25" t="s">
        <v>437</v>
      </c>
      <c r="AR25" s="345">
        <v>23609.87</v>
      </c>
      <c r="AW25" s="484" t="s">
        <v>632</v>
      </c>
      <c r="AX25" s="484"/>
      <c r="AY25" s="484"/>
      <c r="AZ25" s="484"/>
      <c r="BP25" s="355">
        <v>0</v>
      </c>
      <c r="BQ25" s="260">
        <f>+BG32</f>
        <v>-38479</v>
      </c>
      <c r="BR25" s="392">
        <v>1</v>
      </c>
      <c r="BS25" s="167">
        <f>+BQ25*BR25</f>
        <v>-38479</v>
      </c>
    </row>
    <row r="26" spans="1:74" ht="15" customHeight="1" thickBot="1" x14ac:dyDescent="0.35">
      <c r="A26" s="406"/>
      <c r="B26" s="19"/>
      <c r="C26" s="2"/>
      <c r="D26" s="313">
        <v>1</v>
      </c>
      <c r="E26" s="314">
        <f t="shared" ref="E26:F30" si="29">+G14</f>
        <v>9600</v>
      </c>
      <c r="F26" s="315">
        <f t="shared" si="29"/>
        <v>0.1</v>
      </c>
      <c r="G26" s="316">
        <f>+E26*F26</f>
        <v>960</v>
      </c>
      <c r="H26" s="317">
        <f>+G26*$F$6</f>
        <v>345600</v>
      </c>
      <c r="I26" s="318">
        <f>+H26/$F$7</f>
        <v>107663.55140186916</v>
      </c>
      <c r="N26" s="240" t="s">
        <v>519</v>
      </c>
      <c r="V26" s="434" t="s">
        <v>536</v>
      </c>
      <c r="W26" s="434"/>
      <c r="X26" s="434"/>
      <c r="Y26" s="434"/>
      <c r="Z26" s="434"/>
      <c r="AA26" s="434"/>
      <c r="AB26" s="434"/>
      <c r="AG26" s="500" t="s">
        <v>14</v>
      </c>
      <c r="AH26" s="501"/>
      <c r="AI26" s="501"/>
      <c r="AJ26" s="502"/>
      <c r="AK26" s="320">
        <f>SUM(AK18:AK25)</f>
        <v>68500</v>
      </c>
      <c r="BF26" s="482" t="s">
        <v>172</v>
      </c>
      <c r="BG26" s="483" t="s">
        <v>448</v>
      </c>
      <c r="BH26" s="483"/>
      <c r="BI26" s="483"/>
      <c r="BJ26" s="483"/>
      <c r="BK26" s="483"/>
      <c r="BL26" s="483"/>
      <c r="BP26" s="355">
        <v>1</v>
      </c>
      <c r="BQ26" s="260">
        <f>+BH32</f>
        <v>2346.0178504672849</v>
      </c>
      <c r="BR26" s="392">
        <v>0.89300000000000002</v>
      </c>
      <c r="BS26" s="167">
        <f t="shared" ref="BS26:BS30" si="30">+BQ26*BR26</f>
        <v>2094.9939404672855</v>
      </c>
    </row>
    <row r="27" spans="1:74" x14ac:dyDescent="0.3">
      <c r="A27" s="120"/>
      <c r="B27" s="19"/>
      <c r="C27" s="2"/>
      <c r="D27" s="207">
        <v>2</v>
      </c>
      <c r="E27" s="254">
        <f t="shared" si="29"/>
        <v>10800</v>
      </c>
      <c r="F27" s="255">
        <f t="shared" si="29"/>
        <v>0.1</v>
      </c>
      <c r="G27" s="256">
        <f t="shared" ref="G27:G30" si="31">+E27*F27</f>
        <v>1080</v>
      </c>
      <c r="H27" s="251">
        <f t="shared" ref="H27:H30" si="32">+G27*$F$6</f>
        <v>388800</v>
      </c>
      <c r="I27" s="257">
        <f t="shared" ref="I27:I30" si="33">+H27/$F$7</f>
        <v>121121.49532710281</v>
      </c>
      <c r="N27" s="240" t="s">
        <v>520</v>
      </c>
      <c r="V27" s="484" t="s">
        <v>537</v>
      </c>
      <c r="W27" s="484"/>
      <c r="X27" s="484"/>
      <c r="Y27" s="484"/>
      <c r="Z27" s="484"/>
      <c r="AW27" s="487" t="s">
        <v>172</v>
      </c>
      <c r="AX27" s="488" t="s">
        <v>448</v>
      </c>
      <c r="AY27" s="488"/>
      <c r="AZ27" s="488"/>
      <c r="BA27" s="488"/>
      <c r="BB27" s="488"/>
      <c r="BF27" s="482"/>
      <c r="BG27" s="380">
        <v>0</v>
      </c>
      <c r="BH27" s="380">
        <v>1</v>
      </c>
      <c r="BI27" s="380">
        <v>2</v>
      </c>
      <c r="BJ27" s="380">
        <v>3</v>
      </c>
      <c r="BK27" s="380">
        <v>4</v>
      </c>
      <c r="BL27" s="380">
        <v>5</v>
      </c>
      <c r="BP27" s="355">
        <v>2</v>
      </c>
      <c r="BQ27" s="260">
        <f>+BI32</f>
        <v>7445.5955822429896</v>
      </c>
      <c r="BR27" s="392">
        <v>0.79700000000000004</v>
      </c>
      <c r="BS27" s="167">
        <f t="shared" si="30"/>
        <v>5934.1396790476629</v>
      </c>
    </row>
    <row r="28" spans="1:74" x14ac:dyDescent="0.3">
      <c r="A28" s="120"/>
      <c r="B28" s="19"/>
      <c r="C28" s="2"/>
      <c r="D28" s="207">
        <v>3</v>
      </c>
      <c r="E28" s="254">
        <f t="shared" si="29"/>
        <v>12000</v>
      </c>
      <c r="F28" s="255">
        <f t="shared" si="29"/>
        <v>0.1</v>
      </c>
      <c r="G28" s="256">
        <f t="shared" si="31"/>
        <v>1200</v>
      </c>
      <c r="H28" s="251">
        <f t="shared" si="32"/>
        <v>432000</v>
      </c>
      <c r="I28" s="257">
        <f t="shared" si="33"/>
        <v>134579.43925233645</v>
      </c>
      <c r="N28" s="240" t="s">
        <v>521</v>
      </c>
      <c r="Z28" s="284" t="s">
        <v>507</v>
      </c>
      <c r="AA28" s="284" t="s">
        <v>507</v>
      </c>
      <c r="AB28" s="498" t="s">
        <v>549</v>
      </c>
      <c r="AC28" s="498" t="s">
        <v>548</v>
      </c>
      <c r="AW28" s="487"/>
      <c r="AX28" s="369">
        <v>1</v>
      </c>
      <c r="AY28" s="369">
        <v>2</v>
      </c>
      <c r="AZ28" s="369">
        <v>3</v>
      </c>
      <c r="BA28" s="369">
        <v>4</v>
      </c>
      <c r="BB28" s="369">
        <v>5</v>
      </c>
      <c r="BF28" s="381" t="s">
        <v>643</v>
      </c>
      <c r="BG28" s="374">
        <f>+BG19</f>
        <v>-127979</v>
      </c>
      <c r="BH28" s="374">
        <f t="shared" ref="BH28:BL28" si="34">+BH19</f>
        <v>24439.121495327101</v>
      </c>
      <c r="BI28" s="374">
        <f t="shared" si="34"/>
        <v>28810.261682242988</v>
      </c>
      <c r="BJ28" s="374">
        <f t="shared" si="34"/>
        <v>33181.401869158879</v>
      </c>
      <c r="BK28" s="374">
        <f t="shared" si="34"/>
        <v>33181.401869158879</v>
      </c>
      <c r="BL28" s="374">
        <f t="shared" si="34"/>
        <v>53285.401869158879</v>
      </c>
      <c r="BP28" s="355">
        <v>3</v>
      </c>
      <c r="BQ28" s="260">
        <f>+BJ32</f>
        <v>11332.960059158881</v>
      </c>
      <c r="BR28" s="392">
        <v>0.71199999999999997</v>
      </c>
      <c r="BS28" s="167">
        <f t="shared" si="30"/>
        <v>8069.0675621211221</v>
      </c>
    </row>
    <row r="29" spans="1:74" x14ac:dyDescent="0.3">
      <c r="A29" s="120"/>
      <c r="B29" s="19"/>
      <c r="C29" s="2"/>
      <c r="D29" s="207">
        <v>4</v>
      </c>
      <c r="E29" s="254">
        <f t="shared" si="29"/>
        <v>12000</v>
      </c>
      <c r="F29" s="255">
        <f t="shared" si="29"/>
        <v>0.1</v>
      </c>
      <c r="G29" s="256">
        <f t="shared" si="31"/>
        <v>1200</v>
      </c>
      <c r="H29" s="251">
        <f t="shared" si="32"/>
        <v>432000</v>
      </c>
      <c r="I29" s="257">
        <f t="shared" si="33"/>
        <v>134579.43925233645</v>
      </c>
      <c r="V29" s="514" t="s">
        <v>538</v>
      </c>
      <c r="W29" s="515"/>
      <c r="X29" s="516"/>
      <c r="Y29" s="281" t="s">
        <v>542</v>
      </c>
      <c r="Z29" s="285" t="s">
        <v>546</v>
      </c>
      <c r="AA29" s="285" t="s">
        <v>406</v>
      </c>
      <c r="AB29" s="499"/>
      <c r="AC29" s="499"/>
      <c r="AW29" s="174" t="s">
        <v>633</v>
      </c>
      <c r="AX29" s="373">
        <f>+AX17</f>
        <v>5055.8878504672757</v>
      </c>
      <c r="AY29" s="373">
        <f t="shared" ref="AY29:BB29" si="35">+AY17</f>
        <v>11300.373831775709</v>
      </c>
      <c r="AZ29" s="373">
        <f t="shared" si="35"/>
        <v>17544.859813084113</v>
      </c>
      <c r="BA29" s="373">
        <f t="shared" si="35"/>
        <v>17544.859813084113</v>
      </c>
      <c r="BB29" s="373">
        <f t="shared" si="35"/>
        <v>28794.859813084113</v>
      </c>
      <c r="BF29" s="174" t="s">
        <v>646</v>
      </c>
      <c r="BG29" s="388"/>
      <c r="BH29" s="167">
        <f>-AR35</f>
        <v>-23609.87</v>
      </c>
      <c r="BI29" s="167">
        <f>-AR36</f>
        <v>-23609.87</v>
      </c>
      <c r="BJ29" s="167">
        <f>-AR37</f>
        <v>-23609.87</v>
      </c>
      <c r="BK29" s="167">
        <f>-AR38</f>
        <v>-23609.87</v>
      </c>
      <c r="BL29" s="167">
        <f>-AR39</f>
        <v>-23609.87</v>
      </c>
      <c r="BP29" s="355">
        <v>4</v>
      </c>
      <c r="BQ29" s="260">
        <f>+BK32</f>
        <v>10800.80677815888</v>
      </c>
      <c r="BR29" s="392">
        <v>0.63600000000000001</v>
      </c>
      <c r="BS29" s="167">
        <f t="shared" si="30"/>
        <v>6869.3131109090473</v>
      </c>
    </row>
    <row r="30" spans="1:74" x14ac:dyDescent="0.3">
      <c r="A30" s="120"/>
      <c r="B30" s="19"/>
      <c r="C30" s="2"/>
      <c r="D30" s="207">
        <v>5</v>
      </c>
      <c r="E30" s="254">
        <f t="shared" si="29"/>
        <v>12000</v>
      </c>
      <c r="F30" s="255">
        <f t="shared" si="29"/>
        <v>0.1</v>
      </c>
      <c r="G30" s="256">
        <f t="shared" si="31"/>
        <v>1200</v>
      </c>
      <c r="H30" s="251">
        <f t="shared" si="32"/>
        <v>432000</v>
      </c>
      <c r="I30" s="257">
        <f t="shared" si="33"/>
        <v>134579.43925233645</v>
      </c>
      <c r="V30" s="517" t="s">
        <v>539</v>
      </c>
      <c r="W30" s="517"/>
      <c r="X30" s="517"/>
      <c r="Y30" s="280" t="s">
        <v>543</v>
      </c>
      <c r="Z30" s="311">
        <v>500</v>
      </c>
      <c r="AA30" s="286">
        <f>+Z30*12</f>
        <v>6000</v>
      </c>
      <c r="AB30" s="310">
        <v>1.6000000000000001E-3</v>
      </c>
      <c r="AC30" s="287">
        <f>+AB30/$F$7</f>
        <v>4.9844236760124608E-4</v>
      </c>
      <c r="AO30" s="434" t="s">
        <v>609</v>
      </c>
      <c r="AP30" s="434"/>
      <c r="AQ30" s="434"/>
      <c r="AR30" s="434"/>
      <c r="AS30" s="434"/>
      <c r="AW30" s="174" t="s">
        <v>453</v>
      </c>
      <c r="AX30" s="222">
        <f>-AQ35</f>
        <v>-8950</v>
      </c>
      <c r="AY30" s="222">
        <f>-AQ36</f>
        <v>-7484.0130000000008</v>
      </c>
      <c r="AZ30" s="222">
        <f>-AQ37</f>
        <v>-5871.4273000000012</v>
      </c>
      <c r="BA30" s="222">
        <f>-AQ38</f>
        <v>-4097.5830300000007</v>
      </c>
      <c r="BB30" s="229">
        <f>-AQ39</f>
        <v>-2146.3543330000011</v>
      </c>
      <c r="BF30" s="174" t="s">
        <v>467</v>
      </c>
      <c r="BG30" s="388">
        <f>+AR21</f>
        <v>89500</v>
      </c>
      <c r="BH30" s="167"/>
      <c r="BI30" s="167"/>
      <c r="BJ30" s="167"/>
      <c r="BK30" s="167"/>
      <c r="BL30" s="167"/>
      <c r="BP30" s="355">
        <v>5</v>
      </c>
      <c r="BQ30" s="260">
        <f>+BL32</f>
        <v>30319.438169058882</v>
      </c>
      <c r="BR30" s="392">
        <v>1</v>
      </c>
      <c r="BS30" s="329">
        <f t="shared" si="30"/>
        <v>30319.438169058882</v>
      </c>
    </row>
    <row r="31" spans="1:74" x14ac:dyDescent="0.3">
      <c r="A31" s="120"/>
      <c r="B31" s="19"/>
      <c r="C31" s="2"/>
      <c r="V31" s="517" t="s">
        <v>540</v>
      </c>
      <c r="W31" s="517"/>
      <c r="X31" s="517"/>
      <c r="Y31" s="280" t="s">
        <v>544</v>
      </c>
      <c r="Z31" s="312">
        <v>20</v>
      </c>
      <c r="AA31" s="286">
        <f t="shared" ref="AA31:AA33" si="36">+Z31*12</f>
        <v>240</v>
      </c>
      <c r="AB31" s="310">
        <v>3.5999999999999999E-3</v>
      </c>
      <c r="AC31" s="287">
        <f t="shared" ref="AC31:AC33" si="37">+AB31/$F$7</f>
        <v>1.1214953271028037E-3</v>
      </c>
      <c r="AO31" s="484" t="s">
        <v>591</v>
      </c>
      <c r="AP31" s="484"/>
      <c r="AQ31" s="484"/>
      <c r="AR31" s="484"/>
      <c r="AW31" s="370" t="s">
        <v>192</v>
      </c>
      <c r="AX31" s="375">
        <f>+AX29+AX30</f>
        <v>-3894.1121495327243</v>
      </c>
      <c r="AY31" s="375">
        <f t="shared" ref="AY31:BB31" si="38">+AY29+AY30</f>
        <v>3816.360831775708</v>
      </c>
      <c r="AZ31" s="375">
        <f t="shared" si="38"/>
        <v>11673.432513084112</v>
      </c>
      <c r="BA31" s="375">
        <f t="shared" si="38"/>
        <v>13447.276783084111</v>
      </c>
      <c r="BB31" s="375">
        <f t="shared" si="38"/>
        <v>26648.50548008411</v>
      </c>
      <c r="BF31" s="231" t="s">
        <v>662</v>
      </c>
      <c r="BH31" s="167">
        <f>+AX39</f>
        <v>1516.7663551401827</v>
      </c>
      <c r="BI31" s="167">
        <f t="shared" ref="BI31:BL31" si="39">+AY39</f>
        <v>2245.2039000000004</v>
      </c>
      <c r="BJ31" s="167">
        <f t="shared" si="39"/>
        <v>1761.4281900000005</v>
      </c>
      <c r="BK31" s="167">
        <f t="shared" si="39"/>
        <v>1229.2749090000007</v>
      </c>
      <c r="BL31" s="167">
        <f t="shared" si="39"/>
        <v>643.90629990000161</v>
      </c>
      <c r="BP31" s="393" t="s">
        <v>14</v>
      </c>
      <c r="BQ31" s="394"/>
      <c r="BR31" s="394"/>
      <c r="BS31" s="395">
        <f>SUM(BS25:BS30)</f>
        <v>14807.952461604</v>
      </c>
    </row>
    <row r="32" spans="1:74" x14ac:dyDescent="0.3">
      <c r="A32" s="120"/>
      <c r="B32" s="19"/>
      <c r="C32" s="2"/>
      <c r="E32" s="248"/>
      <c r="V32" s="517" t="s">
        <v>541</v>
      </c>
      <c r="W32" s="517"/>
      <c r="X32" s="517"/>
      <c r="Y32" s="280" t="s">
        <v>544</v>
      </c>
      <c r="Z32" s="312">
        <v>5</v>
      </c>
      <c r="AA32" s="286">
        <f t="shared" si="36"/>
        <v>60</v>
      </c>
      <c r="AB32" s="310">
        <v>4.0000000000000001E-3</v>
      </c>
      <c r="AC32" s="287">
        <f t="shared" si="37"/>
        <v>1.2461059190031153E-3</v>
      </c>
      <c r="AW32" t="s">
        <v>445</v>
      </c>
      <c r="AX32">
        <v>0</v>
      </c>
      <c r="AY32" s="367">
        <f>+AY31*0.3</f>
        <v>1144.9082495327123</v>
      </c>
      <c r="AZ32" s="367">
        <f>+AZ31*0.3</f>
        <v>3502.0297539252333</v>
      </c>
      <c r="BA32" s="367">
        <f>+BA31*0.3</f>
        <v>4034.1830349252332</v>
      </c>
      <c r="BB32" s="367">
        <f>+BB31*0.3</f>
        <v>7994.5516440252322</v>
      </c>
      <c r="BF32" s="385" t="s">
        <v>647</v>
      </c>
      <c r="BG32" s="386">
        <f>+BG28+BG29+BG30+BG31</f>
        <v>-38479</v>
      </c>
      <c r="BH32" s="386">
        <f t="shared" ref="BH32:BL32" si="40">+BH28+BH29+BH30+BH31</f>
        <v>2346.0178504672849</v>
      </c>
      <c r="BI32" s="386">
        <f t="shared" si="40"/>
        <v>7445.5955822429896</v>
      </c>
      <c r="BJ32" s="386">
        <f t="shared" si="40"/>
        <v>11332.960059158881</v>
      </c>
      <c r="BK32" s="386">
        <f t="shared" si="40"/>
        <v>10800.80677815888</v>
      </c>
      <c r="BL32" s="387">
        <f t="shared" si="40"/>
        <v>30319.438169058882</v>
      </c>
    </row>
    <row r="33" spans="1:71" x14ac:dyDescent="0.3">
      <c r="A33" s="120"/>
      <c r="B33" s="19"/>
      <c r="C33" s="2"/>
      <c r="D33" s="434" t="s">
        <v>501</v>
      </c>
      <c r="E33" s="434"/>
      <c r="F33" s="434"/>
      <c r="G33" s="434"/>
      <c r="H33" s="434"/>
      <c r="V33" s="517" t="s">
        <v>515</v>
      </c>
      <c r="W33" s="517"/>
      <c r="X33" s="517"/>
      <c r="Y33" s="280" t="s">
        <v>545</v>
      </c>
      <c r="Z33" s="312">
        <v>10</v>
      </c>
      <c r="AA33" s="286">
        <f t="shared" si="36"/>
        <v>120</v>
      </c>
      <c r="AB33" s="310">
        <v>8.0000000000000004E-4</v>
      </c>
      <c r="AC33" s="287">
        <f t="shared" si="37"/>
        <v>2.4922118380062304E-4</v>
      </c>
      <c r="AO33" s="485" t="s">
        <v>428</v>
      </c>
      <c r="AP33" s="348" t="s">
        <v>592</v>
      </c>
      <c r="AQ33" s="348" t="s">
        <v>402</v>
      </c>
      <c r="AR33" s="348" t="s">
        <v>595</v>
      </c>
      <c r="AS33" s="348" t="s">
        <v>664</v>
      </c>
      <c r="AW33" s="370" t="s">
        <v>634</v>
      </c>
      <c r="AX33" s="375">
        <f>+AX31-AX32</f>
        <v>-3894.1121495327243</v>
      </c>
      <c r="AY33" s="375">
        <f t="shared" ref="AY33:BB33" si="41">+AY31-AY32</f>
        <v>2671.452582242996</v>
      </c>
      <c r="AZ33" s="375">
        <f t="shared" si="41"/>
        <v>8171.4027591588783</v>
      </c>
      <c r="BA33" s="375">
        <f t="shared" si="41"/>
        <v>9413.0937481588771</v>
      </c>
      <c r="BB33" s="375">
        <f t="shared" si="41"/>
        <v>18653.953836058878</v>
      </c>
      <c r="BP33" s="397" t="s">
        <v>653</v>
      </c>
      <c r="BQ33" s="250">
        <v>0.12</v>
      </c>
    </row>
    <row r="34" spans="1:71" x14ac:dyDescent="0.3">
      <c r="A34" s="120"/>
      <c r="B34" s="19"/>
      <c r="C34" s="2"/>
      <c r="D34" s="484" t="s">
        <v>493</v>
      </c>
      <c r="E34" s="484"/>
      <c r="F34" s="484"/>
      <c r="G34" s="484"/>
      <c r="H34" s="484"/>
      <c r="V34" s="268" t="s">
        <v>14</v>
      </c>
      <c r="W34" s="269"/>
      <c r="X34" s="269"/>
      <c r="Y34" s="269"/>
      <c r="Z34" s="269"/>
      <c r="AA34" s="270"/>
      <c r="AB34" s="289">
        <f>SUM(AB30:AB33)</f>
        <v>0.01</v>
      </c>
      <c r="AC34" s="288">
        <f>SUM(AC30:AC33)</f>
        <v>3.1152647975077885E-3</v>
      </c>
      <c r="AO34" s="486"/>
      <c r="AP34" s="349" t="s">
        <v>593</v>
      </c>
      <c r="AQ34" s="350" t="s">
        <v>594</v>
      </c>
      <c r="AR34" s="349" t="s">
        <v>596</v>
      </c>
      <c r="AS34" s="349" t="s">
        <v>593</v>
      </c>
      <c r="BP34" s="249" t="s">
        <v>659</v>
      </c>
      <c r="BQ34" s="398">
        <f>+BS31</f>
        <v>14807.952461604</v>
      </c>
      <c r="BR34" s="206" t="str">
        <f>IF(BQ34&lt;0,"&lt; 0","&gt; 0")</f>
        <v>&gt; 0</v>
      </c>
      <c r="BS34" t="str">
        <f>IF(BQ34&lt;0, "Entonces se rechaza el proyecto","Entonces se acepta el proyecto")</f>
        <v>Entonces se acepta el proyecto</v>
      </c>
    </row>
    <row r="35" spans="1:71" x14ac:dyDescent="0.3">
      <c r="A35" s="120"/>
      <c r="B35" s="19"/>
      <c r="C35" s="2"/>
      <c r="AO35" s="271">
        <v>1</v>
      </c>
      <c r="AP35" s="160">
        <f>+AR17</f>
        <v>89500</v>
      </c>
      <c r="AQ35" s="273">
        <f>+AP35*$AR$23</f>
        <v>8950</v>
      </c>
      <c r="AR35" s="220">
        <f>+$AR$25</f>
        <v>23609.87</v>
      </c>
      <c r="AS35" s="273">
        <f>+AR35-AQ35</f>
        <v>14659.869999999999</v>
      </c>
      <c r="AW35" s="482" t="s">
        <v>468</v>
      </c>
      <c r="AX35" s="483" t="s">
        <v>448</v>
      </c>
      <c r="AY35" s="483"/>
      <c r="AZ35" s="483"/>
      <c r="BA35" s="483"/>
      <c r="BB35" s="483"/>
      <c r="BP35" s="249" t="s">
        <v>660</v>
      </c>
      <c r="BQ35" s="250">
        <f>IRR(BS25:BS30)</f>
        <v>8.4503362237192459E-2</v>
      </c>
      <c r="BR35" s="206" t="s">
        <v>656</v>
      </c>
      <c r="BS35" t="str">
        <f>IF(BQ35&lt;12%, "Entonces el proyecto de inversión no es rentable","Entonces el proyecto de inversión es rentable")</f>
        <v>Entonces el proyecto de inversión no es rentable</v>
      </c>
    </row>
    <row r="36" spans="1:71" x14ac:dyDescent="0.3">
      <c r="A36" s="120"/>
      <c r="B36" s="19"/>
      <c r="C36" s="2"/>
      <c r="D36" s="2"/>
      <c r="E36" s="284" t="s">
        <v>597</v>
      </c>
      <c r="F36" s="284" t="s">
        <v>598</v>
      </c>
      <c r="G36" s="284" t="s">
        <v>599</v>
      </c>
      <c r="AO36" s="355">
        <v>2</v>
      </c>
      <c r="AP36" s="220">
        <f>+AP35-AS35</f>
        <v>74840.13</v>
      </c>
      <c r="AQ36" s="229">
        <f>+AP36*$AR$23</f>
        <v>7484.0130000000008</v>
      </c>
      <c r="AR36" s="220">
        <f t="shared" ref="AR36:AR39" si="42">+$AR$25</f>
        <v>23609.87</v>
      </c>
      <c r="AS36" s="229">
        <f t="shared" ref="AS36:AS40" si="43">+AR36-AQ36</f>
        <v>16125.856999999998</v>
      </c>
      <c r="AW36" s="482"/>
      <c r="AX36" s="380">
        <v>1</v>
      </c>
      <c r="AY36" s="380">
        <v>2</v>
      </c>
      <c r="AZ36" s="380">
        <v>3</v>
      </c>
      <c r="BA36" s="380">
        <v>4</v>
      </c>
      <c r="BB36" s="380">
        <v>5</v>
      </c>
    </row>
    <row r="37" spans="1:71" x14ac:dyDescent="0.3">
      <c r="A37" s="120"/>
      <c r="B37" s="19"/>
      <c r="C37" s="2"/>
      <c r="D37" s="2"/>
      <c r="E37" s="285" t="s">
        <v>600</v>
      </c>
      <c r="F37" s="285" t="s">
        <v>601</v>
      </c>
      <c r="G37" s="285" t="s">
        <v>560</v>
      </c>
      <c r="AO37" s="355">
        <v>3</v>
      </c>
      <c r="AP37" s="220">
        <f t="shared" ref="AP37:AP40" si="44">+AP36-AS36</f>
        <v>58714.273000000008</v>
      </c>
      <c r="AQ37" s="229">
        <f t="shared" ref="AQ37:AQ39" si="45">+AP37*$AR$23</f>
        <v>5871.4273000000012</v>
      </c>
      <c r="AR37" s="220">
        <f t="shared" si="42"/>
        <v>23609.87</v>
      </c>
      <c r="AS37" s="229">
        <f t="shared" si="43"/>
        <v>17738.4427</v>
      </c>
      <c r="AW37" s="378" t="s">
        <v>446</v>
      </c>
      <c r="AX37" s="262">
        <f>+AX18</f>
        <v>1516.7663551401827</v>
      </c>
      <c r="AY37" s="379">
        <f t="shared" ref="AY37:BB37" si="46">+AY18</f>
        <v>3390.1121495327125</v>
      </c>
      <c r="AZ37" s="262">
        <f t="shared" si="46"/>
        <v>5263.4579439252338</v>
      </c>
      <c r="BA37" s="379">
        <f t="shared" si="46"/>
        <v>5263.4579439252338</v>
      </c>
      <c r="BB37" s="379">
        <f t="shared" si="46"/>
        <v>8638.4579439252338</v>
      </c>
      <c r="BP37" t="s">
        <v>663</v>
      </c>
    </row>
    <row r="38" spans="1:71" x14ac:dyDescent="0.3">
      <c r="A38" s="120"/>
      <c r="B38" s="19"/>
      <c r="C38" s="2"/>
      <c r="D38" s="2"/>
      <c r="E38" s="314" t="s">
        <v>494</v>
      </c>
      <c r="F38" s="321">
        <v>10000</v>
      </c>
      <c r="G38" s="351">
        <v>20000</v>
      </c>
      <c r="AO38" s="355">
        <v>4</v>
      </c>
      <c r="AP38" s="220">
        <f t="shared" si="44"/>
        <v>40975.830300000009</v>
      </c>
      <c r="AQ38" s="229">
        <f t="shared" si="45"/>
        <v>4097.5830300000007</v>
      </c>
      <c r="AR38" s="220">
        <f t="shared" si="42"/>
        <v>23609.87</v>
      </c>
      <c r="AS38" s="229">
        <f t="shared" si="43"/>
        <v>19512.286969999997</v>
      </c>
      <c r="AW38" s="313" t="s">
        <v>455</v>
      </c>
      <c r="AX38">
        <f>+AX32</f>
        <v>0</v>
      </c>
      <c r="AY38" s="231">
        <f t="shared" ref="AY38:BB38" si="47">+AY32</f>
        <v>1144.9082495327123</v>
      </c>
      <c r="AZ38">
        <f t="shared" si="47"/>
        <v>3502.0297539252333</v>
      </c>
      <c r="BA38" s="231">
        <f t="shared" si="47"/>
        <v>4034.1830349252332</v>
      </c>
      <c r="BB38" s="231">
        <f t="shared" si="47"/>
        <v>7994.5516440252322</v>
      </c>
    </row>
    <row r="39" spans="1:71" x14ac:dyDescent="0.3">
      <c r="A39" s="120"/>
      <c r="B39" s="19"/>
      <c r="C39" s="2"/>
      <c r="D39" s="2"/>
      <c r="E39" s="254" t="s">
        <v>495</v>
      </c>
      <c r="F39" s="297">
        <v>15000</v>
      </c>
      <c r="G39" s="301">
        <v>35000</v>
      </c>
      <c r="AO39" s="356">
        <v>5</v>
      </c>
      <c r="AP39" s="220">
        <f t="shared" si="44"/>
        <v>21463.543330000011</v>
      </c>
      <c r="AQ39" s="222">
        <f t="shared" si="45"/>
        <v>2146.3543330000011</v>
      </c>
      <c r="AR39" s="220">
        <f t="shared" si="42"/>
        <v>23609.87</v>
      </c>
      <c r="AS39" s="222">
        <f t="shared" si="43"/>
        <v>21463.515667</v>
      </c>
      <c r="AW39" s="20" t="s">
        <v>635</v>
      </c>
      <c r="AX39" s="368">
        <f>+AX37-AX38</f>
        <v>1516.7663551401827</v>
      </c>
      <c r="AY39" s="368">
        <f t="shared" ref="AY39:BB39" si="48">+AY37-AY38</f>
        <v>2245.2039000000004</v>
      </c>
      <c r="AZ39" s="368">
        <f t="shared" si="48"/>
        <v>1761.4281900000005</v>
      </c>
      <c r="BA39" s="368">
        <f t="shared" si="48"/>
        <v>1229.2749090000007</v>
      </c>
      <c r="BB39" s="368">
        <f t="shared" si="48"/>
        <v>643.90629990000161</v>
      </c>
    </row>
    <row r="40" spans="1:71" x14ac:dyDescent="0.3">
      <c r="A40" s="120"/>
      <c r="B40" s="19"/>
      <c r="C40" s="2"/>
      <c r="E40" s="254" t="s">
        <v>496</v>
      </c>
      <c r="F40" s="297">
        <v>20000</v>
      </c>
      <c r="G40" s="301">
        <v>60000</v>
      </c>
      <c r="AO40" s="352" t="s">
        <v>14</v>
      </c>
      <c r="AP40" s="353">
        <f t="shared" si="44"/>
        <v>2.7663000011671102E-2</v>
      </c>
      <c r="AQ40" s="353">
        <f>SUM(AQ35:AQ39)</f>
        <v>28549.377663000007</v>
      </c>
      <c r="AR40" s="353">
        <f>SUM(AR35:AR39)</f>
        <v>118049.34999999999</v>
      </c>
      <c r="AS40" s="354">
        <f t="shared" si="43"/>
        <v>89499.972336999985</v>
      </c>
    </row>
    <row r="41" spans="1:71" x14ac:dyDescent="0.3">
      <c r="A41" s="120"/>
      <c r="B41" s="19"/>
      <c r="C41" s="2"/>
    </row>
    <row r="42" spans="1:71" x14ac:dyDescent="0.3">
      <c r="A42" s="120"/>
      <c r="B42" s="19"/>
      <c r="C42" s="2"/>
      <c r="E42" s="258" t="s">
        <v>498</v>
      </c>
    </row>
    <row r="43" spans="1:71" x14ac:dyDescent="0.3">
      <c r="A43" s="120"/>
      <c r="B43" s="19"/>
      <c r="C43" s="2"/>
    </row>
    <row r="44" spans="1:71" x14ac:dyDescent="0.3">
      <c r="A44" s="120"/>
      <c r="B44" s="19"/>
      <c r="C44" s="2"/>
    </row>
    <row r="45" spans="1:71" x14ac:dyDescent="0.3">
      <c r="A45" s="120"/>
      <c r="B45" s="19"/>
      <c r="C45" s="2"/>
    </row>
    <row r="46" spans="1:71" x14ac:dyDescent="0.3">
      <c r="A46" s="120"/>
      <c r="B46" s="19"/>
      <c r="C46" s="2"/>
    </row>
    <row r="47" spans="1:71" x14ac:dyDescent="0.3">
      <c r="A47" s="120"/>
      <c r="B47" s="19"/>
      <c r="C47" s="2"/>
    </row>
    <row r="48" spans="1:71" x14ac:dyDescent="0.3">
      <c r="A48" s="120"/>
      <c r="B48" s="19"/>
      <c r="C48" s="2"/>
    </row>
    <row r="49" spans="1:3" x14ac:dyDescent="0.3">
      <c r="A49" s="120"/>
      <c r="B49" s="19"/>
      <c r="C49" s="2"/>
    </row>
    <row r="50" spans="1:3" x14ac:dyDescent="0.3">
      <c r="A50" s="120"/>
      <c r="B50" s="19"/>
      <c r="C50" s="2"/>
    </row>
    <row r="51" spans="1:3" x14ac:dyDescent="0.3">
      <c r="A51" s="120"/>
      <c r="B51" s="19"/>
      <c r="C51" s="2"/>
    </row>
    <row r="52" spans="1:3" x14ac:dyDescent="0.3">
      <c r="A52" s="120"/>
      <c r="B52" s="19"/>
      <c r="C52" s="2"/>
    </row>
    <row r="53" spans="1:3" x14ac:dyDescent="0.3">
      <c r="A53" s="120"/>
      <c r="B53" s="19"/>
      <c r="C53" s="2"/>
    </row>
    <row r="54" spans="1:3" x14ac:dyDescent="0.3">
      <c r="A54" s="120"/>
      <c r="B54" s="19"/>
      <c r="C54" s="2"/>
    </row>
    <row r="55" spans="1:3" x14ac:dyDescent="0.3">
      <c r="A55" s="120"/>
      <c r="B55" s="19"/>
      <c r="C55" s="2"/>
    </row>
    <row r="56" spans="1:3" x14ac:dyDescent="0.3">
      <c r="A56" s="120"/>
      <c r="B56" s="19"/>
      <c r="C56" s="2"/>
    </row>
    <row r="57" spans="1:3" x14ac:dyDescent="0.3">
      <c r="A57" s="120"/>
      <c r="B57" s="19"/>
      <c r="C57" s="2"/>
    </row>
    <row r="58" spans="1:3" x14ac:dyDescent="0.3">
      <c r="A58" s="120"/>
      <c r="B58" s="19"/>
      <c r="C58" s="2"/>
    </row>
    <row r="59" spans="1:3" x14ac:dyDescent="0.3">
      <c r="A59" s="120"/>
      <c r="B59" s="19"/>
      <c r="C59" s="2"/>
    </row>
    <row r="60" spans="1:3" x14ac:dyDescent="0.3">
      <c r="A60" s="120"/>
      <c r="B60" s="19"/>
      <c r="C60" s="2"/>
    </row>
    <row r="61" spans="1:3" x14ac:dyDescent="0.3">
      <c r="A61" s="120"/>
      <c r="B61" s="19"/>
      <c r="C61" s="2"/>
    </row>
    <row r="62" spans="1:3" x14ac:dyDescent="0.3">
      <c r="A62" s="120"/>
      <c r="B62" s="19"/>
      <c r="C62" s="2"/>
    </row>
    <row r="63" spans="1:3" x14ac:dyDescent="0.3">
      <c r="A63" s="120"/>
      <c r="B63" s="19"/>
      <c r="C63" s="2"/>
    </row>
    <row r="64" spans="1:3" x14ac:dyDescent="0.3">
      <c r="A64" s="120"/>
      <c r="B64" s="19"/>
      <c r="C64" s="2"/>
    </row>
    <row r="65" spans="1:3" x14ac:dyDescent="0.3">
      <c r="A65" s="120"/>
      <c r="B65" s="19"/>
      <c r="C65" s="2"/>
    </row>
    <row r="66" spans="1:3" x14ac:dyDescent="0.3">
      <c r="A66" s="120"/>
      <c r="B66" s="19"/>
      <c r="C66" s="2"/>
    </row>
    <row r="67" spans="1:3" x14ac:dyDescent="0.3">
      <c r="A67" s="120"/>
      <c r="B67" s="19"/>
      <c r="C67" s="2"/>
    </row>
    <row r="68" spans="1:3" x14ac:dyDescent="0.3">
      <c r="A68" s="120"/>
      <c r="B68" s="19"/>
      <c r="C68" s="2"/>
    </row>
    <row r="69" spans="1:3" x14ac:dyDescent="0.3">
      <c r="A69" s="120"/>
      <c r="B69" s="19"/>
      <c r="C69" s="2"/>
    </row>
    <row r="70" spans="1:3" x14ac:dyDescent="0.3">
      <c r="A70" s="120"/>
      <c r="B70" s="19"/>
      <c r="C70" s="2"/>
    </row>
    <row r="71" spans="1:3" x14ac:dyDescent="0.3">
      <c r="A71" s="120"/>
      <c r="B71" s="19"/>
      <c r="C71" s="2"/>
    </row>
    <row r="72" spans="1:3" x14ac:dyDescent="0.3">
      <c r="A72" s="120"/>
      <c r="B72" s="19"/>
      <c r="C72" s="2"/>
    </row>
    <row r="73" spans="1:3" x14ac:dyDescent="0.3">
      <c r="A73" s="120"/>
      <c r="B73" s="19"/>
      <c r="C73" s="2"/>
    </row>
    <row r="74" spans="1:3" x14ac:dyDescent="0.3">
      <c r="A74" s="120"/>
      <c r="B74" s="19"/>
      <c r="C74" s="2"/>
    </row>
    <row r="75" spans="1:3" x14ac:dyDescent="0.3">
      <c r="A75" s="120"/>
      <c r="B75" s="19"/>
      <c r="C75" s="2"/>
    </row>
    <row r="76" spans="1:3" x14ac:dyDescent="0.3">
      <c r="A76" s="120"/>
      <c r="B76" s="19"/>
      <c r="C76" s="2"/>
    </row>
    <row r="77" spans="1:3" x14ac:dyDescent="0.3">
      <c r="A77" s="120"/>
      <c r="B77" s="19"/>
      <c r="C77" s="2"/>
    </row>
    <row r="78" spans="1:3" x14ac:dyDescent="0.3">
      <c r="A78" s="120"/>
      <c r="B78" s="19"/>
      <c r="C78" s="2"/>
    </row>
    <row r="79" spans="1:3" x14ac:dyDescent="0.3">
      <c r="A79" s="120"/>
      <c r="B79" s="19"/>
      <c r="C79" s="2"/>
    </row>
    <row r="80" spans="1:3" x14ac:dyDescent="0.3">
      <c r="A80" s="120"/>
      <c r="B80" s="19"/>
      <c r="C80" s="2"/>
    </row>
    <row r="81" spans="1:3" x14ac:dyDescent="0.3">
      <c r="A81" s="120"/>
      <c r="B81" s="19"/>
      <c r="C81" s="2"/>
    </row>
    <row r="82" spans="1:3" x14ac:dyDescent="0.3">
      <c r="A82" s="120"/>
      <c r="B82" s="19"/>
      <c r="C82" s="2"/>
    </row>
    <row r="83" spans="1:3" x14ac:dyDescent="0.3">
      <c r="A83" s="120"/>
      <c r="B83" s="19"/>
      <c r="C83" s="2"/>
    </row>
    <row r="84" spans="1:3" x14ac:dyDescent="0.3">
      <c r="A84" s="120"/>
      <c r="B84" s="19"/>
      <c r="C84" s="2"/>
    </row>
    <row r="85" spans="1:3" x14ac:dyDescent="0.3">
      <c r="A85" s="120"/>
      <c r="B85" s="19"/>
      <c r="C85" s="2"/>
    </row>
    <row r="86" spans="1:3" x14ac:dyDescent="0.3">
      <c r="A86" s="120"/>
      <c r="B86" s="19"/>
      <c r="C86" s="2"/>
    </row>
    <row r="87" spans="1:3" x14ac:dyDescent="0.3">
      <c r="A87" s="120"/>
      <c r="B87" s="19"/>
      <c r="C87" s="2"/>
    </row>
    <row r="88" spans="1:3" x14ac:dyDescent="0.3">
      <c r="A88" s="120"/>
      <c r="B88" s="19"/>
      <c r="C88" s="2"/>
    </row>
    <row r="89" spans="1:3" x14ac:dyDescent="0.3">
      <c r="A89" s="120"/>
      <c r="B89" s="19"/>
      <c r="C89" s="2"/>
    </row>
    <row r="90" spans="1:3" x14ac:dyDescent="0.3">
      <c r="A90" s="120"/>
      <c r="B90" s="19"/>
      <c r="C90" s="2"/>
    </row>
    <row r="91" spans="1:3" x14ac:dyDescent="0.3">
      <c r="A91" s="120"/>
      <c r="B91" s="19"/>
      <c r="C91" s="2"/>
    </row>
    <row r="92" spans="1:3" x14ac:dyDescent="0.3">
      <c r="A92" s="120"/>
      <c r="B92" s="19"/>
      <c r="C92" s="2"/>
    </row>
    <row r="93" spans="1:3" x14ac:dyDescent="0.3">
      <c r="A93" s="120"/>
      <c r="B93" s="19"/>
      <c r="C93" s="2"/>
    </row>
    <row r="94" spans="1:3" x14ac:dyDescent="0.3">
      <c r="A94" s="120"/>
      <c r="B94" s="19"/>
      <c r="C94" s="2"/>
    </row>
    <row r="95" spans="1:3" x14ac:dyDescent="0.3">
      <c r="A95" s="120"/>
      <c r="B95" s="19"/>
      <c r="C95" s="2"/>
    </row>
    <row r="96" spans="1:3" x14ac:dyDescent="0.3">
      <c r="A96" s="120"/>
      <c r="B96" s="19"/>
      <c r="C96" s="2"/>
    </row>
    <row r="97" spans="1:3" x14ac:dyDescent="0.3">
      <c r="A97" s="120"/>
      <c r="B97" s="19"/>
      <c r="C97" s="2"/>
    </row>
    <row r="98" spans="1:3" x14ac:dyDescent="0.3">
      <c r="A98" s="120"/>
      <c r="B98" s="19"/>
      <c r="C98" s="2"/>
    </row>
    <row r="99" spans="1:3" x14ac:dyDescent="0.3">
      <c r="A99" s="120"/>
      <c r="B99" s="19"/>
      <c r="C99" s="2"/>
    </row>
    <row r="100" spans="1:3" x14ac:dyDescent="0.3">
      <c r="A100" s="120"/>
      <c r="B100" s="19"/>
      <c r="C100" s="2"/>
    </row>
  </sheetData>
  <mergeCells count="85">
    <mergeCell ref="A10:A26"/>
    <mergeCell ref="D9:H9"/>
    <mergeCell ref="D10:H10"/>
    <mergeCell ref="D21:H21"/>
    <mergeCell ref="D22:H22"/>
    <mergeCell ref="D12:D13"/>
    <mergeCell ref="D34:H34"/>
    <mergeCell ref="M1:Q1"/>
    <mergeCell ref="M2:Q2"/>
    <mergeCell ref="M13:Q13"/>
    <mergeCell ref="M14:Q14"/>
    <mergeCell ref="D33:H33"/>
    <mergeCell ref="V32:X32"/>
    <mergeCell ref="V33:X33"/>
    <mergeCell ref="V1:Y1"/>
    <mergeCell ref="V2:Y2"/>
    <mergeCell ref="Z15:AA15"/>
    <mergeCell ref="V13:AB13"/>
    <mergeCell ref="V26:AB26"/>
    <mergeCell ref="V27:Z27"/>
    <mergeCell ref="V16:X16"/>
    <mergeCell ref="V17:X17"/>
    <mergeCell ref="V18:X18"/>
    <mergeCell ref="V19:X19"/>
    <mergeCell ref="V20:X20"/>
    <mergeCell ref="V21:X21"/>
    <mergeCell ref="V14:Z14"/>
    <mergeCell ref="AB28:AB29"/>
    <mergeCell ref="AC28:AC29"/>
    <mergeCell ref="V29:X29"/>
    <mergeCell ref="V30:X30"/>
    <mergeCell ref="V31:X31"/>
    <mergeCell ref="D24:D25"/>
    <mergeCell ref="AG2:AJ2"/>
    <mergeCell ref="AG1:AK1"/>
    <mergeCell ref="AG14:AK14"/>
    <mergeCell ref="AG15:AJ15"/>
    <mergeCell ref="AG18:AJ18"/>
    <mergeCell ref="AG19:AJ19"/>
    <mergeCell ref="AG25:AJ25"/>
    <mergeCell ref="AG24:AJ24"/>
    <mergeCell ref="AG23:AJ23"/>
    <mergeCell ref="AG22:AJ22"/>
    <mergeCell ref="AG21:AJ21"/>
    <mergeCell ref="AG20:AJ20"/>
    <mergeCell ref="AO30:AS30"/>
    <mergeCell ref="AO31:AR31"/>
    <mergeCell ref="AO33:AO34"/>
    <mergeCell ref="D1:I2"/>
    <mergeCell ref="AW2:AZ2"/>
    <mergeCell ref="M4:M5"/>
    <mergeCell ref="AG4:AG5"/>
    <mergeCell ref="AH4:AH5"/>
    <mergeCell ref="AW4:AW5"/>
    <mergeCell ref="AG26:AJ26"/>
    <mergeCell ref="AO1:AS1"/>
    <mergeCell ref="AO2:AR2"/>
    <mergeCell ref="AQ4:AR4"/>
    <mergeCell ref="AO6:AR6"/>
    <mergeCell ref="AO12:AR12"/>
    <mergeCell ref="AG17:AJ17"/>
    <mergeCell ref="AW1:BB1"/>
    <mergeCell ref="AW6:BB6"/>
    <mergeCell ref="AW10:BB10"/>
    <mergeCell ref="AW24:BB24"/>
    <mergeCell ref="AW25:AZ25"/>
    <mergeCell ref="AW27:AW28"/>
    <mergeCell ref="AX27:BB27"/>
    <mergeCell ref="AW35:AW36"/>
    <mergeCell ref="AX35:BB35"/>
    <mergeCell ref="AX4:BB4"/>
    <mergeCell ref="BF26:BF27"/>
    <mergeCell ref="BG26:BL26"/>
    <mergeCell ref="BP1:BV1"/>
    <mergeCell ref="BP2:BS2"/>
    <mergeCell ref="BP4:BP5"/>
    <mergeCell ref="BP20:BV20"/>
    <mergeCell ref="BP21:BS21"/>
    <mergeCell ref="BP23:BP24"/>
    <mergeCell ref="BF1:BL1"/>
    <mergeCell ref="BF2:BI2"/>
    <mergeCell ref="BF4:BF5"/>
    <mergeCell ref="BG4:BL4"/>
    <mergeCell ref="BF23:BL23"/>
    <mergeCell ref="BF24:BI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workbookViewId="0">
      <pane xSplit="1" topLeftCell="B1" activePane="topRight" state="frozen"/>
      <selection pane="topRight" activeCell="L1" sqref="L1:P20"/>
    </sheetView>
  </sheetViews>
  <sheetFormatPr baseColWidth="10" defaultColWidth="8.88671875" defaultRowHeight="14.4" x14ac:dyDescent="0.3"/>
  <cols>
    <col min="1" max="1" width="10.109375" customWidth="1"/>
    <col min="2" max="2" width="0.5546875" customWidth="1"/>
    <col min="3" max="3" width="11.109375" bestFit="1" customWidth="1"/>
    <col min="4" max="4" width="11.109375" customWidth="1"/>
    <col min="5" max="5" width="5.6640625" customWidth="1"/>
    <col min="6" max="7" width="11.109375" customWidth="1"/>
    <col min="8" max="8" width="5.6640625" customWidth="1"/>
    <col min="9" max="10" width="11.109375" customWidth="1"/>
    <col min="13" max="13" width="2" bestFit="1" customWidth="1"/>
    <col min="14" max="14" width="27" customWidth="1"/>
    <col min="15" max="15" width="11.109375" bestFit="1" customWidth="1"/>
    <col min="18" max="18" width="21.33203125" customWidth="1"/>
    <col min="19" max="19" width="10.109375" bestFit="1" customWidth="1"/>
    <col min="20" max="20" width="16.44140625" bestFit="1" customWidth="1"/>
    <col min="21" max="21" width="10.109375" bestFit="1" customWidth="1"/>
    <col min="23" max="23" width="29.77734375" bestFit="1" customWidth="1"/>
    <col min="24" max="24" width="13.109375" bestFit="1" customWidth="1"/>
  </cols>
  <sheetData>
    <row r="1" spans="1:26" s="2" customFormat="1" ht="18" x14ac:dyDescent="0.35">
      <c r="A1" s="120"/>
      <c r="B1" s="19"/>
      <c r="C1" s="407" t="s">
        <v>0</v>
      </c>
      <c r="D1" s="407"/>
      <c r="E1" s="407"/>
      <c r="F1" s="407"/>
      <c r="G1" s="407"/>
      <c r="H1" s="407"/>
      <c r="I1" s="407"/>
      <c r="J1" s="407"/>
      <c r="L1" s="407" t="s">
        <v>28</v>
      </c>
      <c r="M1" s="407"/>
      <c r="N1" s="407"/>
      <c r="O1" s="407"/>
      <c r="P1" s="407"/>
      <c r="R1" s="407" t="s">
        <v>39</v>
      </c>
      <c r="S1" s="407"/>
      <c r="T1" s="407"/>
      <c r="U1" s="407"/>
      <c r="W1" s="407" t="s">
        <v>38</v>
      </c>
      <c r="X1" s="407"/>
      <c r="Y1" s="407"/>
      <c r="Z1" s="407"/>
    </row>
    <row r="2" spans="1:26" s="2" customFormat="1" x14ac:dyDescent="0.3">
      <c r="A2" s="121"/>
      <c r="B2" s="87"/>
      <c r="L2" s="409" t="s">
        <v>29</v>
      </c>
      <c r="M2" s="409"/>
      <c r="N2" s="409"/>
      <c r="O2" s="409"/>
      <c r="P2" s="409"/>
      <c r="R2" s="409" t="s">
        <v>30</v>
      </c>
      <c r="S2" s="409"/>
      <c r="T2" s="409"/>
      <c r="U2" s="409"/>
      <c r="W2" s="409" t="s">
        <v>40</v>
      </c>
      <c r="X2" s="409"/>
      <c r="Y2" s="409"/>
      <c r="Z2" s="409"/>
    </row>
    <row r="3" spans="1:26" s="2" customFormat="1" ht="16.2" x14ac:dyDescent="0.45">
      <c r="A3" s="121"/>
      <c r="B3" s="87"/>
      <c r="C3" s="5" t="s">
        <v>22</v>
      </c>
    </row>
    <row r="4" spans="1:26" s="2" customFormat="1" x14ac:dyDescent="0.3">
      <c r="A4" s="120"/>
      <c r="B4" s="19"/>
    </row>
    <row r="5" spans="1:26" s="2" customFormat="1" ht="16.2" thickBot="1" x14ac:dyDescent="0.35">
      <c r="A5" s="120"/>
      <c r="B5" s="19"/>
      <c r="C5" s="400" t="s">
        <v>1</v>
      </c>
      <c r="D5" s="400"/>
      <c r="F5" s="400" t="s">
        <v>2</v>
      </c>
      <c r="G5" s="400"/>
      <c r="I5" s="400" t="s">
        <v>3</v>
      </c>
      <c r="J5" s="400"/>
      <c r="M5" s="403" t="s">
        <v>16</v>
      </c>
      <c r="N5" s="403"/>
      <c r="O5" s="403"/>
      <c r="R5" s="401" t="s">
        <v>32</v>
      </c>
      <c r="S5" s="401"/>
      <c r="T5" s="410" t="s">
        <v>37</v>
      </c>
      <c r="U5" s="401"/>
      <c r="X5" s="29" t="s">
        <v>43</v>
      </c>
      <c r="Y5" s="30">
        <v>1968</v>
      </c>
      <c r="Z5" s="29">
        <v>1969</v>
      </c>
    </row>
    <row r="6" spans="1:26" s="2" customFormat="1" ht="15.6" x14ac:dyDescent="0.3">
      <c r="A6" s="120"/>
      <c r="B6" s="19"/>
      <c r="C6" s="6">
        <v>4000</v>
      </c>
      <c r="D6" s="7">
        <v>3600</v>
      </c>
      <c r="F6" s="6"/>
      <c r="G6" s="7"/>
      <c r="I6" s="6">
        <v>1800</v>
      </c>
      <c r="J6" s="7"/>
      <c r="M6" s="2" t="s">
        <v>15</v>
      </c>
      <c r="N6" s="12" t="s">
        <v>1</v>
      </c>
      <c r="O6" s="13">
        <f>+'caso de estudio 1'!C6</f>
        <v>4000</v>
      </c>
      <c r="R6" s="2" t="s">
        <v>1</v>
      </c>
      <c r="S6" s="17">
        <f>+O19</f>
        <v>8500</v>
      </c>
      <c r="T6" s="24" t="s">
        <v>8</v>
      </c>
      <c r="U6" s="17">
        <f>SUM(C43:D43)</f>
        <v>900</v>
      </c>
      <c r="W6" s="28" t="s">
        <v>41</v>
      </c>
      <c r="X6" s="37" t="s">
        <v>49</v>
      </c>
      <c r="Y6" s="34"/>
      <c r="Z6" s="31">
        <f>+S10/U10</f>
        <v>1.0404040404040404</v>
      </c>
    </row>
    <row r="7" spans="1:26" s="2" customFormat="1" x14ac:dyDescent="0.3">
      <c r="A7" s="120"/>
      <c r="B7" s="19"/>
      <c r="C7" s="6">
        <v>30000</v>
      </c>
      <c r="D7" s="8">
        <v>20000</v>
      </c>
      <c r="F7" s="6"/>
      <c r="G7" s="8"/>
      <c r="I7" s="6"/>
      <c r="J7" s="8"/>
      <c r="M7" s="2" t="s">
        <v>15</v>
      </c>
      <c r="N7" s="2" t="s">
        <v>13</v>
      </c>
      <c r="O7" s="17">
        <f>+'caso de estudio 1'!C7</f>
        <v>30000</v>
      </c>
      <c r="R7" s="2" t="s">
        <v>2</v>
      </c>
      <c r="S7" s="17">
        <f>SUM(F12:G12)</f>
        <v>0</v>
      </c>
      <c r="T7" s="24" t="s">
        <v>33</v>
      </c>
      <c r="U7" s="17">
        <f>SUM(F43:G43)</f>
        <v>4000</v>
      </c>
      <c r="W7" s="32" t="s">
        <v>42</v>
      </c>
      <c r="X7" s="38"/>
      <c r="Y7" s="35"/>
      <c r="Z7" s="33"/>
    </row>
    <row r="8" spans="1:26" s="2" customFormat="1" ht="15" thickBot="1" x14ac:dyDescent="0.35">
      <c r="A8" s="120"/>
      <c r="B8" s="19"/>
      <c r="C8" s="6"/>
      <c r="D8" s="8">
        <v>900</v>
      </c>
      <c r="F8" s="6"/>
      <c r="G8" s="8"/>
      <c r="I8" s="6"/>
      <c r="J8" s="8"/>
      <c r="O8" s="15"/>
      <c r="R8" s="2" t="s">
        <v>31</v>
      </c>
      <c r="S8" s="17">
        <f>SUM(I12:J12)</f>
        <v>1800</v>
      </c>
      <c r="T8" s="24" t="s">
        <v>34</v>
      </c>
      <c r="U8" s="17">
        <f>SUM(I43:J43)</f>
        <v>0</v>
      </c>
      <c r="X8" s="36"/>
      <c r="Y8" s="36"/>
      <c r="Z8" s="24"/>
    </row>
    <row r="9" spans="1:26" s="2" customFormat="1" ht="16.2" thickBot="1" x14ac:dyDescent="0.35">
      <c r="A9" s="120"/>
      <c r="B9" s="19"/>
      <c r="C9" s="6"/>
      <c r="D9" s="8">
        <v>1000</v>
      </c>
      <c r="F9" s="6"/>
      <c r="G9" s="8"/>
      <c r="I9" s="6"/>
      <c r="J9" s="8"/>
      <c r="M9" s="402" t="s">
        <v>26</v>
      </c>
      <c r="N9" s="402"/>
      <c r="O9" s="16">
        <f>SUM(O6:O8)</f>
        <v>34000</v>
      </c>
      <c r="S9" s="15"/>
      <c r="T9" s="24" t="s">
        <v>11</v>
      </c>
      <c r="U9" s="25">
        <f>SUM(C52:D52)</f>
        <v>5000</v>
      </c>
      <c r="W9" s="28" t="s">
        <v>44</v>
      </c>
      <c r="X9" s="39" t="s">
        <v>48</v>
      </c>
      <c r="Y9" s="36"/>
      <c r="Z9" s="31">
        <f>+U16/S19</f>
        <v>0.75187969924812026</v>
      </c>
    </row>
    <row r="10" spans="1:26" s="2" customFormat="1" x14ac:dyDescent="0.3">
      <c r="A10" s="404" t="s">
        <v>237</v>
      </c>
      <c r="B10" s="122"/>
      <c r="C10" s="6"/>
      <c r="D10" s="8"/>
      <c r="F10" s="6"/>
      <c r="G10" s="8"/>
      <c r="I10" s="6"/>
      <c r="J10" s="8"/>
      <c r="S10" s="22">
        <f>SUM(S6:S9)</f>
        <v>10300</v>
      </c>
      <c r="T10" s="24"/>
      <c r="U10" s="22">
        <f>SUM(U6:U9)</f>
        <v>9900</v>
      </c>
      <c r="W10" s="32" t="s">
        <v>45</v>
      </c>
      <c r="X10" s="38"/>
      <c r="Y10" s="35"/>
      <c r="Z10" s="33"/>
    </row>
    <row r="11" spans="1:26" s="2" customFormat="1" ht="16.2" thickBot="1" x14ac:dyDescent="0.35">
      <c r="A11" s="405"/>
      <c r="B11" s="122"/>
      <c r="C11" s="9"/>
      <c r="D11" s="10"/>
      <c r="F11" s="9"/>
      <c r="G11" s="10"/>
      <c r="I11" s="9"/>
      <c r="J11" s="10"/>
      <c r="M11" s="403" t="s">
        <v>17</v>
      </c>
      <c r="N11" s="403"/>
      <c r="O11" s="403"/>
      <c r="T11" s="24"/>
      <c r="X11" s="36"/>
      <c r="Y11" s="36"/>
      <c r="Z11" s="24"/>
    </row>
    <row r="12" spans="1:26" s="2" customFormat="1" ht="16.2" thickBot="1" x14ac:dyDescent="0.35">
      <c r="A12" s="405"/>
      <c r="B12" s="122"/>
      <c r="C12" s="11">
        <f>IF(SUM(C6:C11)&gt;SUM(D6:D11),SUM(C6:C11)-SUM(D6:D11),"")</f>
        <v>8500</v>
      </c>
      <c r="D12" s="11" t="str">
        <f>IF(SUM(D6:D11)&gt;SUM(C6:C11),SUM(D6:D11)-SUM(C6:C11),"")</f>
        <v/>
      </c>
      <c r="F12" s="11" t="str">
        <f>IF(SUM(F6:F11)&gt;SUM(G6:G11),SUM(F6:F11)-SUM(G6:G11),"")</f>
        <v/>
      </c>
      <c r="G12" s="11" t="str">
        <f>IF(SUM(G6:G11)&gt;SUM(F6:F11),SUM(G6:G11)-SUM(F6:F11),"")</f>
        <v/>
      </c>
      <c r="I12" s="11">
        <f>IF(SUM(I6:I11)&gt;SUM(J6:J11),SUM(I6:I11)-SUM(J6:J11),"")</f>
        <v>1800</v>
      </c>
      <c r="J12" s="11" t="str">
        <f>IF(SUM(J6:J11)&gt;SUM(I6:I11),SUM(J6:J11)-SUM(I6:I11),"")</f>
        <v/>
      </c>
      <c r="M12" s="2" t="s">
        <v>50</v>
      </c>
      <c r="N12" s="2" t="s">
        <v>18</v>
      </c>
      <c r="O12" s="17">
        <f>+'caso de estudio 1'!D6</f>
        <v>3600</v>
      </c>
      <c r="R12" s="2" t="s">
        <v>4</v>
      </c>
      <c r="S12" s="17">
        <f>SUM(C21:D21)</f>
        <v>10000</v>
      </c>
      <c r="T12" s="24"/>
      <c r="W12" s="28" t="s">
        <v>46</v>
      </c>
      <c r="X12" s="39" t="s">
        <v>47</v>
      </c>
      <c r="Y12" s="36"/>
      <c r="Z12" s="31" t="s">
        <v>50</v>
      </c>
    </row>
    <row r="13" spans="1:26" s="2" customFormat="1" ht="15.6" thickTop="1" thickBot="1" x14ac:dyDescent="0.35">
      <c r="A13" s="405"/>
      <c r="B13" s="122"/>
      <c r="M13" s="2" t="s">
        <v>50</v>
      </c>
      <c r="N13" s="2" t="s">
        <v>19</v>
      </c>
      <c r="O13" s="17">
        <f>+'caso de estudio 1'!D7</f>
        <v>20000</v>
      </c>
      <c r="R13" s="2" t="s">
        <v>5</v>
      </c>
      <c r="S13" s="17">
        <f>SUM(F21:G21)</f>
        <v>15000</v>
      </c>
      <c r="T13" s="410" t="s">
        <v>35</v>
      </c>
      <c r="U13" s="401"/>
      <c r="W13" s="32" t="s">
        <v>87</v>
      </c>
      <c r="X13" s="38"/>
      <c r="Y13" s="35"/>
      <c r="Z13" s="33"/>
    </row>
    <row r="14" spans="1:26" s="2" customFormat="1" ht="16.2" thickBot="1" x14ac:dyDescent="0.35">
      <c r="A14" s="405"/>
      <c r="B14" s="122"/>
      <c r="C14" s="400" t="s">
        <v>4</v>
      </c>
      <c r="D14" s="400"/>
      <c r="F14" s="400" t="s">
        <v>5</v>
      </c>
      <c r="G14" s="400"/>
      <c r="I14" s="400" t="s">
        <v>6</v>
      </c>
      <c r="J14" s="400"/>
      <c r="M14" s="2" t="s">
        <v>50</v>
      </c>
      <c r="N14" s="2" t="s">
        <v>20</v>
      </c>
      <c r="O14" s="17">
        <f>+'caso de estudio 1'!D8</f>
        <v>900</v>
      </c>
      <c r="R14" s="2" t="s">
        <v>6</v>
      </c>
      <c r="S14" s="17">
        <f>SUM(I21:J21)</f>
        <v>1000</v>
      </c>
      <c r="T14" s="24" t="s">
        <v>36</v>
      </c>
      <c r="U14" s="17">
        <f>SUM(C65:D65)</f>
        <v>30000</v>
      </c>
      <c r="X14" s="36"/>
      <c r="Y14" s="36"/>
      <c r="Z14" s="24"/>
    </row>
    <row r="15" spans="1:26" s="2" customFormat="1" ht="16.2" thickBot="1" x14ac:dyDescent="0.35">
      <c r="A15" s="405"/>
      <c r="B15" s="122"/>
      <c r="C15" s="6">
        <v>10000</v>
      </c>
      <c r="D15" s="7"/>
      <c r="F15" s="6">
        <v>15000</v>
      </c>
      <c r="G15" s="7"/>
      <c r="I15" s="6">
        <v>1000</v>
      </c>
      <c r="J15" s="7"/>
      <c r="M15" s="2" t="s">
        <v>50</v>
      </c>
      <c r="N15" s="2" t="s">
        <v>21</v>
      </c>
      <c r="O15" s="17">
        <f>+'caso de estudio 1'!D9</f>
        <v>1000</v>
      </c>
      <c r="R15" s="2" t="s">
        <v>7</v>
      </c>
      <c r="S15" s="17">
        <f>SUM(C30:D30)</f>
        <v>3600</v>
      </c>
      <c r="T15" s="24"/>
      <c r="U15" s="15"/>
      <c r="W15" s="28" t="s">
        <v>51</v>
      </c>
      <c r="X15" s="39" t="s">
        <v>53</v>
      </c>
      <c r="Y15" s="36"/>
      <c r="Z15" s="31" t="s">
        <v>50</v>
      </c>
    </row>
    <row r="16" spans="1:26" s="2" customFormat="1" ht="15" thickBot="1" x14ac:dyDescent="0.35">
      <c r="A16" s="405"/>
      <c r="B16" s="122"/>
      <c r="C16" s="6"/>
      <c r="D16" s="8"/>
      <c r="F16" s="6"/>
      <c r="G16" s="8"/>
      <c r="I16" s="6"/>
      <c r="J16" s="8"/>
      <c r="O16" s="15"/>
      <c r="S16" s="15"/>
      <c r="T16" s="24"/>
      <c r="U16" s="22">
        <f>SUM(U14:U15)</f>
        <v>30000</v>
      </c>
      <c r="W16" s="32" t="s">
        <v>52</v>
      </c>
      <c r="X16" s="38"/>
      <c r="Y16" s="35"/>
      <c r="Z16" s="33"/>
    </row>
    <row r="17" spans="1:21" s="2" customFormat="1" x14ac:dyDescent="0.3">
      <c r="A17" s="405"/>
      <c r="B17" s="122"/>
      <c r="C17" s="6"/>
      <c r="D17" s="8"/>
      <c r="F17" s="6"/>
      <c r="G17" s="8"/>
      <c r="I17" s="6"/>
      <c r="J17" s="8"/>
      <c r="M17" s="402" t="s">
        <v>27</v>
      </c>
      <c r="N17" s="402"/>
      <c r="O17" s="16">
        <f>SUM(O12:O16)</f>
        <v>25500</v>
      </c>
      <c r="S17" s="22">
        <f>SUM(S12:S16)</f>
        <v>29600</v>
      </c>
      <c r="T17" s="24"/>
    </row>
    <row r="18" spans="1:21" s="2" customFormat="1" x14ac:dyDescent="0.3">
      <c r="A18" s="405"/>
      <c r="B18" s="122"/>
      <c r="C18" s="6"/>
      <c r="D18" s="8"/>
      <c r="F18" s="6"/>
      <c r="G18" s="8"/>
      <c r="I18" s="6"/>
      <c r="J18" s="8"/>
      <c r="T18" s="24"/>
    </row>
    <row r="19" spans="1:21" s="2" customFormat="1" ht="16.2" thickBot="1" x14ac:dyDescent="0.35">
      <c r="A19" s="405"/>
      <c r="B19" s="122"/>
      <c r="C19" s="6"/>
      <c r="D19" s="8"/>
      <c r="F19" s="6"/>
      <c r="G19" s="8"/>
      <c r="I19" s="6"/>
      <c r="J19" s="8"/>
      <c r="M19" s="408" t="s">
        <v>25</v>
      </c>
      <c r="N19" s="408"/>
      <c r="O19" s="18">
        <f>+O9-O17</f>
        <v>8500</v>
      </c>
      <c r="R19" s="21"/>
      <c r="S19" s="23">
        <f>+S10+S17</f>
        <v>39900</v>
      </c>
      <c r="T19" s="21"/>
      <c r="U19" s="23">
        <f>+U10+U16</f>
        <v>39900</v>
      </c>
    </row>
    <row r="20" spans="1:21" s="2" customFormat="1" ht="15" thickBot="1" x14ac:dyDescent="0.35">
      <c r="A20" s="405"/>
      <c r="B20" s="122"/>
      <c r="C20" s="9"/>
      <c r="D20" s="10"/>
      <c r="F20" s="9"/>
      <c r="G20" s="10"/>
      <c r="I20" s="9"/>
      <c r="J20" s="10"/>
    </row>
    <row r="21" spans="1:21" s="2" customFormat="1" ht="15" thickBot="1" x14ac:dyDescent="0.35">
      <c r="A21" s="405"/>
      <c r="B21" s="122"/>
      <c r="C21" s="11">
        <f>IF(SUM(C15:C20)&gt;SUM(D15:D20),SUM(C15:C20)-SUM(D15:D20),"")</f>
        <v>10000</v>
      </c>
      <c r="D21" s="11" t="str">
        <f>IF(SUM(D15:D20)&gt;SUM(C15:C20),SUM(D15:D20)-SUM(C15:C20),"")</f>
        <v/>
      </c>
      <c r="F21" s="11">
        <f>IF(SUM(F15:F20)&gt;SUM(G15:G20),SUM(F15:F20)-SUM(G15:G20),"")</f>
        <v>15000</v>
      </c>
      <c r="G21" s="11" t="str">
        <f>IF(SUM(G15:G20)&gt;SUM(F15:F20),SUM(G15:G20)-SUM(F15:F20),"")</f>
        <v/>
      </c>
      <c r="I21" s="11">
        <f>IF(SUM(I15:I20)&gt;SUM(J15:J20),SUM(I15:I20)-SUM(J15:J20),"")</f>
        <v>1000</v>
      </c>
      <c r="J21" s="11" t="str">
        <f>IF(SUM(J15:J20)&gt;SUM(I15:I20),SUM(J15:J20)-SUM(I15:I20),"")</f>
        <v/>
      </c>
    </row>
    <row r="22" spans="1:21" s="2" customFormat="1" ht="15" thickTop="1" x14ac:dyDescent="0.3">
      <c r="A22" s="405"/>
      <c r="B22" s="122"/>
    </row>
    <row r="23" spans="1:21" s="2" customFormat="1" ht="16.2" thickBot="1" x14ac:dyDescent="0.35">
      <c r="A23" s="405"/>
      <c r="B23" s="122"/>
      <c r="C23" s="400" t="s">
        <v>7</v>
      </c>
      <c r="D23" s="400"/>
      <c r="F23" s="400"/>
      <c r="G23" s="400"/>
      <c r="I23" s="400"/>
      <c r="J23" s="400"/>
    </row>
    <row r="24" spans="1:21" s="2" customFormat="1" x14ac:dyDescent="0.3">
      <c r="A24" s="405"/>
      <c r="B24" s="122"/>
      <c r="C24" s="6">
        <v>3600</v>
      </c>
      <c r="D24" s="7"/>
      <c r="F24" s="6"/>
      <c r="G24" s="7"/>
      <c r="I24" s="6"/>
      <c r="J24" s="7"/>
    </row>
    <row r="25" spans="1:21" s="2" customFormat="1" x14ac:dyDescent="0.3">
      <c r="A25" s="405"/>
      <c r="B25" s="122"/>
      <c r="C25" s="6"/>
      <c r="D25" s="8"/>
      <c r="F25" s="6"/>
      <c r="G25" s="8"/>
      <c r="I25" s="6"/>
      <c r="J25" s="8"/>
    </row>
    <row r="26" spans="1:21" s="2" customFormat="1" ht="15" thickBot="1" x14ac:dyDescent="0.35">
      <c r="A26" s="406"/>
      <c r="B26" s="122"/>
      <c r="C26" s="6"/>
      <c r="D26" s="8"/>
      <c r="F26" s="6"/>
      <c r="G26" s="8"/>
      <c r="I26" s="6"/>
      <c r="J26" s="8"/>
    </row>
    <row r="27" spans="1:21" s="2" customFormat="1" x14ac:dyDescent="0.3">
      <c r="A27" s="120"/>
      <c r="B27" s="19"/>
      <c r="C27" s="6"/>
      <c r="D27" s="8"/>
      <c r="F27" s="6"/>
      <c r="G27" s="8"/>
      <c r="I27" s="6"/>
      <c r="J27" s="8"/>
    </row>
    <row r="28" spans="1:21" s="2" customFormat="1" x14ac:dyDescent="0.3">
      <c r="A28" s="120"/>
      <c r="B28" s="19"/>
      <c r="C28" s="6"/>
      <c r="D28" s="8"/>
      <c r="F28" s="6"/>
      <c r="G28" s="8"/>
      <c r="I28" s="6"/>
      <c r="J28" s="8"/>
    </row>
    <row r="29" spans="1:21" s="2" customFormat="1" ht="15" thickBot="1" x14ac:dyDescent="0.35">
      <c r="A29" s="120"/>
      <c r="B29" s="19"/>
      <c r="C29" s="9"/>
      <c r="D29" s="10"/>
      <c r="F29" s="9"/>
      <c r="G29" s="10"/>
      <c r="I29" s="9"/>
      <c r="J29" s="10"/>
    </row>
    <row r="30" spans="1:21" s="2" customFormat="1" ht="15" thickBot="1" x14ac:dyDescent="0.35">
      <c r="A30" s="120"/>
      <c r="B30" s="19"/>
      <c r="C30" s="11">
        <f>IF(SUM(C24:C29)&gt;SUM(D24:D29),SUM(C24:C29)-SUM(D24:D29),"")</f>
        <v>3600</v>
      </c>
      <c r="D30" s="11" t="str">
        <f>IF(SUM(D24:D29)&gt;SUM(C24:C29),SUM(D24:D29)-SUM(C24:C29),"")</f>
        <v/>
      </c>
      <c r="F30" s="11" t="str">
        <f>IF(SUM(F24:F29)&gt;SUM(G24:G29),SUM(F24:F29)-SUM(G24:G29),"")</f>
        <v/>
      </c>
      <c r="G30" s="11" t="str">
        <f>IF(SUM(G24:G29)&gt;SUM(F24:F29),SUM(G24:G29)-SUM(F24:F29),"")</f>
        <v/>
      </c>
      <c r="I30" s="11" t="str">
        <f>IF(SUM(I24:I29)&gt;SUM(J24:J29),SUM(I24:I29)-SUM(J24:J29),"")</f>
        <v/>
      </c>
      <c r="J30" s="11" t="str">
        <f>IF(SUM(J24:J29)&gt;SUM(I24:I29),SUM(J24:J29)-SUM(I24:I29),"")</f>
        <v/>
      </c>
    </row>
    <row r="31" spans="1:21" s="2" customFormat="1" ht="15" thickTop="1" x14ac:dyDescent="0.3">
      <c r="A31" s="120"/>
      <c r="B31" s="19"/>
    </row>
    <row r="32" spans="1:21" s="2" customFormat="1" x14ac:dyDescent="0.3">
      <c r="A32" s="120"/>
      <c r="B32" s="19"/>
    </row>
    <row r="33" spans="1:10" s="2" customFormat="1" x14ac:dyDescent="0.3">
      <c r="A33" s="120"/>
      <c r="B33" s="19"/>
    </row>
    <row r="34" spans="1:10" s="2" customFormat="1" ht="16.2" x14ac:dyDescent="0.45">
      <c r="A34" s="120"/>
      <c r="B34" s="19"/>
      <c r="C34" s="5" t="s">
        <v>23</v>
      </c>
    </row>
    <row r="35" spans="1:10" s="2" customFormat="1" x14ac:dyDescent="0.3">
      <c r="A35" s="120"/>
      <c r="B35" s="19"/>
    </row>
    <row r="36" spans="1:10" s="2" customFormat="1" ht="16.2" thickBot="1" x14ac:dyDescent="0.35">
      <c r="A36" s="120"/>
      <c r="B36" s="19"/>
      <c r="C36" s="400" t="s">
        <v>8</v>
      </c>
      <c r="D36" s="400"/>
      <c r="F36" s="400" t="s">
        <v>9</v>
      </c>
      <c r="G36" s="400"/>
      <c r="I36" s="401" t="s">
        <v>10</v>
      </c>
      <c r="J36" s="401"/>
    </row>
    <row r="37" spans="1:10" s="2" customFormat="1" x14ac:dyDescent="0.3">
      <c r="A37" s="120"/>
      <c r="B37" s="19"/>
      <c r="C37" s="6"/>
      <c r="D37" s="7">
        <v>900</v>
      </c>
      <c r="F37" s="6"/>
      <c r="G37" s="7">
        <v>4000</v>
      </c>
      <c r="I37" s="6"/>
      <c r="J37" s="7"/>
    </row>
    <row r="38" spans="1:10" s="2" customFormat="1" x14ac:dyDescent="0.3">
      <c r="A38" s="120"/>
      <c r="B38" s="19"/>
      <c r="C38" s="6"/>
      <c r="D38" s="8"/>
      <c r="F38" s="6"/>
      <c r="G38" s="8"/>
      <c r="I38" s="6"/>
      <c r="J38" s="8"/>
    </row>
    <row r="39" spans="1:10" s="2" customFormat="1" x14ac:dyDescent="0.3">
      <c r="A39" s="120"/>
      <c r="B39" s="19"/>
      <c r="C39" s="6"/>
      <c r="D39" s="8"/>
      <c r="F39" s="6"/>
      <c r="G39" s="8"/>
      <c r="I39" s="6"/>
      <c r="J39" s="8"/>
    </row>
    <row r="40" spans="1:10" s="2" customFormat="1" x14ac:dyDescent="0.3">
      <c r="A40" s="120"/>
      <c r="B40" s="19"/>
      <c r="C40" s="6"/>
      <c r="D40" s="8"/>
      <c r="F40" s="6"/>
      <c r="G40" s="8"/>
      <c r="I40" s="6"/>
      <c r="J40" s="8"/>
    </row>
    <row r="41" spans="1:10" s="2" customFormat="1" x14ac:dyDescent="0.3">
      <c r="A41" s="120"/>
      <c r="B41" s="19"/>
      <c r="C41" s="6"/>
      <c r="D41" s="8"/>
      <c r="F41" s="6"/>
      <c r="G41" s="8"/>
      <c r="I41" s="6"/>
      <c r="J41" s="8"/>
    </row>
    <row r="42" spans="1:10" s="2" customFormat="1" ht="15" thickBot="1" x14ac:dyDescent="0.35">
      <c r="A42" s="120"/>
      <c r="B42" s="19"/>
      <c r="C42" s="9"/>
      <c r="D42" s="10"/>
      <c r="F42" s="9"/>
      <c r="G42" s="10"/>
      <c r="I42" s="9"/>
      <c r="J42" s="10"/>
    </row>
    <row r="43" spans="1:10" s="2" customFormat="1" ht="15" thickBot="1" x14ac:dyDescent="0.35">
      <c r="A43" s="120"/>
      <c r="B43" s="19"/>
      <c r="C43" s="11" t="str">
        <f>IF(SUM(C37:C42)&gt;SUM(D37:D42),SUM(C37:C42)-SUM(D37:D42),"")</f>
        <v/>
      </c>
      <c r="D43" s="11">
        <f>IF(SUM(D37:D42)&gt;SUM(C37:C42),SUM(D37:D42)-SUM(C37:C42),"")</f>
        <v>900</v>
      </c>
      <c r="F43" s="11" t="str">
        <f>IF(SUM(F37:F42)&gt;SUM(G37:G42),SUM(F37:F42)-SUM(G37:G42),"")</f>
        <v/>
      </c>
      <c r="G43" s="11">
        <f>IF(SUM(G37:G42)&gt;SUM(F37:F42),SUM(G37:G42)-SUM(F37:F42),"")</f>
        <v>4000</v>
      </c>
      <c r="I43" s="11" t="str">
        <f>IF(SUM(I37:I42)&gt;SUM(J37:J42),SUM(I37:I42)-SUM(J37:J42),"")</f>
        <v/>
      </c>
      <c r="J43" s="11" t="str">
        <f>IF(SUM(J37:J42)&gt;SUM(I37:I42),SUM(J37:J42)-SUM(I37:I42),"")</f>
        <v/>
      </c>
    </row>
    <row r="44" spans="1:10" s="2" customFormat="1" ht="15" thickTop="1" x14ac:dyDescent="0.3">
      <c r="A44" s="120"/>
      <c r="B44" s="19"/>
    </row>
    <row r="45" spans="1:10" s="2" customFormat="1" ht="16.2" thickBot="1" x14ac:dyDescent="0.35">
      <c r="A45" s="120"/>
      <c r="B45" s="19"/>
      <c r="C45" s="400" t="s">
        <v>11</v>
      </c>
      <c r="D45" s="400"/>
      <c r="F45" s="400"/>
      <c r="G45" s="400"/>
      <c r="I45" s="400"/>
      <c r="J45" s="400"/>
    </row>
    <row r="46" spans="1:10" s="2" customFormat="1" x14ac:dyDescent="0.3">
      <c r="A46" s="120"/>
      <c r="B46" s="19"/>
      <c r="C46" s="6"/>
      <c r="D46" s="7">
        <v>5000</v>
      </c>
      <c r="F46" s="6"/>
      <c r="G46" s="7"/>
      <c r="I46" s="6"/>
      <c r="J46" s="7"/>
    </row>
    <row r="47" spans="1:10" s="2" customFormat="1" x14ac:dyDescent="0.3">
      <c r="A47" s="120"/>
      <c r="B47" s="19"/>
      <c r="C47" s="6"/>
      <c r="D47" s="8"/>
      <c r="F47" s="6"/>
      <c r="G47" s="8"/>
      <c r="I47" s="6"/>
      <c r="J47" s="8"/>
    </row>
    <row r="48" spans="1:10" s="2" customFormat="1" x14ac:dyDescent="0.3">
      <c r="A48" s="120"/>
      <c r="B48" s="19"/>
      <c r="C48" s="6"/>
      <c r="D48" s="8"/>
      <c r="F48" s="6"/>
      <c r="G48" s="8"/>
      <c r="I48" s="6"/>
      <c r="J48" s="8"/>
    </row>
    <row r="49" spans="1:10" s="2" customFormat="1" x14ac:dyDescent="0.3">
      <c r="A49" s="120"/>
      <c r="B49" s="19"/>
      <c r="C49" s="6"/>
      <c r="D49" s="8"/>
      <c r="F49" s="6"/>
      <c r="G49" s="8"/>
      <c r="I49" s="6"/>
      <c r="J49" s="8"/>
    </row>
    <row r="50" spans="1:10" s="2" customFormat="1" x14ac:dyDescent="0.3">
      <c r="A50" s="120"/>
      <c r="B50" s="19"/>
      <c r="C50" s="6"/>
      <c r="D50" s="8"/>
      <c r="F50" s="6"/>
      <c r="G50" s="8"/>
      <c r="I50" s="6"/>
      <c r="J50" s="8"/>
    </row>
    <row r="51" spans="1:10" s="2" customFormat="1" ht="15" thickBot="1" x14ac:dyDescent="0.35">
      <c r="A51" s="120"/>
      <c r="B51" s="19"/>
      <c r="C51" s="9"/>
      <c r="D51" s="10"/>
      <c r="F51" s="9"/>
      <c r="G51" s="10"/>
      <c r="I51" s="9"/>
      <c r="J51" s="10"/>
    </row>
    <row r="52" spans="1:10" s="2" customFormat="1" ht="15" thickBot="1" x14ac:dyDescent="0.35">
      <c r="A52" s="120"/>
      <c r="B52" s="19"/>
      <c r="C52" s="11" t="str">
        <f>IF(SUM(C46:C51)&gt;SUM(D46:D51),SUM(C46:C51)-SUM(D46:D51),"")</f>
        <v/>
      </c>
      <c r="D52" s="11">
        <f>IF(SUM(D46:D51)&gt;SUM(C46:C51),SUM(D46:D51)-SUM(C46:C51),"")</f>
        <v>5000</v>
      </c>
      <c r="F52" s="11" t="str">
        <f>IF(SUM(F46:F51)&gt;SUM(G46:G51),SUM(F46:F51)-SUM(G46:G51),"")</f>
        <v/>
      </c>
      <c r="G52" s="11" t="str">
        <f>IF(SUM(G46:G51)&gt;SUM(F46:F51),SUM(G46:G51)-SUM(F46:F51),"")</f>
        <v/>
      </c>
      <c r="I52" s="11" t="str">
        <f>IF(SUM(I46:I51)&gt;SUM(J46:J51),SUM(I46:I51)-SUM(J46:J51),"")</f>
        <v/>
      </c>
      <c r="J52" s="11" t="str">
        <f>IF(SUM(J46:J51)&gt;SUM(I46:I51),SUM(J46:J51)-SUM(I46:I51),"")</f>
        <v/>
      </c>
    </row>
    <row r="53" spans="1:10" s="2" customFormat="1" ht="15" thickTop="1" x14ac:dyDescent="0.3">
      <c r="A53" s="120"/>
      <c r="B53" s="19"/>
    </row>
    <row r="54" spans="1:10" s="2" customFormat="1" x14ac:dyDescent="0.3">
      <c r="A54" s="120"/>
      <c r="B54" s="19"/>
    </row>
    <row r="55" spans="1:10" s="2" customFormat="1" x14ac:dyDescent="0.3">
      <c r="A55" s="120"/>
      <c r="B55" s="19"/>
    </row>
    <row r="56" spans="1:10" s="2" customFormat="1" ht="16.2" x14ac:dyDescent="0.45">
      <c r="A56" s="120"/>
      <c r="B56" s="19"/>
      <c r="C56" s="5" t="s">
        <v>24</v>
      </c>
    </row>
    <row r="57" spans="1:10" s="2" customFormat="1" x14ac:dyDescent="0.3">
      <c r="A57" s="120"/>
      <c r="B57" s="19"/>
    </row>
    <row r="58" spans="1:10" s="2" customFormat="1" ht="16.2" thickBot="1" x14ac:dyDescent="0.35">
      <c r="A58" s="120"/>
      <c r="B58" s="19"/>
      <c r="C58" s="400" t="s">
        <v>8</v>
      </c>
      <c r="D58" s="400"/>
      <c r="F58" s="400"/>
      <c r="G58" s="400"/>
      <c r="I58" s="401"/>
      <c r="J58" s="401"/>
    </row>
    <row r="59" spans="1:10" s="2" customFormat="1" x14ac:dyDescent="0.3">
      <c r="A59" s="120"/>
      <c r="B59" s="19"/>
      <c r="C59" s="6"/>
      <c r="D59" s="7">
        <v>30000</v>
      </c>
      <c r="F59" s="6"/>
      <c r="G59" s="7"/>
      <c r="I59" s="6"/>
      <c r="J59" s="7"/>
    </row>
    <row r="60" spans="1:10" s="2" customFormat="1" x14ac:dyDescent="0.3">
      <c r="A60" s="120"/>
      <c r="B60" s="19"/>
      <c r="C60" s="6"/>
      <c r="D60" s="8"/>
      <c r="F60" s="6"/>
      <c r="G60" s="8"/>
      <c r="I60" s="6"/>
      <c r="J60" s="8"/>
    </row>
    <row r="61" spans="1:10" s="2" customFormat="1" x14ac:dyDescent="0.3">
      <c r="A61" s="120"/>
      <c r="B61" s="19"/>
      <c r="C61" s="6"/>
      <c r="D61" s="8"/>
      <c r="F61" s="6"/>
      <c r="G61" s="8"/>
      <c r="I61" s="6"/>
      <c r="J61" s="8"/>
    </row>
    <row r="62" spans="1:10" s="2" customFormat="1" x14ac:dyDescent="0.3">
      <c r="A62" s="120"/>
      <c r="B62" s="19"/>
      <c r="C62" s="6"/>
      <c r="D62" s="8"/>
      <c r="F62" s="6"/>
      <c r="G62" s="8"/>
      <c r="I62" s="6"/>
      <c r="J62" s="8"/>
    </row>
    <row r="63" spans="1:10" s="2" customFormat="1" x14ac:dyDescent="0.3">
      <c r="A63" s="120"/>
      <c r="B63" s="19"/>
      <c r="C63" s="6"/>
      <c r="D63" s="8"/>
      <c r="F63" s="6"/>
      <c r="G63" s="8"/>
      <c r="I63" s="6"/>
      <c r="J63" s="8"/>
    </row>
    <row r="64" spans="1:10" s="2" customFormat="1" ht="15" thickBot="1" x14ac:dyDescent="0.35">
      <c r="A64" s="120"/>
      <c r="B64" s="19"/>
      <c r="C64" s="9"/>
      <c r="D64" s="10"/>
      <c r="F64" s="9"/>
      <c r="G64" s="10"/>
      <c r="I64" s="9"/>
      <c r="J64" s="10"/>
    </row>
    <row r="65" spans="1:10" s="2" customFormat="1" ht="15" thickBot="1" x14ac:dyDescent="0.35">
      <c r="A65" s="120"/>
      <c r="B65" s="19"/>
      <c r="C65" s="11" t="str">
        <f>IF(SUM(C59:C64)&gt;SUM(D59:D64),SUM(C59:C64)-SUM(D59:D64),"")</f>
        <v/>
      </c>
      <c r="D65" s="11">
        <f>IF(SUM(D59:D64)&gt;SUM(C59:C64),SUM(D59:D64)-SUM(C59:C64),"")</f>
        <v>30000</v>
      </c>
      <c r="F65" s="11" t="str">
        <f>IF(SUM(F59:F64)&gt;SUM(G59:G64),SUM(F59:F64)-SUM(G59:G64),"")</f>
        <v/>
      </c>
      <c r="G65" s="11" t="str">
        <f>IF(SUM(G59:G64)&gt;SUM(F59:F64),SUM(G59:G64)-SUM(F59:F64),"")</f>
        <v/>
      </c>
      <c r="I65" s="11" t="str">
        <f>IF(SUM(I59:I64)&gt;SUM(J59:J64),SUM(I59:I64)-SUM(J59:J64),"")</f>
        <v/>
      </c>
      <c r="J65" s="11" t="str">
        <f>IF(SUM(J59:J64)&gt;SUM(I59:I64),SUM(J59:J64)-SUM(I59:I64),"")</f>
        <v/>
      </c>
    </row>
    <row r="66" spans="1:10" s="2" customFormat="1" ht="15" thickTop="1" x14ac:dyDescent="0.3">
      <c r="A66" s="120"/>
      <c r="B66" s="19"/>
    </row>
    <row r="67" spans="1:10" s="2" customFormat="1" ht="16.2" thickBot="1" x14ac:dyDescent="0.35">
      <c r="A67" s="120"/>
      <c r="B67" s="19"/>
      <c r="C67" s="400"/>
      <c r="D67" s="400"/>
      <c r="F67" s="400"/>
      <c r="G67" s="400"/>
      <c r="I67" s="400"/>
      <c r="J67" s="400"/>
    </row>
    <row r="68" spans="1:10" s="2" customFormat="1" x14ac:dyDescent="0.3">
      <c r="A68" s="120"/>
      <c r="B68" s="19"/>
      <c r="C68" s="6"/>
      <c r="D68" s="7"/>
      <c r="F68" s="6"/>
      <c r="G68" s="7"/>
      <c r="I68" s="6"/>
      <c r="J68" s="7"/>
    </row>
    <row r="69" spans="1:10" s="2" customFormat="1" x14ac:dyDescent="0.3">
      <c r="A69" s="120"/>
      <c r="B69" s="19"/>
      <c r="C69" s="6"/>
      <c r="D69" s="8"/>
      <c r="F69" s="6"/>
      <c r="G69" s="8"/>
      <c r="I69" s="6"/>
      <c r="J69" s="8"/>
    </row>
    <row r="70" spans="1:10" s="2" customFormat="1" x14ac:dyDescent="0.3">
      <c r="A70" s="120"/>
      <c r="B70" s="19"/>
      <c r="C70" s="6"/>
      <c r="D70" s="8"/>
      <c r="F70" s="6"/>
      <c r="G70" s="8"/>
      <c r="I70" s="6"/>
      <c r="J70" s="8"/>
    </row>
    <row r="71" spans="1:10" s="2" customFormat="1" x14ac:dyDescent="0.3">
      <c r="A71" s="120"/>
      <c r="B71" s="19"/>
      <c r="C71" s="6"/>
      <c r="D71" s="8"/>
      <c r="F71" s="6"/>
      <c r="G71" s="8"/>
      <c r="I71" s="6"/>
      <c r="J71" s="8"/>
    </row>
    <row r="72" spans="1:10" s="2" customFormat="1" x14ac:dyDescent="0.3">
      <c r="A72" s="120"/>
      <c r="B72" s="19"/>
      <c r="C72" s="6"/>
      <c r="D72" s="8"/>
      <c r="F72" s="6"/>
      <c r="G72" s="8"/>
      <c r="I72" s="6"/>
      <c r="J72" s="8"/>
    </row>
    <row r="73" spans="1:10" s="2" customFormat="1" ht="15" thickBot="1" x14ac:dyDescent="0.35">
      <c r="A73" s="120"/>
      <c r="B73" s="19"/>
      <c r="C73" s="9"/>
      <c r="D73" s="10"/>
      <c r="F73" s="9"/>
      <c r="G73" s="10"/>
      <c r="I73" s="9"/>
      <c r="J73" s="10"/>
    </row>
    <row r="74" spans="1:10" s="2" customFormat="1" ht="15" thickBot="1" x14ac:dyDescent="0.35">
      <c r="A74" s="120"/>
      <c r="B74" s="19"/>
      <c r="C74" s="11" t="str">
        <f>IF(SUM(C68:C73)&gt;SUM(D68:D73),SUM(C68:C73)-SUM(D68:D73),"")</f>
        <v/>
      </c>
      <c r="D74" s="11" t="str">
        <f>IF(SUM(D68:D73)&gt;SUM(C68:C73),SUM(D68:D73)-SUM(C68:C73),"")</f>
        <v/>
      </c>
      <c r="F74" s="11" t="str">
        <f>IF(SUM(F68:F73)&gt;SUM(G68:G73),SUM(F68:F73)-SUM(G68:G73),"")</f>
        <v/>
      </c>
      <c r="G74" s="11" t="str">
        <f>IF(SUM(G68:G73)&gt;SUM(F68:F73),SUM(G68:G73)-SUM(F68:F73),"")</f>
        <v/>
      </c>
      <c r="I74" s="11" t="str">
        <f>IF(SUM(I68:I73)&gt;SUM(J68:J73),SUM(I68:I73)-SUM(J68:J73),"")</f>
        <v/>
      </c>
      <c r="J74" s="11" t="str">
        <f>IF(SUM(J68:J73)&gt;SUM(I68:I73),SUM(J68:J73)-SUM(I68:I73),"")</f>
        <v/>
      </c>
    </row>
    <row r="75" spans="1:10" s="2" customFormat="1" ht="15" thickTop="1" x14ac:dyDescent="0.3">
      <c r="A75" s="120"/>
      <c r="B75" s="19"/>
    </row>
    <row r="76" spans="1:10" s="2" customFormat="1" x14ac:dyDescent="0.3">
      <c r="A76" s="120"/>
      <c r="B76" s="19"/>
    </row>
    <row r="77" spans="1:10" s="2" customFormat="1" x14ac:dyDescent="0.3">
      <c r="A77" s="120"/>
      <c r="B77" s="19"/>
    </row>
    <row r="78" spans="1:10" s="2" customFormat="1" x14ac:dyDescent="0.3">
      <c r="A78" s="120"/>
      <c r="B78" s="19"/>
    </row>
    <row r="79" spans="1:10" s="2" customFormat="1" x14ac:dyDescent="0.3">
      <c r="A79" s="120"/>
      <c r="B79" s="19"/>
    </row>
    <row r="80" spans="1:10" s="2" customFormat="1" x14ac:dyDescent="0.3">
      <c r="A80" s="120"/>
      <c r="B80" s="19"/>
    </row>
    <row r="81" spans="1:2" s="2" customFormat="1" x14ac:dyDescent="0.3">
      <c r="A81" s="120"/>
      <c r="B81" s="19"/>
    </row>
    <row r="82" spans="1:2" s="2" customFormat="1" x14ac:dyDescent="0.3">
      <c r="A82" s="120"/>
      <c r="B82" s="19"/>
    </row>
    <row r="83" spans="1:2" s="2" customFormat="1" x14ac:dyDescent="0.3">
      <c r="A83" s="120"/>
      <c r="B83" s="19"/>
    </row>
    <row r="84" spans="1:2" s="2" customFormat="1" x14ac:dyDescent="0.3">
      <c r="A84" s="120"/>
      <c r="B84" s="19"/>
    </row>
    <row r="85" spans="1:2" s="2" customFormat="1" x14ac:dyDescent="0.3">
      <c r="A85" s="120"/>
      <c r="B85" s="19"/>
    </row>
    <row r="86" spans="1:2" s="2" customFormat="1" x14ac:dyDescent="0.3">
      <c r="A86" s="120"/>
      <c r="B86" s="19"/>
    </row>
    <row r="87" spans="1:2" s="2" customFormat="1" x14ac:dyDescent="0.3">
      <c r="A87" s="120"/>
      <c r="B87" s="19"/>
    </row>
    <row r="88" spans="1:2" s="2" customFormat="1" x14ac:dyDescent="0.3">
      <c r="A88" s="120"/>
      <c r="B88" s="19"/>
    </row>
    <row r="89" spans="1:2" s="2" customFormat="1" x14ac:dyDescent="0.3">
      <c r="A89" s="120"/>
      <c r="B89" s="19"/>
    </row>
    <row r="90" spans="1:2" s="2" customFormat="1" x14ac:dyDescent="0.3">
      <c r="A90" s="120"/>
      <c r="B90" s="19"/>
    </row>
    <row r="91" spans="1:2" s="2" customFormat="1" x14ac:dyDescent="0.3">
      <c r="A91" s="120"/>
      <c r="B91" s="19"/>
    </row>
    <row r="92" spans="1:2" s="2" customFormat="1" x14ac:dyDescent="0.3">
      <c r="A92" s="120"/>
      <c r="B92" s="19"/>
    </row>
    <row r="93" spans="1:2" s="2" customFormat="1" x14ac:dyDescent="0.3">
      <c r="A93" s="120"/>
      <c r="B93" s="19"/>
    </row>
    <row r="94" spans="1:2" s="2" customFormat="1" x14ac:dyDescent="0.3">
      <c r="A94" s="120"/>
      <c r="B94" s="19"/>
    </row>
    <row r="95" spans="1:2" s="2" customFormat="1" x14ac:dyDescent="0.3">
      <c r="A95" s="120"/>
      <c r="B95" s="19"/>
    </row>
    <row r="96" spans="1:2" s="2" customFormat="1" x14ac:dyDescent="0.3">
      <c r="A96" s="120"/>
      <c r="B96" s="19"/>
    </row>
    <row r="97" spans="1:2" s="2" customFormat="1" x14ac:dyDescent="0.3">
      <c r="A97" s="120"/>
      <c r="B97" s="19"/>
    </row>
    <row r="98" spans="1:2" s="2" customFormat="1" x14ac:dyDescent="0.3">
      <c r="A98" s="120"/>
      <c r="B98" s="19"/>
    </row>
    <row r="99" spans="1:2" s="2" customFormat="1" x14ac:dyDescent="0.3">
      <c r="A99" s="120"/>
      <c r="B99" s="19"/>
    </row>
    <row r="100" spans="1:2" s="2" customFormat="1" x14ac:dyDescent="0.3">
      <c r="A100" s="120"/>
      <c r="B100" s="19"/>
    </row>
  </sheetData>
  <mergeCells count="37">
    <mergeCell ref="T13:U13"/>
    <mergeCell ref="R1:U1"/>
    <mergeCell ref="R2:U2"/>
    <mergeCell ref="W1:Z1"/>
    <mergeCell ref="W2:Z2"/>
    <mergeCell ref="R5:S5"/>
    <mergeCell ref="T5:U5"/>
    <mergeCell ref="A10:A26"/>
    <mergeCell ref="C1:J1"/>
    <mergeCell ref="M17:N17"/>
    <mergeCell ref="M19:N19"/>
    <mergeCell ref="L1:P1"/>
    <mergeCell ref="L2:P2"/>
    <mergeCell ref="C67:D67"/>
    <mergeCell ref="F67:G67"/>
    <mergeCell ref="I67:J67"/>
    <mergeCell ref="M9:N9"/>
    <mergeCell ref="M5:O5"/>
    <mergeCell ref="M11:O11"/>
    <mergeCell ref="C45:D45"/>
    <mergeCell ref="F45:G45"/>
    <mergeCell ref="I45:J45"/>
    <mergeCell ref="C58:D58"/>
    <mergeCell ref="F58:G58"/>
    <mergeCell ref="I58:J58"/>
    <mergeCell ref="C23:D23"/>
    <mergeCell ref="F23:G23"/>
    <mergeCell ref="I23:J23"/>
    <mergeCell ref="C36:D36"/>
    <mergeCell ref="F36:G36"/>
    <mergeCell ref="I36:J36"/>
    <mergeCell ref="C5:D5"/>
    <mergeCell ref="F5:G5"/>
    <mergeCell ref="I5:J5"/>
    <mergeCell ref="C14:D14"/>
    <mergeCell ref="F14:G14"/>
    <mergeCell ref="I14:J14"/>
  </mergeCells>
  <conditionalFormatting sqref="Z6">
    <cfRule type="iconSet" priority="15">
      <iconSet iconSet="3Symbols">
        <cfvo type="percent" val="0"/>
        <cfvo type="num" val="0.2"/>
        <cfvo type="num" val="0.22"/>
      </iconSet>
    </cfRule>
    <cfRule type="cellIs" dxfId="92" priority="16" operator="lessThanOrEqual">
      <formula>0.19</formula>
    </cfRule>
    <cfRule type="cellIs" dxfId="91" priority="17" operator="greaterThanOrEqual">
      <formula>0.2</formula>
    </cfRule>
  </conditionalFormatting>
  <conditionalFormatting sqref="Z9">
    <cfRule type="iconSet" priority="12">
      <iconSet iconSet="3Symbols">
        <cfvo type="percent" val="0"/>
        <cfvo type="num" val="0.45"/>
        <cfvo type="num" val="0.47"/>
      </iconSet>
    </cfRule>
    <cfRule type="cellIs" dxfId="90" priority="13" operator="lessThanOrEqual">
      <formula>0.44</formula>
    </cfRule>
    <cfRule type="cellIs" dxfId="89" priority="14" operator="greaterThanOrEqual">
      <formula>0.45</formula>
    </cfRule>
  </conditionalFormatting>
  <conditionalFormatting sqref="Z12">
    <cfRule type="iconSet" priority="9">
      <iconSet iconSet="3Symbols">
        <cfvo type="percent" val="0"/>
        <cfvo type="num" val="0.05"/>
        <cfvo type="num" val="7.0000000000000007E-2"/>
      </iconSet>
    </cfRule>
    <cfRule type="cellIs" dxfId="88" priority="10" operator="lessThanOrEqual">
      <formula>0.04</formula>
    </cfRule>
    <cfRule type="cellIs" dxfId="87" priority="11" operator="greaterThanOrEqual">
      <formula>0.05</formula>
    </cfRule>
  </conditionalFormatting>
  <conditionalFormatting sqref="Z15">
    <cfRule type="iconSet" priority="6">
      <iconSet iconSet="3Symbols">
        <cfvo type="percent" val="0"/>
        <cfvo type="num" val="0.1"/>
        <cfvo type="num" val="0.12"/>
      </iconSet>
    </cfRule>
    <cfRule type="cellIs" dxfId="86" priority="7" operator="lessThanOrEqual">
      <formula>0.09</formula>
    </cfRule>
    <cfRule type="cellIs" dxfId="85" priority="8" operator="greaterThanOrEqual">
      <formula>0.1</formula>
    </cfRule>
  </conditionalFormatting>
  <conditionalFormatting sqref="O6:O10">
    <cfRule type="cellIs" dxfId="84" priority="5" operator="lessThan">
      <formula>0</formula>
    </cfRule>
  </conditionalFormatting>
  <conditionalFormatting sqref="O12:O18">
    <cfRule type="cellIs" dxfId="83" priority="4" operator="lessThan">
      <formula>0</formula>
    </cfRule>
  </conditionalFormatting>
  <conditionalFormatting sqref="S6:S18">
    <cfRule type="cellIs" dxfId="82" priority="3" operator="lessThan">
      <formula>0</formula>
    </cfRule>
  </conditionalFormatting>
  <conditionalFormatting sqref="U6:U9">
    <cfRule type="cellIs" dxfId="81" priority="2" operator="lessThan">
      <formula>0</formula>
    </cfRule>
  </conditionalFormatting>
  <conditionalFormatting sqref="U14:U15">
    <cfRule type="cellIs" dxfId="8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2B65-4001-4780-9656-E9C9DE81E8AE}">
  <dimension ref="A1:AL100"/>
  <sheetViews>
    <sheetView showGridLines="0" workbookViewId="0">
      <pane xSplit="1" topLeftCell="Z1" activePane="topRight" state="frozen"/>
      <selection pane="topRight" activeCell="AA17" sqref="AA17"/>
    </sheetView>
  </sheetViews>
  <sheetFormatPr baseColWidth="10" defaultRowHeight="14.4" x14ac:dyDescent="0.3"/>
  <cols>
    <col min="1" max="1" width="10.109375" customWidth="1"/>
    <col min="2" max="2" width="0.5546875" customWidth="1"/>
    <col min="3" max="3" width="4.33203125" customWidth="1"/>
    <col min="4" max="4" width="19" bestFit="1" customWidth="1"/>
    <col min="5" max="5" width="10.109375" bestFit="1" customWidth="1"/>
    <col min="6" max="6" width="21.5546875" bestFit="1" customWidth="1"/>
    <col min="7" max="7" width="10.109375" bestFit="1" customWidth="1"/>
    <col min="9" max="10" width="11.109375" customWidth="1"/>
    <col min="12" max="13" width="11.109375" customWidth="1"/>
    <col min="15" max="16" width="11.109375" customWidth="1"/>
    <col min="19" max="19" width="2" bestFit="1" customWidth="1"/>
    <col min="20" max="20" width="25.33203125" bestFit="1" customWidth="1"/>
    <col min="25" max="25" width="2" bestFit="1" customWidth="1"/>
    <col min="26" max="26" width="27" bestFit="1" customWidth="1"/>
    <col min="27" max="27" width="9.33203125" bestFit="1" customWidth="1"/>
    <col min="30" max="30" width="19" bestFit="1" customWidth="1"/>
    <col min="31" max="31" width="10.109375" bestFit="1" customWidth="1"/>
    <col min="32" max="32" width="16.44140625" bestFit="1" customWidth="1"/>
    <col min="35" max="35" width="29.77734375" bestFit="1" customWidth="1"/>
  </cols>
  <sheetData>
    <row r="1" spans="1:38" s="2" customFormat="1" ht="18" x14ac:dyDescent="0.35">
      <c r="A1" s="120"/>
      <c r="B1" s="118"/>
      <c r="D1" s="407" t="s">
        <v>55</v>
      </c>
      <c r="E1" s="407"/>
      <c r="F1" s="407"/>
      <c r="G1" s="407"/>
      <c r="I1" s="407" t="s">
        <v>0</v>
      </c>
      <c r="J1" s="407"/>
      <c r="K1" s="407"/>
      <c r="L1" s="407"/>
      <c r="M1" s="407"/>
      <c r="N1" s="407"/>
      <c r="O1" s="407"/>
      <c r="P1" s="407"/>
      <c r="R1" s="407" t="s">
        <v>28</v>
      </c>
      <c r="S1" s="407"/>
      <c r="T1" s="407"/>
      <c r="U1" s="407"/>
      <c r="V1" s="407"/>
      <c r="X1" s="407" t="s">
        <v>72</v>
      </c>
      <c r="Y1" s="407"/>
      <c r="Z1" s="407"/>
      <c r="AA1" s="407"/>
      <c r="AB1" s="407"/>
      <c r="AD1" s="407" t="s">
        <v>84</v>
      </c>
      <c r="AE1" s="407"/>
      <c r="AF1" s="407"/>
      <c r="AG1" s="407"/>
      <c r="AI1" s="407" t="s">
        <v>38</v>
      </c>
      <c r="AJ1" s="407"/>
      <c r="AK1" s="407"/>
      <c r="AL1" s="407"/>
    </row>
    <row r="2" spans="1:38" s="2" customFormat="1" x14ac:dyDescent="0.3">
      <c r="A2" s="120"/>
      <c r="B2" s="118"/>
      <c r="D2" s="409" t="s">
        <v>54</v>
      </c>
      <c r="E2" s="409"/>
      <c r="F2" s="409"/>
      <c r="G2" s="409"/>
      <c r="R2" s="409" t="s">
        <v>66</v>
      </c>
      <c r="S2" s="409"/>
      <c r="T2" s="409"/>
      <c r="U2" s="409"/>
      <c r="V2" s="409"/>
      <c r="X2" s="409" t="s">
        <v>73</v>
      </c>
      <c r="Y2" s="409"/>
      <c r="Z2" s="409"/>
      <c r="AA2" s="409"/>
      <c r="AB2" s="409"/>
      <c r="AD2" s="409" t="s">
        <v>85</v>
      </c>
      <c r="AE2" s="409"/>
      <c r="AF2" s="409"/>
      <c r="AG2" s="409"/>
      <c r="AI2" s="409" t="s">
        <v>40</v>
      </c>
      <c r="AJ2" s="409"/>
      <c r="AK2" s="409"/>
      <c r="AL2" s="409"/>
    </row>
    <row r="3" spans="1:38" s="2" customFormat="1" ht="16.2" x14ac:dyDescent="0.45">
      <c r="A3" s="120"/>
      <c r="B3" s="118"/>
      <c r="I3" s="5" t="s">
        <v>65</v>
      </c>
    </row>
    <row r="4" spans="1:38" s="2" customFormat="1" x14ac:dyDescent="0.3">
      <c r="A4" s="120"/>
      <c r="B4" s="118"/>
    </row>
    <row r="5" spans="1:38" s="2" customFormat="1" ht="16.2" thickBot="1" x14ac:dyDescent="0.35">
      <c r="A5" s="120"/>
      <c r="B5" s="118"/>
      <c r="D5" s="401" t="s">
        <v>32</v>
      </c>
      <c r="E5" s="401"/>
      <c r="F5" s="410" t="s">
        <v>37</v>
      </c>
      <c r="G5" s="401"/>
      <c r="I5" s="400" t="s">
        <v>1</v>
      </c>
      <c r="J5" s="400"/>
      <c r="L5" s="400" t="s">
        <v>2</v>
      </c>
      <c r="M5" s="400"/>
      <c r="O5" s="400" t="s">
        <v>3</v>
      </c>
      <c r="P5" s="400"/>
      <c r="S5" s="403" t="s">
        <v>16</v>
      </c>
      <c r="T5" s="403"/>
      <c r="U5" s="403"/>
      <c r="Y5" s="2" t="s">
        <v>15</v>
      </c>
      <c r="Z5" s="2" t="s">
        <v>74</v>
      </c>
      <c r="AA5" s="17">
        <f>+L6</f>
        <v>30000</v>
      </c>
      <c r="AD5" s="401" t="s">
        <v>32</v>
      </c>
      <c r="AE5" s="401"/>
      <c r="AF5" s="410" t="s">
        <v>37</v>
      </c>
      <c r="AG5" s="401"/>
      <c r="AJ5" s="29" t="s">
        <v>43</v>
      </c>
      <c r="AK5" s="30">
        <v>1969</v>
      </c>
      <c r="AL5" s="29">
        <v>1970</v>
      </c>
    </row>
    <row r="6" spans="1:38" s="2" customFormat="1" ht="15.6" x14ac:dyDescent="0.3">
      <c r="A6" s="120"/>
      <c r="B6" s="118"/>
      <c r="D6" s="2" t="s">
        <v>1</v>
      </c>
      <c r="E6" s="17">
        <f>+'caso de estudio 1'!O19</f>
        <v>8500</v>
      </c>
      <c r="F6" s="24" t="s">
        <v>58</v>
      </c>
      <c r="G6" s="17">
        <f>SUM('caso de estudio 1'!C52:D52)</f>
        <v>5000</v>
      </c>
      <c r="I6" s="6">
        <v>8500</v>
      </c>
      <c r="J6" s="7">
        <v>17400</v>
      </c>
      <c r="L6" s="6">
        <v>30000</v>
      </c>
      <c r="M6" s="7">
        <v>27000</v>
      </c>
      <c r="O6" s="6">
        <v>1800</v>
      </c>
      <c r="P6" s="7">
        <v>18000</v>
      </c>
      <c r="S6" s="2" t="s">
        <v>15</v>
      </c>
      <c r="T6" s="12" t="s">
        <v>1</v>
      </c>
      <c r="U6" s="13">
        <f>+I6</f>
        <v>8500</v>
      </c>
      <c r="Y6" s="2" t="s">
        <v>50</v>
      </c>
      <c r="Z6" s="2" t="s">
        <v>75</v>
      </c>
      <c r="AA6" s="17">
        <f>+P6</f>
        <v>18000</v>
      </c>
      <c r="AD6" s="2" t="s">
        <v>1</v>
      </c>
      <c r="AE6" s="17">
        <f>SUM(I12:J12)</f>
        <v>3800</v>
      </c>
      <c r="AF6" s="24" t="s">
        <v>8</v>
      </c>
      <c r="AG6" s="17">
        <f>SUM(I43:J43)</f>
        <v>2100</v>
      </c>
      <c r="AI6" s="28" t="s">
        <v>41</v>
      </c>
      <c r="AJ6" s="37" t="s">
        <v>49</v>
      </c>
      <c r="AK6" s="31">
        <f>+'caso de estudio 1'!Z6</f>
        <v>1.0404040404040404</v>
      </c>
      <c r="AL6" s="31">
        <f>+AE10/AG10</f>
        <v>4.3809523809523814</v>
      </c>
    </row>
    <row r="7" spans="1:38" s="2" customFormat="1" x14ac:dyDescent="0.3">
      <c r="A7" s="120"/>
      <c r="B7" s="118"/>
      <c r="D7" s="2" t="s">
        <v>31</v>
      </c>
      <c r="E7" s="17">
        <f>SUM('caso de estudio 1'!I12:J12)</f>
        <v>1800</v>
      </c>
      <c r="F7" s="24" t="s">
        <v>59</v>
      </c>
      <c r="G7" s="17">
        <f>SUM('caso de estudio 1'!C43:D43)</f>
        <v>900</v>
      </c>
      <c r="I7" s="6">
        <v>27000</v>
      </c>
      <c r="J7" s="8">
        <v>5000</v>
      </c>
      <c r="L7" s="6"/>
      <c r="M7" s="8"/>
      <c r="O7" s="6">
        <v>18600</v>
      </c>
      <c r="P7" s="8"/>
      <c r="S7" s="2" t="s">
        <v>15</v>
      </c>
      <c r="T7" s="2" t="s">
        <v>67</v>
      </c>
      <c r="U7" s="17">
        <f>+I7</f>
        <v>27000</v>
      </c>
      <c r="Y7" s="43" t="s">
        <v>15</v>
      </c>
      <c r="Z7" s="43" t="s">
        <v>77</v>
      </c>
      <c r="AA7" s="44">
        <f>+AA5-AA6</f>
        <v>12000</v>
      </c>
      <c r="AD7" s="2" t="s">
        <v>2</v>
      </c>
      <c r="AE7" s="17">
        <f>SUM(L12:M12)</f>
        <v>3000</v>
      </c>
      <c r="AF7" s="24" t="s">
        <v>33</v>
      </c>
      <c r="AG7" s="17">
        <f>SUM(L43:M43)</f>
        <v>0</v>
      </c>
      <c r="AI7" s="32" t="s">
        <v>42</v>
      </c>
      <c r="AJ7" s="38"/>
      <c r="AK7" s="35"/>
      <c r="AL7" s="33"/>
    </row>
    <row r="8" spans="1:38" s="2" customFormat="1" ht="15" thickBot="1" x14ac:dyDescent="0.35">
      <c r="A8" s="120"/>
      <c r="B8" s="118"/>
      <c r="D8" s="2" t="s">
        <v>4</v>
      </c>
      <c r="E8" s="17">
        <f>SUM('caso de estudio 1'!C21:D21)</f>
        <v>10000</v>
      </c>
      <c r="F8" s="24" t="s">
        <v>33</v>
      </c>
      <c r="G8" s="17">
        <f>SUM('caso de estudio 1'!F43:G43)</f>
        <v>4000</v>
      </c>
      <c r="I8" s="6"/>
      <c r="J8" s="8">
        <v>5000</v>
      </c>
      <c r="L8" s="6"/>
      <c r="M8" s="8"/>
      <c r="O8" s="6"/>
      <c r="P8" s="8"/>
      <c r="U8" s="15"/>
      <c r="Y8" s="2" t="s">
        <v>50</v>
      </c>
      <c r="Z8" s="2" t="s">
        <v>78</v>
      </c>
      <c r="AA8" s="17">
        <f>+J46</f>
        <v>5000</v>
      </c>
      <c r="AD8" s="2" t="s">
        <v>31</v>
      </c>
      <c r="AE8" s="17">
        <f>SUM(O12:P12)</f>
        <v>2400</v>
      </c>
      <c r="AF8" s="24" t="s">
        <v>34</v>
      </c>
      <c r="AG8" s="17">
        <f>SUM(O43:P43)</f>
        <v>0</v>
      </c>
      <c r="AJ8" s="36"/>
      <c r="AK8" s="36"/>
      <c r="AL8" s="24"/>
    </row>
    <row r="9" spans="1:38" s="2" customFormat="1" ht="16.2" thickBot="1" x14ac:dyDescent="0.35">
      <c r="A9" s="120"/>
      <c r="B9" s="118"/>
      <c r="D9" s="2" t="s">
        <v>5</v>
      </c>
      <c r="E9" s="17">
        <f>SUM('caso de estudio 1'!F21:G21)</f>
        <v>15000</v>
      </c>
      <c r="F9" s="24"/>
      <c r="G9" s="25"/>
      <c r="I9" s="6"/>
      <c r="J9" s="8">
        <v>4000</v>
      </c>
      <c r="L9" s="6"/>
      <c r="M9" s="8"/>
      <c r="O9" s="6"/>
      <c r="P9" s="8"/>
      <c r="S9" s="402" t="s">
        <v>26</v>
      </c>
      <c r="T9" s="402"/>
      <c r="U9" s="16">
        <f>SUM(U6:U8)</f>
        <v>35500</v>
      </c>
      <c r="Y9" s="2" t="s">
        <v>50</v>
      </c>
      <c r="Z9" s="2" t="s">
        <v>79</v>
      </c>
      <c r="AA9" s="17">
        <f>+J10</f>
        <v>300</v>
      </c>
      <c r="AE9" s="15"/>
      <c r="AF9" s="24" t="s">
        <v>11</v>
      </c>
      <c r="AG9" s="25">
        <f>SUM(I52:J52)</f>
        <v>0</v>
      </c>
      <c r="AI9" s="28" t="s">
        <v>44</v>
      </c>
      <c r="AJ9" s="39" t="s">
        <v>48</v>
      </c>
      <c r="AK9" s="31">
        <f>+'caso de estudio 1'!Z9</f>
        <v>0.75187969924812026</v>
      </c>
      <c r="AL9" s="31">
        <f>+AG16/AE19</f>
        <v>0.94344196067869646</v>
      </c>
    </row>
    <row r="10" spans="1:38" s="2" customFormat="1" x14ac:dyDescent="0.3">
      <c r="A10" s="404" t="s">
        <v>236</v>
      </c>
      <c r="B10" s="119"/>
      <c r="C10" s="14"/>
      <c r="D10" s="2" t="s">
        <v>56</v>
      </c>
      <c r="E10" s="17">
        <f>SUM('caso de estudio 1'!I21:J21)</f>
        <v>1000</v>
      </c>
      <c r="F10" s="24"/>
      <c r="G10" s="22">
        <f>SUM(G6:G9)</f>
        <v>9900</v>
      </c>
      <c r="I10" s="6"/>
      <c r="J10" s="8">
        <v>300</v>
      </c>
      <c r="L10" s="6"/>
      <c r="M10" s="8"/>
      <c r="O10" s="6"/>
      <c r="P10" s="8"/>
      <c r="Y10" s="2" t="s">
        <v>50</v>
      </c>
      <c r="Z10" s="2" t="s">
        <v>80</v>
      </c>
      <c r="AA10" s="2">
        <v>950</v>
      </c>
      <c r="AE10" s="22">
        <f>SUM(AE6:AE9)</f>
        <v>9200</v>
      </c>
      <c r="AF10" s="24"/>
      <c r="AG10" s="22">
        <f>SUM(AG6:AG9)</f>
        <v>2100</v>
      </c>
      <c r="AI10" s="32" t="s">
        <v>45</v>
      </c>
      <c r="AJ10" s="38"/>
      <c r="AK10" s="35"/>
      <c r="AL10" s="33"/>
    </row>
    <row r="11" spans="1:38" s="2" customFormat="1" ht="16.2" thickBot="1" x14ac:dyDescent="0.35">
      <c r="A11" s="405"/>
      <c r="B11" s="119"/>
      <c r="C11" s="14"/>
      <c r="D11" s="2" t="s">
        <v>57</v>
      </c>
      <c r="E11" s="2">
        <f>SUM('caso de estudio 1'!C30:D30)</f>
        <v>3600</v>
      </c>
      <c r="F11" s="24"/>
      <c r="I11" s="9"/>
      <c r="J11" s="10"/>
      <c r="L11" s="9"/>
      <c r="M11" s="10"/>
      <c r="O11" s="9"/>
      <c r="P11" s="10"/>
      <c r="S11" s="403" t="s">
        <v>17</v>
      </c>
      <c r="T11" s="403"/>
      <c r="U11" s="403"/>
      <c r="Y11" s="2" t="s">
        <v>50</v>
      </c>
      <c r="Z11" s="2" t="s">
        <v>81</v>
      </c>
      <c r="AA11" s="17">
        <f>+J24</f>
        <v>720</v>
      </c>
      <c r="AF11" s="24"/>
      <c r="AJ11" s="36"/>
      <c r="AK11" s="36"/>
      <c r="AL11" s="24"/>
    </row>
    <row r="12" spans="1:38" s="2" customFormat="1" ht="16.2" thickBot="1" x14ac:dyDescent="0.35">
      <c r="A12" s="405"/>
      <c r="B12" s="119"/>
      <c r="C12" s="14"/>
      <c r="E12" s="17"/>
      <c r="F12" s="410" t="s">
        <v>35</v>
      </c>
      <c r="G12" s="401"/>
      <c r="I12" s="11">
        <f>IF(SUM(I6:I11)&gt;SUM(J6:J11),SUM(I6:I11)-SUM(J6:J11),"")</f>
        <v>3800</v>
      </c>
      <c r="J12" s="11" t="str">
        <f>IF(SUM(J6:J11)&gt;SUM(I6:I11),SUM(J6:J11)-SUM(I6:I11),"")</f>
        <v/>
      </c>
      <c r="L12" s="11">
        <f>IF(SUM(L6:L11)&gt;SUM(M6:M11),SUM(L6:L11)-SUM(M6:M11),"")</f>
        <v>3000</v>
      </c>
      <c r="M12" s="11" t="str">
        <f>IF(SUM(M6:M11)&gt;SUM(L6:L11),SUM(M6:M11)-SUM(L6:L11),"")</f>
        <v/>
      </c>
      <c r="O12" s="11">
        <f>IF(SUM(O6:O11)&gt;SUM(P6:P11),SUM(O6:O11)-SUM(P6:P11),"")</f>
        <v>2400</v>
      </c>
      <c r="P12" s="11" t="str">
        <f>IF(SUM(P6:P11)&gt;SUM(O6:O11),SUM(P6:P11)-SUM(O6:O11),"")</f>
        <v/>
      </c>
      <c r="S12" s="2" t="s">
        <v>50</v>
      </c>
      <c r="T12" s="2" t="s">
        <v>20</v>
      </c>
      <c r="U12" s="17">
        <f>+J6</f>
        <v>17400</v>
      </c>
      <c r="Y12" s="43" t="s">
        <v>50</v>
      </c>
      <c r="Z12" s="43" t="s">
        <v>82</v>
      </c>
      <c r="AA12" s="44">
        <f>+AA8+AA9+AA10+AA11</f>
        <v>6970</v>
      </c>
      <c r="AD12" s="2" t="s">
        <v>4</v>
      </c>
      <c r="AE12" s="17">
        <f>SUM(I21:J21)</f>
        <v>10000</v>
      </c>
      <c r="AF12" s="24"/>
      <c r="AI12" s="28" t="s">
        <v>46</v>
      </c>
      <c r="AJ12" s="39" t="s">
        <v>47</v>
      </c>
      <c r="AK12" s="31" t="str">
        <f>+'caso de estudio 1'!Z12</f>
        <v>-</v>
      </c>
      <c r="AL12" s="31">
        <f>(AE19-'caso de estudio 1'!S19)/'caso de estudio 1'!S19</f>
        <v>-6.9423558897243109E-2</v>
      </c>
    </row>
    <row r="13" spans="1:38" s="2" customFormat="1" ht="15" thickBot="1" x14ac:dyDescent="0.35">
      <c r="A13" s="405"/>
      <c r="B13" s="119"/>
      <c r="C13" s="14"/>
      <c r="E13" s="17"/>
      <c r="F13" s="24" t="s">
        <v>36</v>
      </c>
      <c r="G13" s="17">
        <f>SUM('caso de estudio 1'!C65:D65)</f>
        <v>30000</v>
      </c>
      <c r="S13" s="2" t="s">
        <v>50</v>
      </c>
      <c r="T13" s="2" t="s">
        <v>68</v>
      </c>
      <c r="U13" s="17">
        <f t="shared" ref="U13:U15" si="0">+J7</f>
        <v>5000</v>
      </c>
      <c r="Y13" s="45" t="s">
        <v>50</v>
      </c>
      <c r="Z13" s="46" t="s">
        <v>83</v>
      </c>
      <c r="AA13" s="47">
        <f>+AA7-AA12</f>
        <v>5030</v>
      </c>
      <c r="AD13" s="2" t="s">
        <v>5</v>
      </c>
      <c r="AE13" s="17">
        <f>SUM(L21:M21)</f>
        <v>14250</v>
      </c>
      <c r="AF13" s="410" t="s">
        <v>35</v>
      </c>
      <c r="AG13" s="401"/>
      <c r="AI13" s="32" t="s">
        <v>87</v>
      </c>
      <c r="AJ13" s="38"/>
      <c r="AK13" s="35"/>
      <c r="AL13" s="33"/>
    </row>
    <row r="14" spans="1:38" s="2" customFormat="1" ht="16.2" thickBot="1" x14ac:dyDescent="0.35">
      <c r="A14" s="405"/>
      <c r="B14" s="119"/>
      <c r="C14" s="14"/>
      <c r="E14" s="17"/>
      <c r="F14" s="42" t="s">
        <v>61</v>
      </c>
      <c r="I14" s="400" t="s">
        <v>4</v>
      </c>
      <c r="J14" s="400"/>
      <c r="L14" s="400" t="s">
        <v>5</v>
      </c>
      <c r="M14" s="400"/>
      <c r="O14" s="400" t="s">
        <v>6</v>
      </c>
      <c r="P14" s="400"/>
      <c r="S14" s="2" t="s">
        <v>50</v>
      </c>
      <c r="T14" s="2" t="s">
        <v>69</v>
      </c>
      <c r="U14" s="17">
        <f t="shared" si="0"/>
        <v>5000</v>
      </c>
      <c r="AD14" s="2" t="s">
        <v>6</v>
      </c>
      <c r="AE14" s="17">
        <f>SUM(O21:P21)</f>
        <v>800</v>
      </c>
      <c r="AF14" s="24" t="s">
        <v>36</v>
      </c>
      <c r="AG14" s="17">
        <f>SUM(I65:J65)</f>
        <v>30000</v>
      </c>
      <c r="AJ14" s="36"/>
      <c r="AK14" s="36"/>
      <c r="AL14" s="24"/>
    </row>
    <row r="15" spans="1:38" s="2" customFormat="1" ht="16.2" thickBot="1" x14ac:dyDescent="0.35">
      <c r="A15" s="405"/>
      <c r="B15" s="119"/>
      <c r="C15" s="14"/>
      <c r="E15" s="17"/>
      <c r="F15" s="42" t="s">
        <v>60</v>
      </c>
      <c r="G15" s="15"/>
      <c r="I15" s="6">
        <v>10000</v>
      </c>
      <c r="J15" s="7"/>
      <c r="L15" s="6">
        <v>15000</v>
      </c>
      <c r="M15" s="7">
        <v>750</v>
      </c>
      <c r="O15" s="6">
        <v>1000</v>
      </c>
      <c r="P15" s="7">
        <v>200</v>
      </c>
      <c r="S15" s="2" t="s">
        <v>50</v>
      </c>
      <c r="T15" s="2" t="s">
        <v>70</v>
      </c>
      <c r="U15" s="17">
        <f t="shared" si="0"/>
        <v>4000</v>
      </c>
      <c r="AD15" s="2" t="s">
        <v>7</v>
      </c>
      <c r="AE15" s="17">
        <f>SUM(I30:J30)</f>
        <v>2880</v>
      </c>
      <c r="AF15" s="24" t="s">
        <v>86</v>
      </c>
      <c r="AG15" s="25">
        <f>SUM(L65:M65)</f>
        <v>5030</v>
      </c>
      <c r="AI15" s="28" t="s">
        <v>51</v>
      </c>
      <c r="AJ15" s="39" t="s">
        <v>53</v>
      </c>
      <c r="AK15" s="31" t="str">
        <f>+'caso de estudio 1'!Z15</f>
        <v>-</v>
      </c>
      <c r="AL15" s="31">
        <f>+AA13/AG14</f>
        <v>0.16766666666666666</v>
      </c>
    </row>
    <row r="16" spans="1:38" s="2" customFormat="1" ht="15" thickBot="1" x14ac:dyDescent="0.35">
      <c r="A16" s="405"/>
      <c r="B16" s="119"/>
      <c r="C16" s="14"/>
      <c r="E16" s="15"/>
      <c r="F16" s="24"/>
      <c r="G16" s="22">
        <f>SUM(G13:G15)</f>
        <v>30000</v>
      </c>
      <c r="I16" s="6"/>
      <c r="J16" s="8"/>
      <c r="L16" s="6"/>
      <c r="M16" s="8"/>
      <c r="O16" s="6"/>
      <c r="P16" s="8"/>
      <c r="S16" s="2" t="s">
        <v>50</v>
      </c>
      <c r="T16" s="2" t="s">
        <v>71</v>
      </c>
      <c r="U16" s="25">
        <f>+J10</f>
        <v>300</v>
      </c>
      <c r="AE16" s="15"/>
      <c r="AF16" s="24"/>
      <c r="AG16" s="22">
        <f>SUM(AG14:AG15)</f>
        <v>35030</v>
      </c>
      <c r="AI16" s="32" t="s">
        <v>52</v>
      </c>
      <c r="AJ16" s="38"/>
      <c r="AK16" s="35"/>
      <c r="AL16" s="33"/>
    </row>
    <row r="17" spans="1:33" s="2" customFormat="1" ht="15.6" x14ac:dyDescent="0.3">
      <c r="A17" s="405"/>
      <c r="B17" s="119"/>
      <c r="C17" s="14"/>
      <c r="D17" s="21"/>
      <c r="E17" s="23">
        <f>SUM(E6:E16)</f>
        <v>39900</v>
      </c>
      <c r="F17" s="21"/>
      <c r="G17" s="23">
        <f>+G16+G10</f>
        <v>39900</v>
      </c>
      <c r="I17" s="6"/>
      <c r="J17" s="8"/>
      <c r="L17" s="6"/>
      <c r="M17" s="8"/>
      <c r="O17" s="6"/>
      <c r="P17" s="8"/>
      <c r="S17" s="402" t="s">
        <v>27</v>
      </c>
      <c r="T17" s="402"/>
      <c r="U17" s="16">
        <f>SUM(U12:U16)</f>
        <v>31700</v>
      </c>
      <c r="AE17" s="22">
        <f>SUM(AE12:AE16)</f>
        <v>27930</v>
      </c>
      <c r="AF17" s="24"/>
    </row>
    <row r="18" spans="1:33" s="2" customFormat="1" x14ac:dyDescent="0.3">
      <c r="A18" s="405"/>
      <c r="B18" s="119"/>
      <c r="C18" s="14"/>
      <c r="F18" s="24"/>
      <c r="I18" s="6"/>
      <c r="J18" s="8"/>
      <c r="L18" s="6"/>
      <c r="M18" s="8"/>
      <c r="O18" s="6"/>
      <c r="P18" s="8"/>
      <c r="AF18" s="24"/>
    </row>
    <row r="19" spans="1:33" s="2" customFormat="1" ht="16.2" thickBot="1" x14ac:dyDescent="0.35">
      <c r="A19" s="405"/>
      <c r="B19" s="119"/>
      <c r="C19" s="14"/>
      <c r="D19" s="40"/>
      <c r="E19" s="41">
        <f>+E10+E17</f>
        <v>40900</v>
      </c>
      <c r="F19" s="40"/>
      <c r="G19" s="41">
        <f>+G10+G16</f>
        <v>39900</v>
      </c>
      <c r="I19" s="6"/>
      <c r="J19" s="8"/>
      <c r="L19" s="6"/>
      <c r="M19" s="8"/>
      <c r="O19" s="6"/>
      <c r="P19" s="8"/>
      <c r="S19" s="408" t="s">
        <v>25</v>
      </c>
      <c r="T19" s="408"/>
      <c r="U19" s="18">
        <f>+U9-U17</f>
        <v>3800</v>
      </c>
      <c r="AD19" s="21"/>
      <c r="AE19" s="23">
        <f>+AE10+AE17</f>
        <v>37130</v>
      </c>
      <c r="AF19" s="21"/>
      <c r="AG19" s="23">
        <f>+AG10+AG16</f>
        <v>37130</v>
      </c>
    </row>
    <row r="20" spans="1:33" s="2" customFormat="1" ht="15" thickBot="1" x14ac:dyDescent="0.35">
      <c r="A20" s="405"/>
      <c r="B20" s="119"/>
      <c r="C20" s="14"/>
      <c r="I20" s="9"/>
      <c r="J20" s="10"/>
      <c r="L20" s="9"/>
      <c r="M20" s="10"/>
      <c r="O20" s="9"/>
      <c r="P20" s="10"/>
    </row>
    <row r="21" spans="1:33" s="2" customFormat="1" ht="15" thickBot="1" x14ac:dyDescent="0.35">
      <c r="A21" s="405"/>
      <c r="B21" s="119"/>
      <c r="C21" s="14"/>
      <c r="I21" s="11">
        <f>IF(SUM(I15:I20)&gt;SUM(J15:J20),SUM(I15:I20)-SUM(J15:J20),"")</f>
        <v>10000</v>
      </c>
      <c r="J21" s="11" t="str">
        <f>IF(SUM(J15:J20)&gt;SUM(I15:I20),SUM(J15:J20)-SUM(I15:I20),"")</f>
        <v/>
      </c>
      <c r="L21" s="11">
        <f>IF(SUM(L15:L20)&gt;SUM(M15:M20),SUM(L15:L20)-SUM(M15:M20),"")</f>
        <v>14250</v>
      </c>
      <c r="M21" s="11" t="str">
        <f>IF(SUM(M15:M20)&gt;SUM(L15:L20),SUM(M15:M20)-SUM(L15:L20),"")</f>
        <v/>
      </c>
      <c r="O21" s="11">
        <f>IF(SUM(O15:O20)&gt;SUM(P15:P20),SUM(O15:O20)-SUM(P15:P20),"")</f>
        <v>800</v>
      </c>
      <c r="P21" s="11" t="str">
        <f>IF(SUM(P15:P20)&gt;SUM(O15:O20),SUM(P15:P20)-SUM(O15:O20),"")</f>
        <v/>
      </c>
    </row>
    <row r="22" spans="1:33" s="2" customFormat="1" ht="15" thickTop="1" x14ac:dyDescent="0.3">
      <c r="A22" s="405"/>
      <c r="B22" s="119"/>
      <c r="C22" s="14"/>
    </row>
    <row r="23" spans="1:33" s="2" customFormat="1" ht="16.2" thickBot="1" x14ac:dyDescent="0.35">
      <c r="A23" s="405"/>
      <c r="B23" s="119"/>
      <c r="C23" s="14"/>
      <c r="I23" s="400" t="s">
        <v>7</v>
      </c>
      <c r="J23" s="400"/>
      <c r="L23" s="400"/>
      <c r="M23" s="400"/>
      <c r="O23" s="400"/>
      <c r="P23" s="400"/>
    </row>
    <row r="24" spans="1:33" s="2" customFormat="1" x14ac:dyDescent="0.3">
      <c r="A24" s="405"/>
      <c r="B24" s="119"/>
      <c r="C24" s="14"/>
      <c r="I24" s="6">
        <v>3600</v>
      </c>
      <c r="J24" s="7">
        <v>720</v>
      </c>
      <c r="L24" s="6"/>
      <c r="M24" s="7"/>
      <c r="O24" s="6"/>
      <c r="P24" s="7"/>
    </row>
    <row r="25" spans="1:33" s="2" customFormat="1" x14ac:dyDescent="0.3">
      <c r="A25" s="405"/>
      <c r="B25" s="119"/>
      <c r="C25" s="14"/>
      <c r="I25" s="6"/>
      <c r="J25" s="8"/>
      <c r="L25" s="6"/>
      <c r="M25" s="8"/>
      <c r="O25" s="6"/>
      <c r="P25" s="8"/>
    </row>
    <row r="26" spans="1:33" s="2" customFormat="1" ht="15" thickBot="1" x14ac:dyDescent="0.35">
      <c r="A26" s="406"/>
      <c r="B26" s="119"/>
      <c r="C26" s="14"/>
      <c r="I26" s="6"/>
      <c r="J26" s="8"/>
      <c r="L26" s="6"/>
      <c r="M26" s="8"/>
      <c r="O26" s="6"/>
      <c r="P26" s="8"/>
    </row>
    <row r="27" spans="1:33" s="2" customFormat="1" x14ac:dyDescent="0.3">
      <c r="A27" s="120"/>
      <c r="B27" s="118"/>
      <c r="I27" s="6"/>
      <c r="J27" s="8"/>
      <c r="L27" s="6"/>
      <c r="M27" s="8"/>
      <c r="O27" s="6"/>
      <c r="P27" s="8"/>
    </row>
    <row r="28" spans="1:33" s="2" customFormat="1" x14ac:dyDescent="0.3">
      <c r="A28" s="120"/>
      <c r="B28" s="118"/>
      <c r="I28" s="6"/>
      <c r="J28" s="8"/>
      <c r="L28" s="6"/>
      <c r="M28" s="8"/>
      <c r="O28" s="6"/>
      <c r="P28" s="8"/>
    </row>
    <row r="29" spans="1:33" s="2" customFormat="1" ht="15" thickBot="1" x14ac:dyDescent="0.35">
      <c r="A29" s="120"/>
      <c r="B29" s="118"/>
      <c r="I29" s="9"/>
      <c r="J29" s="10"/>
      <c r="L29" s="9"/>
      <c r="M29" s="10"/>
      <c r="O29" s="9"/>
      <c r="P29" s="10"/>
    </row>
    <row r="30" spans="1:33" s="2" customFormat="1" ht="15" thickBot="1" x14ac:dyDescent="0.35">
      <c r="A30" s="120"/>
      <c r="B30" s="118"/>
      <c r="I30" s="11">
        <f>IF(SUM(I24:I29)&gt;SUM(J24:J29),SUM(I24:I29)-SUM(J24:J29),"")</f>
        <v>2880</v>
      </c>
      <c r="J30" s="11" t="str">
        <f>IF(SUM(J24:J29)&gt;SUM(I24:I29),SUM(J24:J29)-SUM(I24:I29),"")</f>
        <v/>
      </c>
      <c r="L30" s="11" t="str">
        <f>IF(SUM(L24:L29)&gt;SUM(M24:M29),SUM(L24:L29)-SUM(M24:M29),"")</f>
        <v/>
      </c>
      <c r="M30" s="11" t="str">
        <f>IF(SUM(M24:M29)&gt;SUM(L24:L29),SUM(M24:M29)-SUM(L24:L29),"")</f>
        <v/>
      </c>
      <c r="O30" s="11" t="str">
        <f>IF(SUM(O24:O29)&gt;SUM(P24:P29),SUM(O24:O29)-SUM(P24:P29),"")</f>
        <v/>
      </c>
      <c r="P30" s="11" t="str">
        <f>IF(SUM(P24:P29)&gt;SUM(O24:O29),SUM(P24:P29)-SUM(O24:O29),"")</f>
        <v/>
      </c>
    </row>
    <row r="31" spans="1:33" s="2" customFormat="1" ht="15" thickTop="1" x14ac:dyDescent="0.3">
      <c r="A31" s="120"/>
      <c r="B31" s="118"/>
    </row>
    <row r="32" spans="1:33" s="2" customFormat="1" x14ac:dyDescent="0.3">
      <c r="A32" s="120"/>
      <c r="B32" s="118"/>
    </row>
    <row r="33" spans="1:16" s="2" customFormat="1" x14ac:dyDescent="0.3">
      <c r="A33" s="120"/>
      <c r="B33" s="118"/>
    </row>
    <row r="34" spans="1:16" s="2" customFormat="1" ht="16.2" x14ac:dyDescent="0.45">
      <c r="A34" s="120"/>
      <c r="B34" s="118"/>
      <c r="I34" s="5" t="s">
        <v>64</v>
      </c>
    </row>
    <row r="35" spans="1:16" s="2" customFormat="1" x14ac:dyDescent="0.3">
      <c r="A35" s="120"/>
      <c r="B35" s="118"/>
    </row>
    <row r="36" spans="1:16" s="2" customFormat="1" ht="16.2" thickBot="1" x14ac:dyDescent="0.35">
      <c r="A36" s="120"/>
      <c r="B36" s="118"/>
      <c r="I36" s="400" t="s">
        <v>8</v>
      </c>
      <c r="J36" s="400"/>
      <c r="L36" s="400" t="s">
        <v>9</v>
      </c>
      <c r="M36" s="400"/>
      <c r="O36" s="401" t="s">
        <v>10</v>
      </c>
      <c r="P36" s="401"/>
    </row>
    <row r="37" spans="1:16" s="2" customFormat="1" x14ac:dyDescent="0.3">
      <c r="A37" s="120"/>
      <c r="B37" s="118"/>
      <c r="I37" s="6">
        <v>17400</v>
      </c>
      <c r="J37" s="7">
        <v>900</v>
      </c>
      <c r="L37" s="6">
        <v>4000</v>
      </c>
      <c r="M37" s="7">
        <v>4000</v>
      </c>
      <c r="O37" s="6">
        <v>300</v>
      </c>
      <c r="P37" s="7">
        <v>300</v>
      </c>
    </row>
    <row r="38" spans="1:16" s="2" customFormat="1" x14ac:dyDescent="0.3">
      <c r="A38" s="120"/>
      <c r="B38" s="118"/>
      <c r="I38" s="6"/>
      <c r="J38" s="8">
        <v>18600</v>
      </c>
      <c r="L38" s="6"/>
      <c r="M38" s="8"/>
      <c r="O38" s="6"/>
      <c r="P38" s="8"/>
    </row>
    <row r="39" spans="1:16" s="2" customFormat="1" x14ac:dyDescent="0.3">
      <c r="A39" s="120"/>
      <c r="B39" s="118"/>
      <c r="I39" s="6"/>
      <c r="J39" s="8"/>
      <c r="L39" s="6"/>
      <c r="M39" s="8"/>
      <c r="O39" s="6"/>
      <c r="P39" s="8"/>
    </row>
    <row r="40" spans="1:16" s="2" customFormat="1" x14ac:dyDescent="0.3">
      <c r="A40" s="120"/>
      <c r="B40" s="118"/>
      <c r="I40" s="6"/>
      <c r="J40" s="8"/>
      <c r="L40" s="6"/>
      <c r="M40" s="8"/>
      <c r="O40" s="6"/>
      <c r="P40" s="8"/>
    </row>
    <row r="41" spans="1:16" s="2" customFormat="1" x14ac:dyDescent="0.3">
      <c r="A41" s="120"/>
      <c r="B41" s="118"/>
      <c r="I41" s="6"/>
      <c r="J41" s="8"/>
      <c r="L41" s="6"/>
      <c r="M41" s="8"/>
      <c r="O41" s="6"/>
      <c r="P41" s="8"/>
    </row>
    <row r="42" spans="1:16" s="2" customFormat="1" ht="15" thickBot="1" x14ac:dyDescent="0.35">
      <c r="A42" s="120"/>
      <c r="B42" s="118"/>
      <c r="I42" s="9"/>
      <c r="J42" s="10"/>
      <c r="L42" s="9"/>
      <c r="M42" s="10"/>
      <c r="O42" s="9"/>
      <c r="P42" s="10"/>
    </row>
    <row r="43" spans="1:16" s="2" customFormat="1" ht="15" thickBot="1" x14ac:dyDescent="0.35">
      <c r="A43" s="120"/>
      <c r="B43" s="118"/>
      <c r="I43" s="11" t="str">
        <f>IF(SUM(I37:I42)&gt;SUM(J37:J42),SUM(I37:I42)-SUM(J37:J42),"")</f>
        <v/>
      </c>
      <c r="J43" s="11">
        <f>IF(SUM(J37:J42)&gt;SUM(I37:I42),SUM(J37:J42)-SUM(I37:I42),"")</f>
        <v>2100</v>
      </c>
      <c r="L43" s="11" t="str">
        <f>IF(SUM(L37:L42)&gt;SUM(M37:M42),SUM(L37:L42)-SUM(M37:M42),"")</f>
        <v/>
      </c>
      <c r="M43" s="11" t="str">
        <f>IF(SUM(M37:M42)&gt;SUM(L37:L42),SUM(M37:M42)-SUM(L37:L42),"")</f>
        <v/>
      </c>
      <c r="O43" s="11" t="str">
        <f>IF(SUM(O37:O42)&gt;SUM(P37:P42),SUM(O37:O42)-SUM(P37:P42),"")</f>
        <v/>
      </c>
      <c r="P43" s="11" t="str">
        <f>IF(SUM(P37:P42)&gt;SUM(O37:O42),SUM(P37:P42)-SUM(O37:O42),"")</f>
        <v/>
      </c>
    </row>
    <row r="44" spans="1:16" s="2" customFormat="1" ht="15" thickTop="1" x14ac:dyDescent="0.3">
      <c r="A44" s="120"/>
      <c r="B44" s="118"/>
    </row>
    <row r="45" spans="1:16" s="2" customFormat="1" ht="16.2" thickBot="1" x14ac:dyDescent="0.35">
      <c r="A45" s="120"/>
      <c r="B45" s="118"/>
      <c r="I45" s="400" t="s">
        <v>11</v>
      </c>
      <c r="J45" s="400"/>
      <c r="L45" s="400"/>
      <c r="M45" s="400"/>
      <c r="O45" s="400"/>
      <c r="P45" s="400"/>
    </row>
    <row r="46" spans="1:16" s="2" customFormat="1" x14ac:dyDescent="0.3">
      <c r="A46" s="120"/>
      <c r="B46" s="118"/>
      <c r="I46" s="6">
        <v>5000</v>
      </c>
      <c r="J46" s="7">
        <v>5000</v>
      </c>
      <c r="L46" s="6"/>
      <c r="M46" s="7"/>
      <c r="O46" s="6"/>
      <c r="P46" s="7"/>
    </row>
    <row r="47" spans="1:16" s="2" customFormat="1" x14ac:dyDescent="0.3">
      <c r="A47" s="120"/>
      <c r="B47" s="118"/>
      <c r="I47" s="6"/>
      <c r="J47" s="8"/>
      <c r="L47" s="6"/>
      <c r="M47" s="8"/>
      <c r="O47" s="6"/>
      <c r="P47" s="8"/>
    </row>
    <row r="48" spans="1:16" s="2" customFormat="1" x14ac:dyDescent="0.3">
      <c r="A48" s="120"/>
      <c r="B48" s="118"/>
      <c r="I48" s="6"/>
      <c r="J48" s="8"/>
      <c r="L48" s="6"/>
      <c r="M48" s="8"/>
      <c r="O48" s="6"/>
      <c r="P48" s="8"/>
    </row>
    <row r="49" spans="1:16" s="2" customFormat="1" x14ac:dyDescent="0.3">
      <c r="A49" s="120"/>
      <c r="B49" s="118"/>
      <c r="I49" s="6"/>
      <c r="J49" s="8"/>
      <c r="L49" s="6"/>
      <c r="M49" s="8"/>
      <c r="O49" s="6"/>
      <c r="P49" s="8"/>
    </row>
    <row r="50" spans="1:16" s="2" customFormat="1" x14ac:dyDescent="0.3">
      <c r="A50" s="120"/>
      <c r="B50" s="118"/>
      <c r="I50" s="6"/>
      <c r="J50" s="8"/>
      <c r="L50" s="6"/>
      <c r="M50" s="8"/>
      <c r="O50" s="6"/>
      <c r="P50" s="8"/>
    </row>
    <row r="51" spans="1:16" s="2" customFormat="1" ht="15" thickBot="1" x14ac:dyDescent="0.35">
      <c r="A51" s="120"/>
      <c r="B51" s="118"/>
      <c r="I51" s="9"/>
      <c r="J51" s="10"/>
      <c r="L51" s="9"/>
      <c r="M51" s="10"/>
      <c r="O51" s="9"/>
      <c r="P51" s="10"/>
    </row>
    <row r="52" spans="1:16" s="2" customFormat="1" ht="15" thickBot="1" x14ac:dyDescent="0.35">
      <c r="A52" s="120"/>
      <c r="B52" s="118"/>
      <c r="I52" s="11" t="str">
        <f>IF(SUM(I46:I51)&gt;SUM(J46:J51),SUM(I46:I51)-SUM(J46:J51),"")</f>
        <v/>
      </c>
      <c r="J52" s="11" t="str">
        <f>IF(SUM(J46:J51)&gt;SUM(I46:I51),SUM(J46:J51)-SUM(I46:I51),"")</f>
        <v/>
      </c>
      <c r="L52" s="11" t="str">
        <f>IF(SUM(L46:L51)&gt;SUM(M46:M51),SUM(L46:L51)-SUM(M46:M51),"")</f>
        <v/>
      </c>
      <c r="M52" s="11" t="str">
        <f>IF(SUM(M46:M51)&gt;SUM(L46:L51),SUM(M46:M51)-SUM(L46:L51),"")</f>
        <v/>
      </c>
      <c r="O52" s="11" t="str">
        <f>IF(SUM(O46:O51)&gt;SUM(P46:P51),SUM(O46:O51)-SUM(P46:P51),"")</f>
        <v/>
      </c>
      <c r="P52" s="11" t="str">
        <f>IF(SUM(P46:P51)&gt;SUM(O46:O51),SUM(P46:P51)-SUM(O46:O51),"")</f>
        <v/>
      </c>
    </row>
    <row r="53" spans="1:16" s="2" customFormat="1" ht="15" thickTop="1" x14ac:dyDescent="0.3">
      <c r="A53" s="120"/>
      <c r="B53" s="118"/>
    </row>
    <row r="54" spans="1:16" s="2" customFormat="1" x14ac:dyDescent="0.3">
      <c r="A54" s="120"/>
      <c r="B54" s="118"/>
    </row>
    <row r="55" spans="1:16" s="2" customFormat="1" x14ac:dyDescent="0.3">
      <c r="A55" s="120"/>
      <c r="B55" s="118"/>
    </row>
    <row r="56" spans="1:16" s="2" customFormat="1" ht="16.2" x14ac:dyDescent="0.45">
      <c r="A56" s="120"/>
      <c r="B56" s="118"/>
      <c r="I56" s="5" t="s">
        <v>63</v>
      </c>
    </row>
    <row r="57" spans="1:16" s="2" customFormat="1" x14ac:dyDescent="0.3">
      <c r="A57" s="120"/>
      <c r="B57" s="118"/>
    </row>
    <row r="58" spans="1:16" s="2" customFormat="1" ht="16.2" thickBot="1" x14ac:dyDescent="0.35">
      <c r="A58" s="120"/>
      <c r="B58" s="118"/>
      <c r="I58" s="400" t="s">
        <v>8</v>
      </c>
      <c r="J58" s="400"/>
      <c r="L58" s="400" t="s">
        <v>62</v>
      </c>
      <c r="M58" s="400"/>
      <c r="O58" s="401"/>
      <c r="P58" s="401"/>
    </row>
    <row r="59" spans="1:16" s="2" customFormat="1" x14ac:dyDescent="0.3">
      <c r="A59" s="120"/>
      <c r="B59" s="118"/>
      <c r="I59" s="6"/>
      <c r="J59" s="7">
        <v>30000</v>
      </c>
      <c r="L59" s="6"/>
      <c r="M59" s="7">
        <v>5030</v>
      </c>
      <c r="O59" s="6"/>
      <c r="P59" s="7"/>
    </row>
    <row r="60" spans="1:16" s="2" customFormat="1" x14ac:dyDescent="0.3">
      <c r="A60" s="120"/>
      <c r="B60" s="118"/>
      <c r="I60" s="6"/>
      <c r="J60" s="8"/>
      <c r="L60" s="6"/>
      <c r="M60" s="8"/>
      <c r="O60" s="6"/>
      <c r="P60" s="8"/>
    </row>
    <row r="61" spans="1:16" s="2" customFormat="1" x14ac:dyDescent="0.3">
      <c r="A61" s="120"/>
      <c r="B61" s="118"/>
      <c r="I61" s="6"/>
      <c r="J61" s="8"/>
      <c r="L61" s="6"/>
      <c r="M61" s="8"/>
      <c r="O61" s="6"/>
      <c r="P61" s="8"/>
    </row>
    <row r="62" spans="1:16" s="2" customFormat="1" x14ac:dyDescent="0.3">
      <c r="A62" s="120"/>
      <c r="B62" s="118"/>
      <c r="I62" s="6"/>
      <c r="J62" s="8"/>
      <c r="L62" s="6"/>
      <c r="M62" s="8"/>
      <c r="O62" s="6"/>
      <c r="P62" s="8"/>
    </row>
    <row r="63" spans="1:16" s="2" customFormat="1" x14ac:dyDescent="0.3">
      <c r="A63" s="120"/>
      <c r="B63" s="118"/>
      <c r="I63" s="6"/>
      <c r="J63" s="8"/>
      <c r="L63" s="6"/>
      <c r="M63" s="8"/>
      <c r="O63" s="6"/>
      <c r="P63" s="8"/>
    </row>
    <row r="64" spans="1:16" s="2" customFormat="1" ht="15" thickBot="1" x14ac:dyDescent="0.35">
      <c r="A64" s="120"/>
      <c r="B64" s="118"/>
      <c r="I64" s="9"/>
      <c r="J64" s="10"/>
      <c r="L64" s="9"/>
      <c r="M64" s="10"/>
      <c r="O64" s="9"/>
      <c r="P64" s="10"/>
    </row>
    <row r="65" spans="1:16" s="2" customFormat="1" ht="15" thickBot="1" x14ac:dyDescent="0.35">
      <c r="A65" s="120"/>
      <c r="B65" s="118"/>
      <c r="I65" s="11" t="str">
        <f>IF(SUM(I59:I64)&gt;SUM(J59:J64),SUM(I59:I64)-SUM(J59:J64),"")</f>
        <v/>
      </c>
      <c r="J65" s="11">
        <f>IF(SUM(J59:J64)&gt;SUM(I59:I64),SUM(J59:J64)-SUM(I59:I64),"")</f>
        <v>30000</v>
      </c>
      <c r="L65" s="11" t="str">
        <f>IF(SUM(L59:L64)&gt;SUM(M59:M64),SUM(L59:L64)-SUM(M59:M64),"")</f>
        <v/>
      </c>
      <c r="M65" s="11">
        <f>IF(SUM(M59:M64)&gt;SUM(L59:L64),SUM(M59:M64)-SUM(L59:L64),"")</f>
        <v>5030</v>
      </c>
      <c r="O65" s="11" t="str">
        <f>IF(SUM(O59:O64)&gt;SUM(P59:P64),SUM(O59:O64)-SUM(P59:P64),"")</f>
        <v/>
      </c>
      <c r="P65" s="11" t="str">
        <f>IF(SUM(P59:P64)&gt;SUM(O59:O64),SUM(P59:P64)-SUM(O59:O64),"")</f>
        <v/>
      </c>
    </row>
    <row r="66" spans="1:16" s="2" customFormat="1" ht="15" thickTop="1" x14ac:dyDescent="0.3">
      <c r="A66" s="120"/>
      <c r="B66" s="118"/>
    </row>
    <row r="67" spans="1:16" s="2" customFormat="1" ht="16.2" thickBot="1" x14ac:dyDescent="0.35">
      <c r="A67" s="120"/>
      <c r="B67" s="118"/>
      <c r="I67" s="400"/>
      <c r="J67" s="400"/>
      <c r="L67" s="400"/>
      <c r="M67" s="400"/>
      <c r="O67" s="400"/>
      <c r="P67" s="400"/>
    </row>
    <row r="68" spans="1:16" s="2" customFormat="1" x14ac:dyDescent="0.3">
      <c r="A68" s="120"/>
      <c r="B68" s="118"/>
      <c r="I68" s="6"/>
      <c r="J68" s="7"/>
      <c r="L68" s="6"/>
      <c r="M68" s="7"/>
      <c r="O68" s="6"/>
      <c r="P68" s="7"/>
    </row>
    <row r="69" spans="1:16" s="2" customFormat="1" x14ac:dyDescent="0.3">
      <c r="A69" s="120"/>
      <c r="B69" s="118"/>
      <c r="I69" s="6"/>
      <c r="J69" s="8"/>
      <c r="L69" s="6"/>
      <c r="M69" s="8"/>
      <c r="O69" s="6"/>
      <c r="P69" s="8"/>
    </row>
    <row r="70" spans="1:16" s="2" customFormat="1" x14ac:dyDescent="0.3">
      <c r="A70" s="120"/>
      <c r="B70" s="118"/>
      <c r="I70" s="6"/>
      <c r="J70" s="8"/>
      <c r="L70" s="6"/>
      <c r="M70" s="8"/>
      <c r="O70" s="6"/>
      <c r="P70" s="8"/>
    </row>
    <row r="71" spans="1:16" s="2" customFormat="1" x14ac:dyDescent="0.3">
      <c r="A71" s="120"/>
      <c r="B71" s="118"/>
      <c r="I71" s="6"/>
      <c r="J71" s="8"/>
      <c r="L71" s="6"/>
      <c r="M71" s="8"/>
      <c r="O71" s="6"/>
      <c r="P71" s="8"/>
    </row>
    <row r="72" spans="1:16" s="2" customFormat="1" x14ac:dyDescent="0.3">
      <c r="A72" s="120"/>
      <c r="B72" s="118"/>
      <c r="I72" s="6"/>
      <c r="J72" s="8"/>
      <c r="L72" s="6"/>
      <c r="M72" s="8"/>
      <c r="O72" s="6"/>
      <c r="P72" s="8"/>
    </row>
    <row r="73" spans="1:16" s="2" customFormat="1" ht="15" thickBot="1" x14ac:dyDescent="0.35">
      <c r="A73" s="120"/>
      <c r="B73" s="118"/>
      <c r="I73" s="9"/>
      <c r="J73" s="10"/>
      <c r="L73" s="9"/>
      <c r="M73" s="10"/>
      <c r="O73" s="9"/>
      <c r="P73" s="10"/>
    </row>
    <row r="74" spans="1:16" s="2" customFormat="1" ht="15" thickBot="1" x14ac:dyDescent="0.35">
      <c r="A74" s="120"/>
      <c r="B74" s="118"/>
      <c r="I74" s="11" t="str">
        <f>IF(SUM(I68:I73)&gt;SUM(J68:J73),SUM(I68:I73)-SUM(J68:J73),"")</f>
        <v/>
      </c>
      <c r="J74" s="11" t="str">
        <f>IF(SUM(J68:J73)&gt;SUM(I68:I73),SUM(J68:J73)-SUM(I68:I73),"")</f>
        <v/>
      </c>
      <c r="L74" s="11" t="str">
        <f>IF(SUM(L68:L73)&gt;SUM(M68:M73),SUM(L68:L73)-SUM(M68:M73),"")</f>
        <v/>
      </c>
      <c r="M74" s="11" t="str">
        <f>IF(SUM(M68:M73)&gt;SUM(L68:L73),SUM(M68:M73)-SUM(L68:L73),"")</f>
        <v/>
      </c>
      <c r="O74" s="11" t="str">
        <f>IF(SUM(O68:O73)&gt;SUM(P68:P73),SUM(O68:O73)-SUM(P68:P73),"")</f>
        <v/>
      </c>
      <c r="P74" s="11" t="str">
        <f>IF(SUM(P68:P73)&gt;SUM(O68:O73),SUM(P68:P73)-SUM(O68:O73),"")</f>
        <v/>
      </c>
    </row>
    <row r="75" spans="1:16" s="2" customFormat="1" ht="15" thickTop="1" x14ac:dyDescent="0.3">
      <c r="A75" s="120"/>
      <c r="B75" s="118"/>
    </row>
    <row r="76" spans="1:16" s="2" customFormat="1" x14ac:dyDescent="0.3">
      <c r="A76" s="120"/>
      <c r="B76" s="118"/>
    </row>
    <row r="77" spans="1:16" s="2" customFormat="1" x14ac:dyDescent="0.3">
      <c r="A77" s="120"/>
      <c r="B77" s="118"/>
    </row>
    <row r="78" spans="1:16" s="2" customFormat="1" x14ac:dyDescent="0.3">
      <c r="A78" s="120"/>
      <c r="B78" s="118"/>
    </row>
    <row r="79" spans="1:16" s="2" customFormat="1" x14ac:dyDescent="0.3">
      <c r="A79" s="120"/>
      <c r="B79" s="118"/>
    </row>
    <row r="80" spans="1:16" s="2" customFormat="1" x14ac:dyDescent="0.3">
      <c r="A80" s="120"/>
      <c r="B80" s="118"/>
    </row>
    <row r="81" spans="1:2" s="2" customFormat="1" x14ac:dyDescent="0.3">
      <c r="A81" s="120"/>
      <c r="B81" s="118"/>
    </row>
    <row r="82" spans="1:2" s="2" customFormat="1" x14ac:dyDescent="0.3">
      <c r="A82" s="120"/>
      <c r="B82" s="118"/>
    </row>
    <row r="83" spans="1:2" s="2" customFormat="1" x14ac:dyDescent="0.3">
      <c r="A83" s="120"/>
      <c r="B83" s="118"/>
    </row>
    <row r="84" spans="1:2" s="2" customFormat="1" x14ac:dyDescent="0.3">
      <c r="A84" s="120"/>
      <c r="B84" s="118"/>
    </row>
    <row r="85" spans="1:2" s="2" customFormat="1" x14ac:dyDescent="0.3">
      <c r="A85" s="120"/>
      <c r="B85" s="118"/>
    </row>
    <row r="86" spans="1:2" s="2" customFormat="1" x14ac:dyDescent="0.3">
      <c r="A86" s="120"/>
      <c r="B86" s="118"/>
    </row>
    <row r="87" spans="1:2" s="2" customFormat="1" x14ac:dyDescent="0.3">
      <c r="A87" s="120"/>
      <c r="B87" s="118"/>
    </row>
    <row r="88" spans="1:2" s="2" customFormat="1" x14ac:dyDescent="0.3">
      <c r="A88" s="120"/>
      <c r="B88" s="118"/>
    </row>
    <row r="89" spans="1:2" s="2" customFormat="1" x14ac:dyDescent="0.3">
      <c r="A89" s="120"/>
      <c r="B89" s="118"/>
    </row>
    <row r="90" spans="1:2" s="2" customFormat="1" x14ac:dyDescent="0.3">
      <c r="A90" s="120"/>
      <c r="B90" s="118"/>
    </row>
    <row r="91" spans="1:2" s="2" customFormat="1" x14ac:dyDescent="0.3">
      <c r="A91" s="120"/>
      <c r="B91" s="118"/>
    </row>
    <row r="92" spans="1:2" s="2" customFormat="1" x14ac:dyDescent="0.3">
      <c r="A92" s="120"/>
      <c r="B92" s="118"/>
    </row>
    <row r="93" spans="1:2" s="2" customFormat="1" x14ac:dyDescent="0.3">
      <c r="A93" s="120"/>
      <c r="B93" s="118"/>
    </row>
    <row r="94" spans="1:2" s="2" customFormat="1" x14ac:dyDescent="0.3">
      <c r="A94" s="120"/>
      <c r="B94" s="118"/>
    </row>
    <row r="95" spans="1:2" s="2" customFormat="1" x14ac:dyDescent="0.3">
      <c r="A95" s="120"/>
      <c r="B95" s="118"/>
    </row>
    <row r="96" spans="1:2" s="2" customFormat="1" x14ac:dyDescent="0.3">
      <c r="A96" s="120"/>
      <c r="B96" s="118"/>
    </row>
    <row r="97" spans="1:2" s="2" customFormat="1" x14ac:dyDescent="0.3">
      <c r="A97" s="120"/>
      <c r="B97" s="118"/>
    </row>
    <row r="98" spans="1:2" s="2" customFormat="1" x14ac:dyDescent="0.3">
      <c r="A98" s="120"/>
      <c r="B98" s="118"/>
    </row>
    <row r="99" spans="1:2" s="2" customFormat="1" x14ac:dyDescent="0.3">
      <c r="A99" s="120"/>
      <c r="B99" s="118"/>
    </row>
    <row r="100" spans="1:2" s="2" customFormat="1" x14ac:dyDescent="0.3">
      <c r="A100" s="120"/>
      <c r="B100" s="118"/>
    </row>
  </sheetData>
  <mergeCells count="44">
    <mergeCell ref="AF13:AG13"/>
    <mergeCell ref="AI1:AL1"/>
    <mergeCell ref="AI2:AL2"/>
    <mergeCell ref="A10:A26"/>
    <mergeCell ref="X1:AB1"/>
    <mergeCell ref="X2:AB2"/>
    <mergeCell ref="AD1:AG1"/>
    <mergeCell ref="AD2:AG2"/>
    <mergeCell ref="AD5:AE5"/>
    <mergeCell ref="AF5:AG5"/>
    <mergeCell ref="I23:J23"/>
    <mergeCell ref="L23:M23"/>
    <mergeCell ref="O23:P23"/>
    <mergeCell ref="D1:G1"/>
    <mergeCell ref="D2:G2"/>
    <mergeCell ref="D5:E5"/>
    <mergeCell ref="I67:J67"/>
    <mergeCell ref="L67:M67"/>
    <mergeCell ref="O67:P67"/>
    <mergeCell ref="R1:V1"/>
    <mergeCell ref="R2:V2"/>
    <mergeCell ref="S5:U5"/>
    <mergeCell ref="S9:T9"/>
    <mergeCell ref="S11:U11"/>
    <mergeCell ref="S17:T17"/>
    <mergeCell ref="S19:T19"/>
    <mergeCell ref="I45:J45"/>
    <mergeCell ref="L45:M45"/>
    <mergeCell ref="O45:P45"/>
    <mergeCell ref="I58:J58"/>
    <mergeCell ref="L58:M58"/>
    <mergeCell ref="O58:P58"/>
    <mergeCell ref="I1:P1"/>
    <mergeCell ref="I5:J5"/>
    <mergeCell ref="L5:M5"/>
    <mergeCell ref="O5:P5"/>
    <mergeCell ref="I14:J14"/>
    <mergeCell ref="L14:M14"/>
    <mergeCell ref="O14:P14"/>
    <mergeCell ref="F5:G5"/>
    <mergeCell ref="F12:G12"/>
    <mergeCell ref="I36:J36"/>
    <mergeCell ref="L36:M36"/>
    <mergeCell ref="O36:P36"/>
  </mergeCells>
  <conditionalFormatting sqref="E6:E8 E11:E16 G15 G13 E18">
    <cfRule type="cellIs" dxfId="79" priority="37" operator="lessThan">
      <formula>0</formula>
    </cfRule>
  </conditionalFormatting>
  <conditionalFormatting sqref="G6:G9">
    <cfRule type="cellIs" dxfId="78" priority="36" operator="lessThan">
      <formula>0</formula>
    </cfRule>
  </conditionalFormatting>
  <conditionalFormatting sqref="E9:E10">
    <cfRule type="cellIs" dxfId="77" priority="34" operator="lessThan">
      <formula>0</formula>
    </cfRule>
  </conditionalFormatting>
  <conditionalFormatting sqref="AA7">
    <cfRule type="cellIs" dxfId="76" priority="30" operator="lessThan">
      <formula>0</formula>
    </cfRule>
  </conditionalFormatting>
  <conditionalFormatting sqref="U6:U10">
    <cfRule type="cellIs" dxfId="75" priority="32" operator="lessThan">
      <formula>0</formula>
    </cfRule>
  </conditionalFormatting>
  <conditionalFormatting sqref="U12:U18">
    <cfRule type="cellIs" dxfId="74" priority="31" operator="lessThan">
      <formula>0</formula>
    </cfRule>
  </conditionalFormatting>
  <conditionalFormatting sqref="AA12">
    <cfRule type="cellIs" dxfId="73" priority="29" operator="lessThan">
      <formula>0</formula>
    </cfRule>
  </conditionalFormatting>
  <conditionalFormatting sqref="AA13">
    <cfRule type="cellIs" dxfId="72" priority="28" operator="lessThan">
      <formula>0</formula>
    </cfRule>
  </conditionalFormatting>
  <conditionalFormatting sqref="AE6:AE18">
    <cfRule type="cellIs" dxfId="71" priority="27" operator="lessThan">
      <formula>0</formula>
    </cfRule>
  </conditionalFormatting>
  <conditionalFormatting sqref="AG6:AG9">
    <cfRule type="cellIs" dxfId="70" priority="26" operator="lessThan">
      <formula>0</formula>
    </cfRule>
  </conditionalFormatting>
  <conditionalFormatting sqref="AG14:AG15">
    <cfRule type="cellIs" dxfId="69" priority="25" operator="lessThan">
      <formula>0</formula>
    </cfRule>
  </conditionalFormatting>
  <conditionalFormatting sqref="AL6">
    <cfRule type="iconSet" priority="22">
      <iconSet iconSet="3Symbols">
        <cfvo type="percent" val="0"/>
        <cfvo type="num" val="0.2"/>
        <cfvo type="num" val="0.22"/>
      </iconSet>
    </cfRule>
    <cfRule type="cellIs" dxfId="68" priority="23" operator="lessThanOrEqual">
      <formula>0.19</formula>
    </cfRule>
    <cfRule type="cellIs" dxfId="67" priority="24" operator="greaterThanOrEqual">
      <formula>0.2</formula>
    </cfRule>
  </conditionalFormatting>
  <conditionalFormatting sqref="AL9">
    <cfRule type="iconSet" priority="19">
      <iconSet iconSet="3Symbols">
        <cfvo type="percent" val="0"/>
        <cfvo type="num" val="0.45"/>
        <cfvo type="num" val="0.47"/>
      </iconSet>
    </cfRule>
    <cfRule type="cellIs" dxfId="66" priority="20" operator="lessThanOrEqual">
      <formula>0.44</formula>
    </cfRule>
    <cfRule type="cellIs" dxfId="65" priority="21" operator="greaterThanOrEqual">
      <formula>0.45</formula>
    </cfRule>
  </conditionalFormatting>
  <conditionalFormatting sqref="AL12">
    <cfRule type="iconSet" priority="16">
      <iconSet iconSet="3Symbols">
        <cfvo type="percent" val="0"/>
        <cfvo type="num" val="0.05"/>
        <cfvo type="num" val="7.0000000000000007E-2"/>
      </iconSet>
    </cfRule>
    <cfRule type="cellIs" dxfId="64" priority="17" operator="lessThanOrEqual">
      <formula>0.04</formula>
    </cfRule>
    <cfRule type="cellIs" dxfId="63" priority="18" operator="greaterThanOrEqual">
      <formula>0.05</formula>
    </cfRule>
  </conditionalFormatting>
  <conditionalFormatting sqref="AL15">
    <cfRule type="iconSet" priority="13">
      <iconSet iconSet="3Symbols">
        <cfvo type="percent" val="0"/>
        <cfvo type="num" val="0.1"/>
        <cfvo type="num" val="0.12"/>
      </iconSet>
    </cfRule>
    <cfRule type="cellIs" dxfId="62" priority="14" operator="lessThanOrEqual">
      <formula>0.09</formula>
    </cfRule>
    <cfRule type="cellIs" dxfId="61" priority="15" operator="greaterThanOrEqual">
      <formula>0.1</formula>
    </cfRule>
  </conditionalFormatting>
  <conditionalFormatting sqref="AK6">
    <cfRule type="iconSet" priority="10">
      <iconSet iconSet="3Symbols">
        <cfvo type="percent" val="0"/>
        <cfvo type="num" val="0.2"/>
        <cfvo type="num" val="0.22"/>
      </iconSet>
    </cfRule>
    <cfRule type="cellIs" dxfId="60" priority="11" operator="lessThanOrEqual">
      <formula>0.19</formula>
    </cfRule>
    <cfRule type="cellIs" dxfId="59" priority="12" operator="greaterThanOrEqual">
      <formula>0.2</formula>
    </cfRule>
  </conditionalFormatting>
  <conditionalFormatting sqref="AK9">
    <cfRule type="iconSet" priority="7">
      <iconSet iconSet="3Symbols">
        <cfvo type="percent" val="0"/>
        <cfvo type="num" val="0.45"/>
        <cfvo type="num" val="0.47"/>
      </iconSet>
    </cfRule>
    <cfRule type="cellIs" dxfId="58" priority="8" operator="lessThanOrEqual">
      <formula>0.44</formula>
    </cfRule>
    <cfRule type="cellIs" dxfId="57" priority="9" operator="greaterThanOrEqual">
      <formula>0.45</formula>
    </cfRule>
  </conditionalFormatting>
  <conditionalFormatting sqref="AK12">
    <cfRule type="iconSet" priority="4">
      <iconSet iconSet="3Symbols">
        <cfvo type="percent" val="0"/>
        <cfvo type="num" val="0.05"/>
        <cfvo type="num" val="7.0000000000000007E-2"/>
      </iconSet>
    </cfRule>
    <cfRule type="cellIs" dxfId="56" priority="5" operator="lessThanOrEqual">
      <formula>0.04</formula>
    </cfRule>
    <cfRule type="cellIs" dxfId="55" priority="6" operator="greaterThanOrEqual">
      <formula>0.05</formula>
    </cfRule>
  </conditionalFormatting>
  <conditionalFormatting sqref="AK15">
    <cfRule type="iconSet" priority="1">
      <iconSet iconSet="3Symbols">
        <cfvo type="percent" val="0"/>
        <cfvo type="num" val="0.1"/>
        <cfvo type="num" val="0.12"/>
      </iconSet>
    </cfRule>
    <cfRule type="cellIs" dxfId="54" priority="2" operator="lessThanOrEqual">
      <formula>0.09</formula>
    </cfRule>
    <cfRule type="cellIs" dxfId="53" priority="3" operator="greaterThanOrEqual">
      <formula>0.1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BEB6-1E44-42B4-AF86-828082318F45}">
  <dimension ref="A1:AL100"/>
  <sheetViews>
    <sheetView showGridLines="0" workbookViewId="0">
      <pane xSplit="1" topLeftCell="B1" activePane="topRight" state="frozen"/>
      <selection pane="topRight"/>
    </sheetView>
  </sheetViews>
  <sheetFormatPr baseColWidth="10" defaultRowHeight="14.4" x14ac:dyDescent="0.3"/>
  <cols>
    <col min="1" max="1" width="10.109375" customWidth="1"/>
    <col min="2" max="2" width="0.5546875" customWidth="1"/>
    <col min="3" max="3" width="4.33203125" customWidth="1"/>
    <col min="4" max="4" width="19" bestFit="1" customWidth="1"/>
    <col min="9" max="10" width="11.109375" customWidth="1"/>
    <col min="12" max="13" width="11.109375" customWidth="1"/>
    <col min="15" max="16" width="11.109375" customWidth="1"/>
    <col min="19" max="19" width="2" bestFit="1" customWidth="1"/>
    <col min="20" max="20" width="29.88671875" customWidth="1"/>
    <col min="25" max="25" width="2.6640625" bestFit="1" customWidth="1"/>
    <col min="26" max="26" width="27" bestFit="1" customWidth="1"/>
    <col min="27" max="27" width="9.33203125" bestFit="1" customWidth="1"/>
    <col min="30" max="30" width="19" bestFit="1" customWidth="1"/>
    <col min="31" max="31" width="10.109375" bestFit="1" customWidth="1"/>
    <col min="32" max="32" width="20.21875" bestFit="1" customWidth="1"/>
    <col min="33" max="33" width="10.109375" bestFit="1" customWidth="1"/>
    <col min="35" max="35" width="29.77734375" bestFit="1" customWidth="1"/>
    <col min="36" max="36" width="13.5546875" bestFit="1" customWidth="1"/>
    <col min="37" max="37" width="7.5546875" bestFit="1" customWidth="1"/>
    <col min="38" max="38" width="8.21875" bestFit="1" customWidth="1"/>
  </cols>
  <sheetData>
    <row r="1" spans="1:38" s="2" customFormat="1" ht="18" x14ac:dyDescent="0.35">
      <c r="A1" s="120"/>
      <c r="B1" s="19"/>
      <c r="D1" s="407" t="s">
        <v>88</v>
      </c>
      <c r="E1" s="407"/>
      <c r="F1" s="407"/>
      <c r="G1" s="407"/>
      <c r="I1" s="407" t="s">
        <v>0</v>
      </c>
      <c r="J1" s="407"/>
      <c r="K1" s="407"/>
      <c r="L1" s="407"/>
      <c r="M1" s="407"/>
      <c r="N1" s="407"/>
      <c r="O1" s="407"/>
      <c r="P1" s="407"/>
      <c r="R1" s="407" t="s">
        <v>28</v>
      </c>
      <c r="S1" s="407"/>
      <c r="T1" s="407"/>
      <c r="U1" s="407"/>
      <c r="V1" s="407"/>
      <c r="X1" s="407" t="s">
        <v>72</v>
      </c>
      <c r="Y1" s="407"/>
      <c r="Z1" s="407"/>
      <c r="AA1" s="407"/>
      <c r="AB1" s="407"/>
      <c r="AD1" s="407" t="s">
        <v>84</v>
      </c>
      <c r="AE1" s="407"/>
      <c r="AF1" s="407"/>
      <c r="AG1" s="407"/>
      <c r="AI1" s="407" t="s">
        <v>38</v>
      </c>
      <c r="AJ1" s="407"/>
      <c r="AK1" s="407"/>
      <c r="AL1" s="407"/>
    </row>
    <row r="2" spans="1:38" s="2" customFormat="1" x14ac:dyDescent="0.3">
      <c r="A2" s="120"/>
      <c r="B2" s="19"/>
      <c r="D2" s="409" t="s">
        <v>89</v>
      </c>
      <c r="E2" s="409"/>
      <c r="F2" s="409"/>
      <c r="G2" s="409"/>
      <c r="R2" s="409" t="s">
        <v>105</v>
      </c>
      <c r="S2" s="409"/>
      <c r="T2" s="409"/>
      <c r="U2" s="409"/>
      <c r="V2" s="409"/>
      <c r="X2" s="409" t="s">
        <v>106</v>
      </c>
      <c r="Y2" s="409"/>
      <c r="Z2" s="409"/>
      <c r="AA2" s="409"/>
      <c r="AB2" s="409"/>
      <c r="AD2" s="409" t="s">
        <v>108</v>
      </c>
      <c r="AE2" s="409"/>
      <c r="AF2" s="409"/>
      <c r="AG2" s="409"/>
      <c r="AI2" s="409" t="s">
        <v>111</v>
      </c>
      <c r="AJ2" s="409"/>
      <c r="AK2" s="409"/>
      <c r="AL2" s="409"/>
    </row>
    <row r="3" spans="1:38" s="2" customFormat="1" ht="16.2" x14ac:dyDescent="0.45">
      <c r="A3" s="120"/>
      <c r="B3" s="19"/>
      <c r="I3" s="5" t="s">
        <v>95</v>
      </c>
    </row>
    <row r="4" spans="1:38" s="2" customFormat="1" x14ac:dyDescent="0.3">
      <c r="A4" s="120"/>
      <c r="B4" s="19"/>
    </row>
    <row r="5" spans="1:38" s="2" customFormat="1" ht="16.2" thickBot="1" x14ac:dyDescent="0.35">
      <c r="A5" s="120"/>
      <c r="B5" s="19"/>
      <c r="D5" s="401" t="s">
        <v>32</v>
      </c>
      <c r="E5" s="401"/>
      <c r="F5" s="410" t="s">
        <v>37</v>
      </c>
      <c r="G5" s="401"/>
      <c r="I5" s="400" t="s">
        <v>1</v>
      </c>
      <c r="J5" s="400"/>
      <c r="L5" s="400" t="s">
        <v>2</v>
      </c>
      <c r="M5" s="400"/>
      <c r="O5" s="400" t="s">
        <v>3</v>
      </c>
      <c r="P5" s="400"/>
      <c r="S5" s="403" t="s">
        <v>16</v>
      </c>
      <c r="T5" s="403"/>
      <c r="U5" s="403"/>
      <c r="Y5" s="2" t="s">
        <v>15</v>
      </c>
      <c r="Z5" s="2" t="s">
        <v>74</v>
      </c>
      <c r="AA5" s="17">
        <v>59000</v>
      </c>
      <c r="AD5" s="401" t="s">
        <v>32</v>
      </c>
      <c r="AE5" s="401"/>
      <c r="AF5" s="410" t="s">
        <v>37</v>
      </c>
      <c r="AG5" s="401"/>
      <c r="AJ5" s="29" t="s">
        <v>43</v>
      </c>
      <c r="AK5" s="30">
        <v>1970</v>
      </c>
      <c r="AL5" s="29">
        <v>1970</v>
      </c>
    </row>
    <row r="6" spans="1:38" s="2" customFormat="1" ht="15.6" x14ac:dyDescent="0.3">
      <c r="A6" s="120"/>
      <c r="B6" s="19"/>
      <c r="D6" s="2" t="s">
        <v>1</v>
      </c>
      <c r="E6" s="17">
        <f>+'caso de estudio 2'!AE6</f>
        <v>3800</v>
      </c>
      <c r="F6" s="24" t="s">
        <v>8</v>
      </c>
      <c r="G6" s="17">
        <f>+'caso de estudio 2'!AG6</f>
        <v>2100</v>
      </c>
      <c r="I6" s="6">
        <v>3800</v>
      </c>
      <c r="J6" s="7">
        <v>7000</v>
      </c>
      <c r="L6" s="6">
        <v>3000</v>
      </c>
      <c r="M6" s="7">
        <v>54000</v>
      </c>
      <c r="O6" s="6">
        <v>2400</v>
      </c>
      <c r="P6" s="7">
        <v>2400</v>
      </c>
      <c r="S6" s="2" t="s">
        <v>15</v>
      </c>
      <c r="T6" s="12" t="s">
        <v>1</v>
      </c>
      <c r="U6" s="13">
        <f>+I6</f>
        <v>3800</v>
      </c>
      <c r="Y6" s="2" t="s">
        <v>50</v>
      </c>
      <c r="Z6" s="2" t="s">
        <v>75</v>
      </c>
      <c r="AA6" s="17">
        <v>40900</v>
      </c>
      <c r="AD6" s="2" t="s">
        <v>1</v>
      </c>
      <c r="AE6" s="17">
        <f>SUM(I12:J12)</f>
        <v>19800</v>
      </c>
      <c r="AF6" s="24" t="s">
        <v>8</v>
      </c>
      <c r="AG6" s="17">
        <f>SUM(I52:J52)</f>
        <v>14100</v>
      </c>
      <c r="AI6" s="28" t="s">
        <v>41</v>
      </c>
      <c r="AJ6" s="37" t="s">
        <v>49</v>
      </c>
      <c r="AK6" s="31">
        <f>+'caso de estudio 2'!AL6</f>
        <v>4.3809523809523814</v>
      </c>
      <c r="AL6" s="31">
        <f>+AE12/AG11</f>
        <v>1.142298670836591</v>
      </c>
    </row>
    <row r="7" spans="1:38" s="2" customFormat="1" x14ac:dyDescent="0.3">
      <c r="A7" s="120"/>
      <c r="B7" s="19"/>
      <c r="D7" s="2" t="s">
        <v>2</v>
      </c>
      <c r="E7" s="17">
        <f>+'caso de estudio 2'!AE7</f>
        <v>3000</v>
      </c>
      <c r="F7" s="24"/>
      <c r="G7" s="17"/>
      <c r="I7" s="6">
        <v>8000</v>
      </c>
      <c r="J7" s="8">
        <v>20000</v>
      </c>
      <c r="L7" s="6">
        <v>55000</v>
      </c>
      <c r="M7" s="8">
        <v>80</v>
      </c>
      <c r="O7" s="6">
        <v>42000</v>
      </c>
      <c r="P7" s="8">
        <v>38500</v>
      </c>
      <c r="S7" s="2" t="s">
        <v>15</v>
      </c>
      <c r="T7" s="2" t="s">
        <v>13</v>
      </c>
      <c r="U7" s="17">
        <f>+I7</f>
        <v>8000</v>
      </c>
      <c r="Y7" s="43" t="s">
        <v>15</v>
      </c>
      <c r="Z7" s="43" t="s">
        <v>77</v>
      </c>
      <c r="AA7" s="44">
        <f>+AA5-AA6</f>
        <v>18100</v>
      </c>
      <c r="AD7" s="2" t="s">
        <v>2</v>
      </c>
      <c r="AE7" s="17">
        <f>SUM(L12:M12)</f>
        <v>3920</v>
      </c>
      <c r="AF7" s="24" t="s">
        <v>33</v>
      </c>
      <c r="AG7" s="17">
        <f>SUM(L52:M52)</f>
        <v>8000</v>
      </c>
      <c r="AI7" s="32" t="s">
        <v>42</v>
      </c>
      <c r="AJ7" s="38"/>
      <c r="AK7" s="35"/>
      <c r="AL7" s="33"/>
    </row>
    <row r="8" spans="1:38" s="2" customFormat="1" x14ac:dyDescent="0.3">
      <c r="A8" s="120"/>
      <c r="B8" s="19"/>
      <c r="D8" s="2" t="s">
        <v>90</v>
      </c>
      <c r="E8" s="17">
        <v>0</v>
      </c>
      <c r="F8" s="24"/>
      <c r="G8" s="17"/>
      <c r="I8" s="6">
        <v>4000</v>
      </c>
      <c r="J8" s="8">
        <v>12000</v>
      </c>
      <c r="L8" s="6"/>
      <c r="M8" s="8"/>
      <c r="O8" s="6"/>
      <c r="P8" s="8"/>
      <c r="S8" s="2" t="s">
        <v>15</v>
      </c>
      <c r="T8" s="2" t="s">
        <v>99</v>
      </c>
      <c r="U8" s="17">
        <f>+I8</f>
        <v>4000</v>
      </c>
      <c r="Y8" s="2" t="s">
        <v>50</v>
      </c>
      <c r="Z8" s="2" t="s">
        <v>103</v>
      </c>
      <c r="AA8" s="17">
        <f>+U17</f>
        <v>6000</v>
      </c>
      <c r="AD8" s="2" t="s">
        <v>90</v>
      </c>
      <c r="AE8" s="17">
        <f>SUM(L30:M30)</f>
        <v>2000</v>
      </c>
      <c r="AF8" s="24" t="s">
        <v>34</v>
      </c>
      <c r="AG8" s="17">
        <f>SUM(O52:P52)</f>
        <v>480</v>
      </c>
      <c r="AJ8" s="36"/>
      <c r="AK8" s="36"/>
      <c r="AL8" s="24"/>
    </row>
    <row r="9" spans="1:38" s="2" customFormat="1" ht="16.2" thickBot="1" x14ac:dyDescent="0.35">
      <c r="A9" s="120"/>
      <c r="B9" s="19"/>
      <c r="D9" s="2" t="s">
        <v>91</v>
      </c>
      <c r="E9" s="17">
        <v>0</v>
      </c>
      <c r="F9" s="24"/>
      <c r="G9" s="25"/>
      <c r="I9" s="6">
        <v>54000</v>
      </c>
      <c r="J9" s="8">
        <v>6000</v>
      </c>
      <c r="L9" s="6"/>
      <c r="M9" s="8"/>
      <c r="O9" s="6"/>
      <c r="P9" s="8"/>
      <c r="S9" s="2" t="s">
        <v>15</v>
      </c>
      <c r="T9" s="2" t="s">
        <v>100</v>
      </c>
      <c r="U9" s="17">
        <f>+I9</f>
        <v>54000</v>
      </c>
      <c r="Y9" s="2" t="s">
        <v>50</v>
      </c>
      <c r="Z9" s="2" t="s">
        <v>107</v>
      </c>
      <c r="AA9" s="17">
        <v>5080</v>
      </c>
      <c r="AD9" s="2" t="s">
        <v>91</v>
      </c>
      <c r="AE9" s="17">
        <v>0</v>
      </c>
      <c r="AF9" s="24" t="s">
        <v>11</v>
      </c>
      <c r="AG9" s="17">
        <f>SUM(I61:J61)</f>
        <v>3000</v>
      </c>
      <c r="AI9" s="28" t="s">
        <v>44</v>
      </c>
      <c r="AJ9" s="39" t="s">
        <v>48</v>
      </c>
      <c r="AK9" s="31">
        <f>+'caso de estudio 2'!AL9</f>
        <v>0.94344196067869646</v>
      </c>
      <c r="AL9" s="31">
        <f>+AG20/AE22</f>
        <v>0.59703843730308759</v>
      </c>
    </row>
    <row r="10" spans="1:38" s="2" customFormat="1" ht="15" thickBot="1" x14ac:dyDescent="0.35">
      <c r="A10" s="404" t="s">
        <v>238</v>
      </c>
      <c r="B10" s="19"/>
      <c r="D10" s="2" t="s">
        <v>31</v>
      </c>
      <c r="E10" s="17">
        <f>+'caso de estudio 2'!AE8</f>
        <v>2400</v>
      </c>
      <c r="F10" s="24"/>
      <c r="G10" s="22">
        <f>SUM(G6:G9)</f>
        <v>2100</v>
      </c>
      <c r="I10" s="6"/>
      <c r="J10" s="8">
        <v>5000</v>
      </c>
      <c r="L10" s="6"/>
      <c r="M10" s="8"/>
      <c r="O10" s="6"/>
      <c r="P10" s="8"/>
      <c r="U10" s="15"/>
      <c r="Y10" s="2" t="s">
        <v>50</v>
      </c>
      <c r="Z10" s="2" t="s">
        <v>79</v>
      </c>
      <c r="AA10" s="17">
        <v>480</v>
      </c>
      <c r="AD10" s="2" t="s">
        <v>31</v>
      </c>
      <c r="AE10" s="17">
        <f>SUM(O12:P12)</f>
        <v>3500</v>
      </c>
      <c r="AF10" s="24"/>
      <c r="AG10" s="25"/>
      <c r="AI10" s="32" t="s">
        <v>45</v>
      </c>
      <c r="AJ10" s="38"/>
      <c r="AK10" s="35"/>
      <c r="AL10" s="33"/>
    </row>
    <row r="11" spans="1:38" s="2" customFormat="1" ht="15" thickBot="1" x14ac:dyDescent="0.35">
      <c r="A11" s="405"/>
      <c r="B11" s="19"/>
      <c r="D11" s="2" t="s">
        <v>4</v>
      </c>
      <c r="E11" s="2">
        <f>+'caso de estudio 2'!AE12</f>
        <v>10000</v>
      </c>
      <c r="F11" s="24"/>
      <c r="I11" s="9"/>
      <c r="J11" s="10"/>
      <c r="L11" s="9"/>
      <c r="M11" s="10"/>
      <c r="O11" s="9"/>
      <c r="P11" s="10"/>
      <c r="S11" s="402" t="s">
        <v>26</v>
      </c>
      <c r="T11" s="402"/>
      <c r="U11" s="16">
        <f>SUM(U6:U10)</f>
        <v>69800</v>
      </c>
      <c r="Y11" s="2" t="s">
        <v>50</v>
      </c>
      <c r="Z11" s="2" t="s">
        <v>80</v>
      </c>
      <c r="AA11" s="2">
        <v>2950</v>
      </c>
      <c r="AE11" s="15"/>
      <c r="AF11" s="24"/>
      <c r="AG11" s="22">
        <f>SUM(AG6:AG10)</f>
        <v>25580</v>
      </c>
      <c r="AJ11" s="36"/>
      <c r="AK11" s="36"/>
      <c r="AL11" s="24"/>
    </row>
    <row r="12" spans="1:38" s="2" customFormat="1" ht="16.2" thickBot="1" x14ac:dyDescent="0.35">
      <c r="A12" s="405"/>
      <c r="B12" s="19"/>
      <c r="D12" s="2" t="s">
        <v>5</v>
      </c>
      <c r="E12" s="17">
        <f>+'caso de estudio 2'!AE13</f>
        <v>14250</v>
      </c>
      <c r="F12" s="411" t="s">
        <v>35</v>
      </c>
      <c r="G12" s="412"/>
      <c r="I12" s="11">
        <f>IF(SUM(I6:I11)&gt;SUM(J6:J11),SUM(I6:I11)-SUM(J6:J11),"")</f>
        <v>19800</v>
      </c>
      <c r="J12" s="11" t="str">
        <f>IF(SUM(J6:J11)&gt;SUM(I6:I11),SUM(J6:J11)-SUM(I6:I11),"")</f>
        <v/>
      </c>
      <c r="L12" s="11">
        <f>IF(SUM(L6:L11)&gt;SUM(M6:M11),SUM(L6:L11)-SUM(M6:M11),"")</f>
        <v>3920</v>
      </c>
      <c r="M12" s="11" t="str">
        <f>IF(SUM(M6:M11)&gt;SUM(L6:L11),SUM(M6:M11)-SUM(L6:L11),"")</f>
        <v/>
      </c>
      <c r="O12" s="11">
        <f>IF(SUM(O6:O11)&gt;SUM(P6:P11),SUM(O6:O11)-SUM(P6:P11),"")</f>
        <v>3500</v>
      </c>
      <c r="P12" s="11" t="str">
        <f>IF(SUM(P6:P11)&gt;SUM(O6:O11),SUM(P6:P11)-SUM(O6:O11),"")</f>
        <v/>
      </c>
      <c r="Y12" s="2" t="s">
        <v>50</v>
      </c>
      <c r="Z12" s="2" t="s">
        <v>81</v>
      </c>
      <c r="AA12" s="17">
        <v>720</v>
      </c>
      <c r="AE12" s="22">
        <f>SUM(AE6:AE11)</f>
        <v>29220</v>
      </c>
      <c r="AF12" s="24"/>
      <c r="AI12" s="28" t="s">
        <v>46</v>
      </c>
      <c r="AJ12" s="39" t="s">
        <v>47</v>
      </c>
      <c r="AK12" s="31">
        <f>+'caso de estudio 2'!AL12</f>
        <v>-6.9423558897243109E-2</v>
      </c>
      <c r="AL12" s="31">
        <f>(AE22-'caso de estudio 2'!AE19)/'caso de estudio 2'!AE19</f>
        <v>0.70966873148397525</v>
      </c>
    </row>
    <row r="13" spans="1:38" s="2" customFormat="1" ht="16.2" thickBot="1" x14ac:dyDescent="0.35">
      <c r="A13" s="405"/>
      <c r="B13" s="19"/>
      <c r="D13" s="2" t="s">
        <v>92</v>
      </c>
      <c r="E13" s="17">
        <v>0</v>
      </c>
      <c r="F13" s="24" t="s">
        <v>36</v>
      </c>
      <c r="G13" s="17">
        <f>+'caso de estudio 2'!AG14</f>
        <v>30000</v>
      </c>
      <c r="S13" s="403" t="s">
        <v>17</v>
      </c>
      <c r="T13" s="403"/>
      <c r="U13" s="403"/>
      <c r="Y13" s="43" t="s">
        <v>50</v>
      </c>
      <c r="Z13" s="43" t="s">
        <v>82</v>
      </c>
      <c r="AA13" s="44">
        <v>15230</v>
      </c>
      <c r="AF13" s="24"/>
      <c r="AI13" s="32" t="s">
        <v>87</v>
      </c>
      <c r="AJ13" s="38"/>
      <c r="AK13" s="35"/>
      <c r="AL13" s="33"/>
    </row>
    <row r="14" spans="1:38" s="2" customFormat="1" ht="16.2" thickBot="1" x14ac:dyDescent="0.35">
      <c r="A14" s="405"/>
      <c r="B14" s="19"/>
      <c r="D14" s="2" t="s">
        <v>6</v>
      </c>
      <c r="E14" s="17">
        <f>+'caso de estudio 2'!AE14</f>
        <v>800</v>
      </c>
      <c r="F14" s="24" t="s">
        <v>94</v>
      </c>
      <c r="G14" s="2">
        <f>+'caso de estudio 2'!AG15</f>
        <v>5030</v>
      </c>
      <c r="I14" s="400" t="s">
        <v>4</v>
      </c>
      <c r="J14" s="400"/>
      <c r="L14" s="400" t="s">
        <v>5</v>
      </c>
      <c r="M14" s="400"/>
      <c r="O14" s="400" t="s">
        <v>6</v>
      </c>
      <c r="P14" s="400"/>
      <c r="S14" s="2" t="s">
        <v>50</v>
      </c>
      <c r="T14" s="2" t="s">
        <v>101</v>
      </c>
      <c r="U14" s="17">
        <f>+J6</f>
        <v>7000</v>
      </c>
      <c r="Y14" s="45" t="s">
        <v>50</v>
      </c>
      <c r="Z14" s="46" t="s">
        <v>83</v>
      </c>
      <c r="AA14" s="47">
        <f>+AA7-AA13</f>
        <v>2870</v>
      </c>
      <c r="AD14" s="2" t="s">
        <v>4</v>
      </c>
      <c r="AE14" s="17">
        <f>SUM(I21:J21)</f>
        <v>10000</v>
      </c>
      <c r="AF14" s="24"/>
      <c r="AJ14" s="36"/>
      <c r="AK14" s="36"/>
      <c r="AL14" s="24"/>
    </row>
    <row r="15" spans="1:38" s="2" customFormat="1" ht="16.2" thickBot="1" x14ac:dyDescent="0.35">
      <c r="A15" s="405"/>
      <c r="B15" s="19"/>
      <c r="D15" s="2" t="s">
        <v>93</v>
      </c>
      <c r="E15" s="17">
        <f>+'caso de estudio 2'!AE15</f>
        <v>2880</v>
      </c>
      <c r="F15" s="42"/>
      <c r="G15" s="15"/>
      <c r="I15" s="6">
        <v>10000</v>
      </c>
      <c r="J15" s="7"/>
      <c r="L15" s="6">
        <v>14250</v>
      </c>
      <c r="M15" s="7">
        <v>750</v>
      </c>
      <c r="O15" s="6">
        <v>800</v>
      </c>
      <c r="P15" s="7">
        <v>200</v>
      </c>
      <c r="S15" s="2" t="s">
        <v>50</v>
      </c>
      <c r="T15" s="2" t="s">
        <v>20</v>
      </c>
      <c r="U15" s="17">
        <f>+J7</f>
        <v>20000</v>
      </c>
      <c r="AD15" s="2" t="s">
        <v>5</v>
      </c>
      <c r="AE15" s="17">
        <f>SUM(L21:M21)</f>
        <v>13500</v>
      </c>
      <c r="AF15" s="410" t="s">
        <v>35</v>
      </c>
      <c r="AG15" s="401"/>
      <c r="AI15" s="28" t="s">
        <v>51</v>
      </c>
      <c r="AJ15" s="39" t="s">
        <v>53</v>
      </c>
      <c r="AK15" s="31">
        <f>+'caso de estudio 2'!AL15</f>
        <v>0.16766666666666666</v>
      </c>
      <c r="AL15" s="48">
        <f>+AA14/AG16</f>
        <v>9.5666666666666664E-2</v>
      </c>
    </row>
    <row r="16" spans="1:38" s="2" customFormat="1" ht="15" thickBot="1" x14ac:dyDescent="0.35">
      <c r="A16" s="405"/>
      <c r="B16" s="19"/>
      <c r="E16" s="15"/>
      <c r="F16" s="24"/>
      <c r="G16" s="22">
        <f>SUM(G13:G15)</f>
        <v>35030</v>
      </c>
      <c r="I16" s="6"/>
      <c r="J16" s="8"/>
      <c r="L16" s="6"/>
      <c r="M16" s="8"/>
      <c r="O16" s="6"/>
      <c r="P16" s="8"/>
      <c r="S16" s="2" t="s">
        <v>50</v>
      </c>
      <c r="T16" s="2" t="s">
        <v>102</v>
      </c>
      <c r="U16" s="17">
        <f>+J8</f>
        <v>12000</v>
      </c>
      <c r="AD16" s="2" t="s">
        <v>92</v>
      </c>
      <c r="AE16" s="17">
        <f>SUM(I39:J39)</f>
        <v>8000</v>
      </c>
      <c r="AF16" s="24" t="s">
        <v>36</v>
      </c>
      <c r="AG16" s="17">
        <f>SUM(I74:J74)</f>
        <v>30000</v>
      </c>
      <c r="AI16" s="32" t="s">
        <v>52</v>
      </c>
      <c r="AJ16" s="38"/>
      <c r="AK16" s="35"/>
      <c r="AL16" s="33"/>
    </row>
    <row r="17" spans="1:33" s="2" customFormat="1" ht="15.6" x14ac:dyDescent="0.3">
      <c r="A17" s="405"/>
      <c r="B17" s="19"/>
      <c r="D17" s="21"/>
      <c r="E17" s="23">
        <f>SUM(E6:E16)</f>
        <v>37130</v>
      </c>
      <c r="F17" s="21"/>
      <c r="G17" s="23">
        <f>+G16+G10</f>
        <v>37130</v>
      </c>
      <c r="I17" s="6"/>
      <c r="J17" s="8"/>
      <c r="L17" s="6"/>
      <c r="M17" s="8"/>
      <c r="O17" s="6"/>
      <c r="P17" s="8"/>
      <c r="S17" s="2" t="s">
        <v>50</v>
      </c>
      <c r="T17" s="2" t="s">
        <v>103</v>
      </c>
      <c r="U17" s="17">
        <f>+J9</f>
        <v>6000</v>
      </c>
      <c r="AD17" s="2" t="s">
        <v>6</v>
      </c>
      <c r="AE17" s="17">
        <f>SUM(O21:P21)</f>
        <v>600</v>
      </c>
      <c r="AF17" s="24" t="s">
        <v>109</v>
      </c>
      <c r="AG17" s="17">
        <f>+M68</f>
        <v>5030</v>
      </c>
    </row>
    <row r="18" spans="1:33" s="2" customFormat="1" x14ac:dyDescent="0.3">
      <c r="A18" s="405"/>
      <c r="B18" s="19"/>
      <c r="D18" s="49"/>
      <c r="E18" s="49"/>
      <c r="F18" s="50"/>
      <c r="G18" s="49"/>
      <c r="I18" s="6"/>
      <c r="J18" s="8"/>
      <c r="L18" s="6"/>
      <c r="M18" s="8"/>
      <c r="O18" s="6"/>
      <c r="P18" s="8"/>
      <c r="S18" s="2" t="s">
        <v>50</v>
      </c>
      <c r="T18" s="2" t="s">
        <v>104</v>
      </c>
      <c r="U18" s="17">
        <f>+J10</f>
        <v>5000</v>
      </c>
      <c r="AD18" s="2" t="s">
        <v>7</v>
      </c>
      <c r="AE18" s="17">
        <f>SUM(I30:J30)</f>
        <v>2160</v>
      </c>
      <c r="AF18" s="24" t="s">
        <v>110</v>
      </c>
      <c r="AG18" s="17">
        <f>+M69</f>
        <v>2870</v>
      </c>
    </row>
    <row r="19" spans="1:33" s="2" customFormat="1" ht="15" thickBot="1" x14ac:dyDescent="0.35">
      <c r="A19" s="405"/>
      <c r="B19" s="19"/>
      <c r="I19" s="6"/>
      <c r="J19" s="8"/>
      <c r="L19" s="6"/>
      <c r="M19" s="8"/>
      <c r="O19" s="6"/>
      <c r="P19" s="8"/>
      <c r="U19" s="15"/>
      <c r="AE19" s="15"/>
      <c r="AF19" s="24"/>
      <c r="AG19" s="25"/>
    </row>
    <row r="20" spans="1:33" s="2" customFormat="1" ht="15" thickBot="1" x14ac:dyDescent="0.35">
      <c r="A20" s="405"/>
      <c r="B20" s="19"/>
      <c r="I20" s="9"/>
      <c r="J20" s="10"/>
      <c r="L20" s="9"/>
      <c r="M20" s="10"/>
      <c r="O20" s="9"/>
      <c r="P20" s="10"/>
      <c r="S20" s="402" t="s">
        <v>27</v>
      </c>
      <c r="T20" s="402"/>
      <c r="U20" s="16">
        <f>SUM(U14:U19)</f>
        <v>50000</v>
      </c>
      <c r="AE20" s="22">
        <f>SUM(AE14:AE19)</f>
        <v>34260</v>
      </c>
      <c r="AF20" s="24"/>
      <c r="AG20" s="22">
        <f>SUM(AG16:AG19)</f>
        <v>37900</v>
      </c>
    </row>
    <row r="21" spans="1:33" s="2" customFormat="1" ht="15" thickBot="1" x14ac:dyDescent="0.35">
      <c r="A21" s="405"/>
      <c r="B21" s="19"/>
      <c r="I21" s="11">
        <f>IF(SUM(I15:I20)&gt;SUM(J15:J20),SUM(I15:I20)-SUM(J15:J20),"")</f>
        <v>10000</v>
      </c>
      <c r="J21" s="11" t="str">
        <f>IF(SUM(J15:J20)&gt;SUM(I15:I20),SUM(J15:J20)-SUM(I15:I20),"")</f>
        <v/>
      </c>
      <c r="L21" s="11">
        <f>IF(SUM(L15:L20)&gt;SUM(M15:M20),SUM(L15:L20)-SUM(M15:M20),"")</f>
        <v>13500</v>
      </c>
      <c r="M21" s="11" t="str">
        <f>IF(SUM(M15:M20)&gt;SUM(L15:L20),SUM(M15:M20)-SUM(L15:L20),"")</f>
        <v/>
      </c>
      <c r="O21" s="11">
        <f>IF(SUM(O15:O20)&gt;SUM(P15:P20),SUM(O15:O20)-SUM(P15:P20),"")</f>
        <v>600</v>
      </c>
      <c r="P21" s="11" t="str">
        <f>IF(SUM(P15:P20)&gt;SUM(O15:O20),SUM(P15:P20)-SUM(O15:O20),"")</f>
        <v/>
      </c>
      <c r="AF21" s="24"/>
    </row>
    <row r="22" spans="1:33" s="2" customFormat="1" ht="16.8" thickTop="1" thickBot="1" x14ac:dyDescent="0.35">
      <c r="A22" s="405"/>
      <c r="B22" s="19"/>
      <c r="S22" s="408" t="s">
        <v>25</v>
      </c>
      <c r="T22" s="408"/>
      <c r="U22" s="18">
        <f>+U11-U20</f>
        <v>19800</v>
      </c>
      <c r="AD22" s="21"/>
      <c r="AE22" s="23">
        <f>+AE12+AE20</f>
        <v>63480</v>
      </c>
      <c r="AF22" s="21"/>
      <c r="AG22" s="23">
        <f>+AG11+AG20</f>
        <v>63480</v>
      </c>
    </row>
    <row r="23" spans="1:33" s="2" customFormat="1" ht="16.2" thickBot="1" x14ac:dyDescent="0.35">
      <c r="A23" s="405"/>
      <c r="B23" s="19"/>
      <c r="I23" s="400" t="s">
        <v>7</v>
      </c>
      <c r="J23" s="400"/>
      <c r="L23" s="400" t="s">
        <v>90</v>
      </c>
      <c r="M23" s="400"/>
      <c r="O23" s="400" t="s">
        <v>91</v>
      </c>
      <c r="P23" s="400"/>
    </row>
    <row r="24" spans="1:33" s="2" customFormat="1" x14ac:dyDescent="0.3">
      <c r="A24" s="405"/>
      <c r="B24" s="19"/>
      <c r="I24" s="6">
        <v>2880</v>
      </c>
      <c r="J24" s="7">
        <v>720</v>
      </c>
      <c r="L24" s="6">
        <v>32000</v>
      </c>
      <c r="M24" s="7">
        <v>30000</v>
      </c>
      <c r="O24" s="6">
        <v>30000</v>
      </c>
      <c r="P24" s="7">
        <v>42000</v>
      </c>
    </row>
    <row r="25" spans="1:33" s="2" customFormat="1" x14ac:dyDescent="0.3">
      <c r="A25" s="405"/>
      <c r="B25" s="19"/>
      <c r="I25" s="6"/>
      <c r="J25" s="8"/>
      <c r="L25" s="6"/>
      <c r="M25" s="8"/>
      <c r="O25" s="6">
        <v>12000</v>
      </c>
      <c r="P25" s="8"/>
    </row>
    <row r="26" spans="1:33" s="2" customFormat="1" ht="15" thickBot="1" x14ac:dyDescent="0.35">
      <c r="A26" s="406"/>
      <c r="B26" s="19"/>
      <c r="I26" s="6"/>
      <c r="J26" s="8"/>
      <c r="L26" s="6"/>
      <c r="M26" s="8"/>
      <c r="O26" s="6"/>
      <c r="P26" s="8"/>
    </row>
    <row r="27" spans="1:33" s="2" customFormat="1" x14ac:dyDescent="0.3">
      <c r="A27" s="120"/>
      <c r="B27" s="19"/>
      <c r="I27" s="6"/>
      <c r="J27" s="8"/>
      <c r="L27" s="6"/>
      <c r="M27" s="8"/>
      <c r="O27" s="6"/>
      <c r="P27" s="8"/>
    </row>
    <row r="28" spans="1:33" s="2" customFormat="1" x14ac:dyDescent="0.3">
      <c r="A28" s="120"/>
      <c r="B28" s="19"/>
      <c r="I28" s="6"/>
      <c r="J28" s="8"/>
      <c r="L28" s="6"/>
      <c r="M28" s="8"/>
      <c r="O28" s="6"/>
      <c r="P28" s="8"/>
    </row>
    <row r="29" spans="1:33" s="2" customFormat="1" ht="15" thickBot="1" x14ac:dyDescent="0.35">
      <c r="A29" s="120"/>
      <c r="B29" s="19"/>
      <c r="I29" s="9"/>
      <c r="J29" s="10"/>
      <c r="L29" s="9"/>
      <c r="M29" s="10"/>
      <c r="O29" s="9"/>
      <c r="P29" s="10"/>
    </row>
    <row r="30" spans="1:33" s="2" customFormat="1" ht="15" thickBot="1" x14ac:dyDescent="0.35">
      <c r="A30" s="120"/>
      <c r="B30" s="19"/>
      <c r="I30" s="11">
        <f>IF(SUM(I24:I29)&gt;SUM(J24:J29),SUM(I24:I29)-SUM(J24:J29),"")</f>
        <v>2160</v>
      </c>
      <c r="J30" s="11" t="str">
        <f>IF(SUM(J24:J29)&gt;SUM(I24:I29),SUM(J24:J29)-SUM(I24:I29),"")</f>
        <v/>
      </c>
      <c r="L30" s="11">
        <f>IF(SUM(L24:L29)&gt;SUM(M24:M29),SUM(L24:L29)-SUM(M24:M29),"")</f>
        <v>2000</v>
      </c>
      <c r="M30" s="11" t="str">
        <f>IF(SUM(M24:M29)&gt;SUM(L24:L29),SUM(M24:M29)-SUM(L24:L29),"")</f>
        <v/>
      </c>
      <c r="O30" s="11" t="str">
        <f>IF(SUM(O24:O29)&gt;SUM(P24:P29),SUM(O24:O29)-SUM(P24:P29),"")</f>
        <v/>
      </c>
      <c r="P30" s="11" t="str">
        <f>IF(SUM(P24:P29)&gt;SUM(O24:O29),SUM(P24:P29)-SUM(O24:O29),"")</f>
        <v/>
      </c>
    </row>
    <row r="31" spans="1:33" s="2" customFormat="1" ht="15" thickTop="1" x14ac:dyDescent="0.3">
      <c r="A31" s="120"/>
      <c r="B31" s="19"/>
    </row>
    <row r="32" spans="1:33" s="2" customFormat="1" ht="16.2" thickBot="1" x14ac:dyDescent="0.35">
      <c r="A32" s="120"/>
      <c r="B32" s="19"/>
      <c r="I32" s="400" t="s">
        <v>92</v>
      </c>
      <c r="J32" s="400"/>
    </row>
    <row r="33" spans="1:16" s="2" customFormat="1" x14ac:dyDescent="0.3">
      <c r="A33" s="120"/>
      <c r="B33" s="19"/>
      <c r="I33" s="6">
        <v>10000</v>
      </c>
      <c r="J33" s="7">
        <v>2000</v>
      </c>
    </row>
    <row r="34" spans="1:16" s="2" customFormat="1" x14ac:dyDescent="0.3">
      <c r="A34" s="120"/>
      <c r="B34" s="19"/>
      <c r="I34" s="6"/>
      <c r="J34" s="8"/>
    </row>
    <row r="35" spans="1:16" s="2" customFormat="1" x14ac:dyDescent="0.3">
      <c r="A35" s="120"/>
      <c r="B35" s="19"/>
      <c r="I35" s="6"/>
      <c r="J35" s="8"/>
    </row>
    <row r="36" spans="1:16" s="2" customFormat="1" x14ac:dyDescent="0.3">
      <c r="A36" s="120"/>
      <c r="B36" s="19"/>
      <c r="I36" s="6"/>
      <c r="J36" s="8"/>
    </row>
    <row r="37" spans="1:16" s="2" customFormat="1" x14ac:dyDescent="0.3">
      <c r="A37" s="120"/>
      <c r="B37" s="19"/>
      <c r="I37" s="6"/>
      <c r="J37" s="8"/>
    </row>
    <row r="38" spans="1:16" s="2" customFormat="1" ht="15" thickBot="1" x14ac:dyDescent="0.35">
      <c r="A38" s="120"/>
      <c r="B38" s="19"/>
      <c r="I38" s="9"/>
      <c r="J38" s="10"/>
    </row>
    <row r="39" spans="1:16" s="2" customFormat="1" ht="15" thickBot="1" x14ac:dyDescent="0.35">
      <c r="A39" s="120"/>
      <c r="B39" s="19"/>
      <c r="I39" s="11">
        <f>IF(SUM(I33:I38)&gt;SUM(J33:J38),SUM(I33:I38)-SUM(J33:J38),"")</f>
        <v>8000</v>
      </c>
      <c r="J39" s="11" t="str">
        <f>IF(SUM(J33:J38)&gt;SUM(I33:I38),SUM(J33:J38)-SUM(I33:I38),"")</f>
        <v/>
      </c>
    </row>
    <row r="40" spans="1:16" s="2" customFormat="1" ht="15" thickTop="1" x14ac:dyDescent="0.3">
      <c r="A40" s="120"/>
      <c r="B40" s="19"/>
      <c r="I40" s="3"/>
      <c r="J40" s="3"/>
    </row>
    <row r="41" spans="1:16" s="2" customFormat="1" x14ac:dyDescent="0.3">
      <c r="A41" s="120"/>
      <c r="B41" s="19"/>
      <c r="I41" s="3"/>
      <c r="J41" s="3"/>
    </row>
    <row r="42" spans="1:16" s="2" customFormat="1" x14ac:dyDescent="0.3">
      <c r="A42" s="120"/>
      <c r="B42" s="19"/>
    </row>
    <row r="43" spans="1:16" s="2" customFormat="1" ht="16.2" x14ac:dyDescent="0.45">
      <c r="A43" s="120"/>
      <c r="B43" s="19"/>
      <c r="I43" s="5" t="s">
        <v>96</v>
      </c>
    </row>
    <row r="44" spans="1:16" s="2" customFormat="1" x14ac:dyDescent="0.3">
      <c r="A44" s="120"/>
      <c r="B44" s="19"/>
    </row>
    <row r="45" spans="1:16" s="2" customFormat="1" ht="16.2" thickBot="1" x14ac:dyDescent="0.35">
      <c r="A45" s="120"/>
      <c r="B45" s="19"/>
      <c r="I45" s="400" t="s">
        <v>8</v>
      </c>
      <c r="J45" s="400"/>
      <c r="L45" s="400" t="s">
        <v>9</v>
      </c>
      <c r="M45" s="400"/>
      <c r="O45" s="401" t="s">
        <v>10</v>
      </c>
      <c r="P45" s="401"/>
    </row>
    <row r="46" spans="1:16" s="2" customFormat="1" x14ac:dyDescent="0.3">
      <c r="A46" s="120"/>
      <c r="B46" s="19"/>
      <c r="I46" s="6">
        <v>20000</v>
      </c>
      <c r="J46" s="7">
        <v>2100</v>
      </c>
      <c r="L46" s="6"/>
      <c r="M46" s="7">
        <v>8000</v>
      </c>
      <c r="O46" s="6"/>
      <c r="P46" s="7">
        <v>480</v>
      </c>
    </row>
    <row r="47" spans="1:16" s="2" customFormat="1" x14ac:dyDescent="0.3">
      <c r="A47" s="120"/>
      <c r="B47" s="19"/>
      <c r="I47" s="6"/>
      <c r="J47" s="8">
        <v>32000</v>
      </c>
      <c r="L47" s="6"/>
      <c r="M47" s="8"/>
      <c r="O47" s="6"/>
      <c r="P47" s="8"/>
    </row>
    <row r="48" spans="1:16" s="2" customFormat="1" x14ac:dyDescent="0.3">
      <c r="A48" s="120"/>
      <c r="B48" s="19"/>
      <c r="I48" s="6"/>
      <c r="J48" s="8"/>
      <c r="L48" s="6"/>
      <c r="M48" s="8"/>
      <c r="O48" s="6"/>
      <c r="P48" s="8"/>
    </row>
    <row r="49" spans="1:16" s="2" customFormat="1" x14ac:dyDescent="0.3">
      <c r="A49" s="120"/>
      <c r="B49" s="19"/>
      <c r="I49" s="6"/>
      <c r="J49" s="8"/>
      <c r="L49" s="6"/>
      <c r="M49" s="8"/>
      <c r="O49" s="6"/>
      <c r="P49" s="8"/>
    </row>
    <row r="50" spans="1:16" s="2" customFormat="1" x14ac:dyDescent="0.3">
      <c r="A50" s="120"/>
      <c r="B50" s="19"/>
      <c r="I50" s="6"/>
      <c r="J50" s="8"/>
      <c r="L50" s="6"/>
      <c r="M50" s="8"/>
      <c r="O50" s="6"/>
      <c r="P50" s="8"/>
    </row>
    <row r="51" spans="1:16" s="2" customFormat="1" ht="15" thickBot="1" x14ac:dyDescent="0.35">
      <c r="A51" s="120"/>
      <c r="B51" s="19"/>
      <c r="I51" s="9"/>
      <c r="J51" s="10"/>
      <c r="L51" s="9"/>
      <c r="M51" s="10"/>
      <c r="O51" s="9"/>
      <c r="P51" s="10"/>
    </row>
    <row r="52" spans="1:16" s="2" customFormat="1" ht="15" thickBot="1" x14ac:dyDescent="0.35">
      <c r="A52" s="120"/>
      <c r="B52" s="19"/>
      <c r="I52" s="11" t="str">
        <f>IF(SUM(I46:I51)&gt;SUM(J46:J51),SUM(I46:I51)-SUM(J46:J51),"")</f>
        <v/>
      </c>
      <c r="J52" s="11">
        <f>IF(SUM(J46:J51)&gt;SUM(I46:I51),SUM(J46:J51)-SUM(I46:I51),"")</f>
        <v>14100</v>
      </c>
      <c r="L52" s="11" t="str">
        <f>IF(SUM(L46:L51)&gt;SUM(M46:M51),SUM(L46:L51)-SUM(M46:M51),"")</f>
        <v/>
      </c>
      <c r="M52" s="11">
        <f>IF(SUM(M46:M51)&gt;SUM(L46:L51),SUM(M46:M51)-SUM(L46:L51),"")</f>
        <v>8000</v>
      </c>
      <c r="O52" s="11" t="str">
        <f>IF(SUM(O46:O51)&gt;SUM(P46:P51),SUM(O46:O51)-SUM(P46:P51),"")</f>
        <v/>
      </c>
      <c r="P52" s="11">
        <f>IF(SUM(P46:P51)&gt;SUM(O46:O51),SUM(P46:P51)-SUM(O46:O51),"")</f>
        <v>480</v>
      </c>
    </row>
    <row r="53" spans="1:16" s="2" customFormat="1" ht="15" thickTop="1" x14ac:dyDescent="0.3">
      <c r="A53" s="120"/>
      <c r="B53" s="19"/>
    </row>
    <row r="54" spans="1:16" s="2" customFormat="1" ht="16.2" thickBot="1" x14ac:dyDescent="0.35">
      <c r="A54" s="120"/>
      <c r="B54" s="19"/>
      <c r="I54" s="400" t="s">
        <v>11</v>
      </c>
      <c r="J54" s="400"/>
      <c r="L54" s="400"/>
      <c r="M54" s="400"/>
      <c r="O54" s="400"/>
      <c r="P54" s="400"/>
    </row>
    <row r="55" spans="1:16" s="2" customFormat="1" x14ac:dyDescent="0.3">
      <c r="A55" s="120"/>
      <c r="B55" s="19"/>
      <c r="I55" s="6"/>
      <c r="J55" s="7">
        <v>3000</v>
      </c>
      <c r="L55" s="6"/>
      <c r="M55" s="7"/>
      <c r="O55" s="6"/>
      <c r="P55" s="7"/>
    </row>
    <row r="56" spans="1:16" s="2" customFormat="1" x14ac:dyDescent="0.3">
      <c r="A56" s="120"/>
      <c r="B56" s="19"/>
      <c r="I56" s="6"/>
      <c r="J56" s="8"/>
      <c r="L56" s="6"/>
      <c r="M56" s="8"/>
      <c r="O56" s="6"/>
      <c r="P56" s="8"/>
    </row>
    <row r="57" spans="1:16" s="2" customFormat="1" x14ac:dyDescent="0.3">
      <c r="A57" s="120"/>
      <c r="B57" s="19"/>
      <c r="I57" s="6"/>
      <c r="J57" s="8"/>
      <c r="L57" s="6"/>
      <c r="M57" s="8"/>
      <c r="O57" s="6"/>
      <c r="P57" s="8"/>
    </row>
    <row r="58" spans="1:16" s="2" customFormat="1" x14ac:dyDescent="0.3">
      <c r="A58" s="120"/>
      <c r="B58" s="19"/>
      <c r="I58" s="6"/>
      <c r="J58" s="8"/>
      <c r="L58" s="6"/>
      <c r="M58" s="8"/>
      <c r="O58" s="6"/>
      <c r="P58" s="8"/>
    </row>
    <row r="59" spans="1:16" s="2" customFormat="1" x14ac:dyDescent="0.3">
      <c r="A59" s="120"/>
      <c r="B59" s="19"/>
      <c r="I59" s="6"/>
      <c r="J59" s="8"/>
      <c r="L59" s="6"/>
      <c r="M59" s="8"/>
      <c r="O59" s="6"/>
      <c r="P59" s="8"/>
    </row>
    <row r="60" spans="1:16" s="2" customFormat="1" ht="15" thickBot="1" x14ac:dyDescent="0.35">
      <c r="A60" s="120"/>
      <c r="B60" s="19"/>
      <c r="I60" s="9"/>
      <c r="J60" s="10"/>
      <c r="L60" s="9"/>
      <c r="M60" s="10"/>
      <c r="O60" s="9"/>
      <c r="P60" s="10"/>
    </row>
    <row r="61" spans="1:16" s="2" customFormat="1" ht="15" thickBot="1" x14ac:dyDescent="0.35">
      <c r="A61" s="120"/>
      <c r="B61" s="19"/>
      <c r="I61" s="11" t="str">
        <f>IF(SUM(I55:I60)&gt;SUM(J55:J60),SUM(I55:I60)-SUM(J55:J60),"")</f>
        <v/>
      </c>
      <c r="J61" s="11">
        <f>IF(SUM(J55:J60)&gt;SUM(I55:I60),SUM(J55:J60)-SUM(I55:I60),"")</f>
        <v>3000</v>
      </c>
      <c r="L61" s="11" t="str">
        <f>IF(SUM(L55:L60)&gt;SUM(M55:M60),SUM(L55:L60)-SUM(M55:M60),"")</f>
        <v/>
      </c>
      <c r="M61" s="11" t="str">
        <f>IF(SUM(M55:M60)&gt;SUM(L55:L60),SUM(M55:M60)-SUM(L55:L60),"")</f>
        <v/>
      </c>
      <c r="O61" s="11" t="str">
        <f>IF(SUM(O55:O60)&gt;SUM(P55:P60),SUM(O55:O60)-SUM(P55:P60),"")</f>
        <v/>
      </c>
      <c r="P61" s="11" t="str">
        <f>IF(SUM(P55:P60)&gt;SUM(O55:O60),SUM(P55:P60)-SUM(O55:O60),"")</f>
        <v/>
      </c>
    </row>
    <row r="62" spans="1:16" s="2" customFormat="1" ht="15" thickTop="1" x14ac:dyDescent="0.3">
      <c r="A62" s="120"/>
      <c r="B62" s="19"/>
    </row>
    <row r="63" spans="1:16" s="2" customFormat="1" x14ac:dyDescent="0.3">
      <c r="A63" s="120"/>
      <c r="B63" s="19"/>
    </row>
    <row r="64" spans="1:16" s="2" customFormat="1" x14ac:dyDescent="0.3">
      <c r="A64" s="120"/>
      <c r="B64" s="19"/>
    </row>
    <row r="65" spans="1:16" s="2" customFormat="1" ht="16.2" x14ac:dyDescent="0.45">
      <c r="A65" s="120"/>
      <c r="B65" s="19"/>
      <c r="I65" s="5" t="s">
        <v>97</v>
      </c>
    </row>
    <row r="66" spans="1:16" s="2" customFormat="1" x14ac:dyDescent="0.3">
      <c r="A66" s="120"/>
      <c r="B66" s="19"/>
    </row>
    <row r="67" spans="1:16" s="2" customFormat="1" ht="16.2" thickBot="1" x14ac:dyDescent="0.35">
      <c r="A67" s="120"/>
      <c r="B67" s="19"/>
      <c r="I67" s="400" t="s">
        <v>36</v>
      </c>
      <c r="J67" s="400"/>
      <c r="L67" s="400" t="s">
        <v>98</v>
      </c>
      <c r="M67" s="400"/>
      <c r="O67" s="401"/>
      <c r="P67" s="401"/>
    </row>
    <row r="68" spans="1:16" s="2" customFormat="1" x14ac:dyDescent="0.3">
      <c r="A68" s="120"/>
      <c r="B68" s="19"/>
      <c r="I68" s="6"/>
      <c r="J68" s="7">
        <v>30000</v>
      </c>
      <c r="L68" s="6"/>
      <c r="M68" s="7">
        <v>5030</v>
      </c>
      <c r="O68" s="6"/>
      <c r="P68" s="7"/>
    </row>
    <row r="69" spans="1:16" s="2" customFormat="1" x14ac:dyDescent="0.3">
      <c r="A69" s="120"/>
      <c r="B69" s="19"/>
      <c r="I69" s="6"/>
      <c r="J69" s="8"/>
      <c r="L69" s="6"/>
      <c r="M69" s="8">
        <v>2870</v>
      </c>
      <c r="O69" s="6"/>
      <c r="P69" s="8"/>
    </row>
    <row r="70" spans="1:16" s="2" customFormat="1" x14ac:dyDescent="0.3">
      <c r="A70" s="120"/>
      <c r="B70" s="19"/>
      <c r="I70" s="6"/>
      <c r="J70" s="8"/>
      <c r="L70" s="6"/>
      <c r="M70" s="8"/>
      <c r="O70" s="6"/>
      <c r="P70" s="8"/>
    </row>
    <row r="71" spans="1:16" s="2" customFormat="1" x14ac:dyDescent="0.3">
      <c r="A71" s="120"/>
      <c r="B71" s="19"/>
      <c r="I71" s="6"/>
      <c r="J71" s="8"/>
      <c r="L71" s="6"/>
      <c r="M71" s="8"/>
      <c r="O71" s="6"/>
      <c r="P71" s="8"/>
    </row>
    <row r="72" spans="1:16" s="2" customFormat="1" x14ac:dyDescent="0.3">
      <c r="A72" s="120"/>
      <c r="B72" s="19"/>
      <c r="I72" s="6"/>
      <c r="J72" s="8"/>
      <c r="L72" s="6"/>
      <c r="M72" s="8"/>
      <c r="O72" s="6"/>
      <c r="P72" s="8"/>
    </row>
    <row r="73" spans="1:16" s="2" customFormat="1" ht="15" thickBot="1" x14ac:dyDescent="0.35">
      <c r="A73" s="120"/>
      <c r="B73" s="19"/>
      <c r="I73" s="9"/>
      <c r="J73" s="10"/>
      <c r="L73" s="9"/>
      <c r="M73" s="10"/>
      <c r="O73" s="9"/>
      <c r="P73" s="10"/>
    </row>
    <row r="74" spans="1:16" s="2" customFormat="1" ht="15" thickBot="1" x14ac:dyDescent="0.35">
      <c r="A74" s="120"/>
      <c r="B74" s="19"/>
      <c r="I74" s="11" t="str">
        <f>IF(SUM(I68:I73)&gt;SUM(J68:J73),SUM(I68:I73)-SUM(J68:J73),"")</f>
        <v/>
      </c>
      <c r="J74" s="11">
        <f>IF(SUM(J68:J73)&gt;SUM(I68:I73),SUM(J68:J73)-SUM(I68:I73),"")</f>
        <v>30000</v>
      </c>
      <c r="L74" s="11" t="str">
        <f>IF(SUM(L68:L73)&gt;SUM(M68:M73),SUM(L68:L73)-SUM(M68:M73),"")</f>
        <v/>
      </c>
      <c r="M74" s="11">
        <f>IF(SUM(M68:M73)&gt;SUM(L68:L73),SUM(M68:M73)-SUM(L68:L73),"")</f>
        <v>7900</v>
      </c>
      <c r="O74" s="11" t="str">
        <f>IF(SUM(O68:O73)&gt;SUM(P68:P73),SUM(O68:O73)-SUM(P68:P73),"")</f>
        <v/>
      </c>
      <c r="P74" s="11" t="str">
        <f>IF(SUM(P68:P73)&gt;SUM(O68:O73),SUM(P68:P73)-SUM(O68:O73),"")</f>
        <v/>
      </c>
    </row>
    <row r="75" spans="1:16" s="2" customFormat="1" ht="15" thickTop="1" x14ac:dyDescent="0.3">
      <c r="A75" s="120"/>
      <c r="B75" s="19"/>
    </row>
    <row r="76" spans="1:16" s="2" customFormat="1" ht="16.2" thickBot="1" x14ac:dyDescent="0.35">
      <c r="A76" s="120"/>
      <c r="B76" s="19"/>
      <c r="I76" s="400"/>
      <c r="J76" s="400"/>
      <c r="L76" s="400"/>
      <c r="M76" s="400"/>
      <c r="O76" s="400"/>
      <c r="P76" s="400"/>
    </row>
    <row r="77" spans="1:16" s="2" customFormat="1" x14ac:dyDescent="0.3">
      <c r="A77" s="120"/>
      <c r="B77" s="19"/>
      <c r="I77" s="6"/>
      <c r="J77" s="7"/>
      <c r="L77" s="6"/>
      <c r="M77" s="7"/>
      <c r="O77" s="6"/>
      <c r="P77" s="7"/>
    </row>
    <row r="78" spans="1:16" s="2" customFormat="1" x14ac:dyDescent="0.3">
      <c r="A78" s="120"/>
      <c r="B78" s="19"/>
      <c r="I78" s="6"/>
      <c r="J78" s="8"/>
      <c r="L78" s="6"/>
      <c r="M78" s="8"/>
      <c r="O78" s="6"/>
      <c r="P78" s="8"/>
    </row>
    <row r="79" spans="1:16" s="2" customFormat="1" x14ac:dyDescent="0.3">
      <c r="A79" s="120"/>
      <c r="B79" s="19"/>
      <c r="I79" s="6"/>
      <c r="J79" s="8"/>
      <c r="L79" s="6"/>
      <c r="M79" s="8"/>
      <c r="O79" s="6"/>
      <c r="P79" s="8"/>
    </row>
    <row r="80" spans="1:16" s="2" customFormat="1" x14ac:dyDescent="0.3">
      <c r="A80" s="120"/>
      <c r="B80" s="19"/>
      <c r="I80" s="6"/>
      <c r="J80" s="8"/>
      <c r="L80" s="6"/>
      <c r="M80" s="8"/>
      <c r="O80" s="6"/>
      <c r="P80" s="8"/>
    </row>
    <row r="81" spans="1:16" s="2" customFormat="1" x14ac:dyDescent="0.3">
      <c r="A81" s="120"/>
      <c r="B81" s="19"/>
      <c r="I81" s="6"/>
      <c r="J81" s="8"/>
      <c r="L81" s="6"/>
      <c r="M81" s="8"/>
      <c r="O81" s="6"/>
      <c r="P81" s="8"/>
    </row>
    <row r="82" spans="1:16" s="2" customFormat="1" ht="15" thickBot="1" x14ac:dyDescent="0.35">
      <c r="A82" s="120"/>
      <c r="B82" s="19"/>
      <c r="I82" s="9"/>
      <c r="J82" s="10"/>
      <c r="L82" s="9"/>
      <c r="M82" s="10"/>
      <c r="O82" s="9"/>
      <c r="P82" s="10"/>
    </row>
    <row r="83" spans="1:16" s="2" customFormat="1" ht="15" thickBot="1" x14ac:dyDescent="0.35">
      <c r="A83" s="120"/>
      <c r="B83" s="19"/>
      <c r="I83" s="11" t="str">
        <f>IF(SUM(I77:I82)&gt;SUM(J77:J82),SUM(I77:I82)-SUM(J77:J82),"")</f>
        <v/>
      </c>
      <c r="J83" s="11" t="str">
        <f>IF(SUM(J77:J82)&gt;SUM(I77:I82),SUM(J77:J82)-SUM(I77:I82),"")</f>
        <v/>
      </c>
      <c r="L83" s="11" t="str">
        <f>IF(SUM(L77:L82)&gt;SUM(M77:M82),SUM(L77:L82)-SUM(M77:M82),"")</f>
        <v/>
      </c>
      <c r="M83" s="11" t="str">
        <f>IF(SUM(M77:M82)&gt;SUM(L77:L82),SUM(M77:M82)-SUM(L77:L82),"")</f>
        <v/>
      </c>
      <c r="O83" s="11" t="str">
        <f>IF(SUM(O77:O82)&gt;SUM(P77:P82),SUM(O77:O82)-SUM(P77:P82),"")</f>
        <v/>
      </c>
      <c r="P83" s="11" t="str">
        <f>IF(SUM(P77:P82)&gt;SUM(O77:O82),SUM(P77:P82)-SUM(O77:O82),"")</f>
        <v/>
      </c>
    </row>
    <row r="84" spans="1:16" s="2" customFormat="1" ht="15" thickTop="1" x14ac:dyDescent="0.3">
      <c r="A84" s="120"/>
      <c r="B84" s="19"/>
    </row>
    <row r="85" spans="1:16" s="2" customFormat="1" x14ac:dyDescent="0.3">
      <c r="A85" s="120"/>
      <c r="B85" s="19"/>
    </row>
    <row r="86" spans="1:16" s="2" customFormat="1" x14ac:dyDescent="0.3">
      <c r="A86" s="120"/>
      <c r="B86" s="19"/>
    </row>
    <row r="87" spans="1:16" s="2" customFormat="1" x14ac:dyDescent="0.3">
      <c r="A87" s="120"/>
      <c r="B87" s="19"/>
    </row>
    <row r="88" spans="1:16" s="2" customFormat="1" x14ac:dyDescent="0.3">
      <c r="A88" s="120"/>
      <c r="B88" s="19"/>
    </row>
    <row r="89" spans="1:16" s="2" customFormat="1" x14ac:dyDescent="0.3">
      <c r="A89" s="120"/>
      <c r="B89" s="19"/>
    </row>
    <row r="90" spans="1:16" s="2" customFormat="1" x14ac:dyDescent="0.3">
      <c r="A90" s="120"/>
      <c r="B90" s="19"/>
    </row>
    <row r="91" spans="1:16" s="2" customFormat="1" x14ac:dyDescent="0.3">
      <c r="A91" s="120"/>
      <c r="B91" s="19"/>
    </row>
    <row r="92" spans="1:16" s="2" customFormat="1" x14ac:dyDescent="0.3">
      <c r="A92" s="120"/>
      <c r="B92" s="19"/>
    </row>
    <row r="93" spans="1:16" s="2" customFormat="1" x14ac:dyDescent="0.3">
      <c r="A93" s="120"/>
      <c r="B93" s="19"/>
    </row>
    <row r="94" spans="1:16" s="2" customFormat="1" x14ac:dyDescent="0.3">
      <c r="A94" s="120"/>
      <c r="B94" s="19"/>
    </row>
    <row r="95" spans="1:16" s="2" customFormat="1" x14ac:dyDescent="0.3">
      <c r="A95" s="120"/>
      <c r="B95" s="19"/>
    </row>
    <row r="96" spans="1:16" s="2" customFormat="1" x14ac:dyDescent="0.3">
      <c r="A96" s="120"/>
      <c r="B96" s="19"/>
    </row>
    <row r="97" spans="1:2" s="2" customFormat="1" x14ac:dyDescent="0.3">
      <c r="A97" s="120"/>
      <c r="B97" s="19"/>
    </row>
    <row r="98" spans="1:2" s="2" customFormat="1" x14ac:dyDescent="0.3">
      <c r="A98" s="120"/>
      <c r="B98" s="19"/>
    </row>
    <row r="99" spans="1:2" s="2" customFormat="1" x14ac:dyDescent="0.3">
      <c r="A99" s="120"/>
      <c r="B99" s="19"/>
    </row>
    <row r="100" spans="1:2" s="2" customFormat="1" x14ac:dyDescent="0.3">
      <c r="A100" s="120"/>
      <c r="B100" s="19"/>
    </row>
  </sheetData>
  <mergeCells count="45">
    <mergeCell ref="A10:A26"/>
    <mergeCell ref="X1:AB1"/>
    <mergeCell ref="X2:AB2"/>
    <mergeCell ref="AD1:AG1"/>
    <mergeCell ref="AD2:AG2"/>
    <mergeCell ref="AD5:AE5"/>
    <mergeCell ref="AF5:AG5"/>
    <mergeCell ref="D1:G1"/>
    <mergeCell ref="D2:G2"/>
    <mergeCell ref="D5:E5"/>
    <mergeCell ref="F5:G5"/>
    <mergeCell ref="F12:G12"/>
    <mergeCell ref="L5:M5"/>
    <mergeCell ref="I1:P1"/>
    <mergeCell ref="I5:J5"/>
    <mergeCell ref="AF15:AG15"/>
    <mergeCell ref="I76:J76"/>
    <mergeCell ref="L76:M76"/>
    <mergeCell ref="O76:P76"/>
    <mergeCell ref="AI1:AL1"/>
    <mergeCell ref="AI2:AL2"/>
    <mergeCell ref="S20:T20"/>
    <mergeCell ref="S22:T22"/>
    <mergeCell ref="I14:J14"/>
    <mergeCell ref="L14:M14"/>
    <mergeCell ref="O14:P14"/>
    <mergeCell ref="R1:V1"/>
    <mergeCell ref="R2:V2"/>
    <mergeCell ref="S5:U5"/>
    <mergeCell ref="S11:T11"/>
    <mergeCell ref="S13:U13"/>
    <mergeCell ref="O5:P5"/>
    <mergeCell ref="I54:J54"/>
    <mergeCell ref="L54:M54"/>
    <mergeCell ref="O54:P54"/>
    <mergeCell ref="I67:J67"/>
    <mergeCell ref="L67:M67"/>
    <mergeCell ref="O67:P67"/>
    <mergeCell ref="I32:J32"/>
    <mergeCell ref="I23:J23"/>
    <mergeCell ref="L23:M23"/>
    <mergeCell ref="O23:P23"/>
    <mergeCell ref="I45:J45"/>
    <mergeCell ref="L45:M45"/>
    <mergeCell ref="O45:P45"/>
  </mergeCells>
  <conditionalFormatting sqref="E6:E8 E11:E16 G15 G13 E18 U6:U12 U14:U21 AE6:AE21 AG6:AG10 AG16:AG17 AG19">
    <cfRule type="cellIs" dxfId="52" priority="35" operator="lessThan">
      <formula>0</formula>
    </cfRule>
  </conditionalFormatting>
  <conditionalFormatting sqref="G6:G9">
    <cfRule type="cellIs" dxfId="51" priority="34" operator="lessThan">
      <formula>0</formula>
    </cfRule>
  </conditionalFormatting>
  <conditionalFormatting sqref="E9:E10">
    <cfRule type="cellIs" dxfId="50" priority="33" operator="lessThan">
      <formula>0</formula>
    </cfRule>
  </conditionalFormatting>
  <conditionalFormatting sqref="AA7">
    <cfRule type="cellIs" dxfId="49" priority="30" operator="lessThan">
      <formula>0</formula>
    </cfRule>
  </conditionalFormatting>
  <conditionalFormatting sqref="AA13">
    <cfRule type="cellIs" dxfId="48" priority="29" operator="lessThan">
      <formula>0</formula>
    </cfRule>
  </conditionalFormatting>
  <conditionalFormatting sqref="AA14">
    <cfRule type="cellIs" dxfId="47" priority="28" operator="lessThan">
      <formula>0</formula>
    </cfRule>
  </conditionalFormatting>
  <conditionalFormatting sqref="AL6">
    <cfRule type="iconSet" priority="22">
      <iconSet iconSet="3Symbols">
        <cfvo type="percent" val="0"/>
        <cfvo type="num" val="0.2"/>
        <cfvo type="num" val="0.22"/>
      </iconSet>
    </cfRule>
    <cfRule type="cellIs" dxfId="46" priority="23" operator="lessThanOrEqual">
      <formula>0.19</formula>
    </cfRule>
    <cfRule type="cellIs" dxfId="45" priority="24" operator="greaterThanOrEqual">
      <formula>0.2</formula>
    </cfRule>
  </conditionalFormatting>
  <conditionalFormatting sqref="AL9">
    <cfRule type="iconSet" priority="19">
      <iconSet iconSet="3Symbols">
        <cfvo type="percent" val="0"/>
        <cfvo type="num" val="0.45"/>
        <cfvo type="num" val="0.47"/>
      </iconSet>
    </cfRule>
    <cfRule type="cellIs" dxfId="44" priority="20" operator="lessThanOrEqual">
      <formula>0.44</formula>
    </cfRule>
    <cfRule type="cellIs" dxfId="43" priority="21" operator="greaterThanOrEqual">
      <formula>0.45</formula>
    </cfRule>
  </conditionalFormatting>
  <conditionalFormatting sqref="AL12">
    <cfRule type="iconSet" priority="16">
      <iconSet iconSet="3Symbols">
        <cfvo type="percent" val="0"/>
        <cfvo type="num" val="0.05"/>
        <cfvo type="num" val="7.0000000000000007E-2"/>
      </iconSet>
    </cfRule>
    <cfRule type="cellIs" dxfId="42" priority="17" operator="lessThanOrEqual">
      <formula>0.04</formula>
    </cfRule>
    <cfRule type="cellIs" dxfId="41" priority="18" operator="greaterThanOrEqual">
      <formula>0.05</formula>
    </cfRule>
  </conditionalFormatting>
  <conditionalFormatting sqref="AL15">
    <cfRule type="iconSet" priority="13">
      <iconSet iconSet="3Symbols">
        <cfvo type="percent" val="0"/>
        <cfvo type="num" val="0.1"/>
        <cfvo type="num" val="0.12"/>
      </iconSet>
    </cfRule>
    <cfRule type="cellIs" dxfId="40" priority="14" operator="lessThanOrEqual">
      <formula>0.099</formula>
    </cfRule>
    <cfRule type="cellIs" dxfId="39" priority="15" operator="greaterThanOrEqual">
      <formula>0.1</formula>
    </cfRule>
  </conditionalFormatting>
  <conditionalFormatting sqref="AK6">
    <cfRule type="iconSet" priority="10">
      <iconSet iconSet="3Symbols">
        <cfvo type="percent" val="0"/>
        <cfvo type="num" val="0.2"/>
        <cfvo type="num" val="0.22"/>
      </iconSet>
    </cfRule>
    <cfRule type="cellIs" dxfId="38" priority="11" operator="lessThanOrEqual">
      <formula>0.19</formula>
    </cfRule>
    <cfRule type="cellIs" dxfId="37" priority="12" operator="greaterThanOrEqual">
      <formula>0.2</formula>
    </cfRule>
  </conditionalFormatting>
  <conditionalFormatting sqref="AK9">
    <cfRule type="iconSet" priority="7">
      <iconSet iconSet="3Symbols">
        <cfvo type="percent" val="0"/>
        <cfvo type="num" val="0.45"/>
        <cfvo type="num" val="0.47"/>
      </iconSet>
    </cfRule>
    <cfRule type="cellIs" dxfId="36" priority="8" operator="lessThanOrEqual">
      <formula>0.44</formula>
    </cfRule>
    <cfRule type="cellIs" dxfId="35" priority="9" operator="greaterThanOrEqual">
      <formula>0.45</formula>
    </cfRule>
  </conditionalFormatting>
  <conditionalFormatting sqref="AK12">
    <cfRule type="iconSet" priority="4">
      <iconSet iconSet="3Symbols">
        <cfvo type="percent" val="0"/>
        <cfvo type="num" val="0.05"/>
        <cfvo type="num" val="7.0000000000000007E-2"/>
      </iconSet>
    </cfRule>
    <cfRule type="cellIs" dxfId="34" priority="5" operator="lessThanOrEqual">
      <formula>0.04</formula>
    </cfRule>
    <cfRule type="cellIs" dxfId="33" priority="6" operator="greaterThanOrEqual">
      <formula>0.05</formula>
    </cfRule>
  </conditionalFormatting>
  <conditionalFormatting sqref="AK15">
    <cfRule type="iconSet" priority="1">
      <iconSet iconSet="3Symbols">
        <cfvo type="percent" val="0"/>
        <cfvo type="num" val="0.1"/>
        <cfvo type="num" val="0.12"/>
      </iconSet>
    </cfRule>
    <cfRule type="cellIs" dxfId="32" priority="2" operator="lessThanOrEqual">
      <formula>0.09</formula>
    </cfRule>
    <cfRule type="cellIs" dxfId="31" priority="3" operator="greaterThanOrEqual">
      <formula>0.1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80A6-D265-4E10-818C-98967607E1CD}">
  <dimension ref="A1:M100"/>
  <sheetViews>
    <sheetView zoomScale="98" zoomScaleNormal="98" workbookViewId="0">
      <pane xSplit="1" topLeftCell="B1" activePane="topRight" state="frozen"/>
      <selection pane="topRight"/>
    </sheetView>
  </sheetViews>
  <sheetFormatPr baseColWidth="10" defaultRowHeight="14.4" x14ac:dyDescent="0.3"/>
  <cols>
    <col min="2" max="2" width="0.5546875" customWidth="1"/>
    <col min="3" max="3" width="4.33203125" customWidth="1"/>
    <col min="4" max="4" width="39.109375" bestFit="1" customWidth="1"/>
    <col min="5" max="6" width="13.44140625" bestFit="1" customWidth="1"/>
    <col min="7" max="7" width="9.109375" bestFit="1" customWidth="1"/>
    <col min="8" max="8" width="11.21875" bestFit="1" customWidth="1"/>
    <col min="9" max="9" width="11.6640625" bestFit="1" customWidth="1"/>
  </cols>
  <sheetData>
    <row r="1" spans="1:13" s="2" customFormat="1" ht="18" x14ac:dyDescent="0.35">
      <c r="A1" s="120"/>
      <c r="B1" s="19"/>
      <c r="D1" s="407" t="s">
        <v>158</v>
      </c>
      <c r="E1" s="407"/>
      <c r="F1" s="407"/>
      <c r="G1" s="407"/>
      <c r="H1" s="407"/>
      <c r="I1" s="407"/>
    </row>
    <row r="2" spans="1:13" s="2" customFormat="1" ht="5.4" customHeight="1" thickBot="1" x14ac:dyDescent="0.35">
      <c r="A2" s="120"/>
      <c r="B2" s="19"/>
    </row>
    <row r="3" spans="1:13" s="2" customFormat="1" ht="15" thickBot="1" x14ac:dyDescent="0.35">
      <c r="A3" s="120"/>
      <c r="B3" s="19"/>
      <c r="D3" s="59" t="s">
        <v>32</v>
      </c>
      <c r="E3" s="59" t="s">
        <v>116</v>
      </c>
      <c r="F3" s="59" t="s">
        <v>117</v>
      </c>
      <c r="G3" s="59" t="s">
        <v>140</v>
      </c>
      <c r="H3" s="59" t="s">
        <v>118</v>
      </c>
      <c r="I3" s="59" t="s">
        <v>119</v>
      </c>
      <c r="K3" s="2" t="s">
        <v>146</v>
      </c>
    </row>
    <row r="4" spans="1:13" s="2" customFormat="1" ht="15.6" x14ac:dyDescent="0.3">
      <c r="A4" s="120"/>
      <c r="B4" s="19"/>
      <c r="D4" s="52" t="s">
        <v>120</v>
      </c>
      <c r="E4" s="55"/>
      <c r="F4" s="55"/>
      <c r="G4" s="55"/>
      <c r="H4" s="55"/>
      <c r="I4" s="55"/>
      <c r="L4" s="66" t="s">
        <v>143</v>
      </c>
      <c r="M4" s="66" t="s">
        <v>115</v>
      </c>
    </row>
    <row r="5" spans="1:13" s="2" customFormat="1" x14ac:dyDescent="0.3">
      <c r="A5" s="120"/>
      <c r="B5" s="19"/>
      <c r="D5" s="53" t="s">
        <v>112</v>
      </c>
      <c r="E5" s="62">
        <v>70000</v>
      </c>
      <c r="F5" s="62">
        <v>100000</v>
      </c>
      <c r="G5" s="61">
        <f>+F5-E5</f>
        <v>30000</v>
      </c>
      <c r="H5" s="56" t="str">
        <f>IF(F5&lt;E5,E5-F5,"")</f>
        <v/>
      </c>
      <c r="I5" s="56">
        <f>IF(F5&gt;E5,F5-E5,"")</f>
        <v>30000</v>
      </c>
      <c r="K5" s="63" t="s">
        <v>141</v>
      </c>
      <c r="L5" s="64" t="s">
        <v>144</v>
      </c>
      <c r="M5" s="64" t="s">
        <v>145</v>
      </c>
    </row>
    <row r="6" spans="1:13" s="2" customFormat="1" x14ac:dyDescent="0.3">
      <c r="A6" s="120"/>
      <c r="B6" s="19"/>
      <c r="D6" s="53" t="s">
        <v>113</v>
      </c>
      <c r="E6" s="62">
        <v>130000</v>
      </c>
      <c r="F6" s="62">
        <v>175000</v>
      </c>
      <c r="G6" s="61">
        <f t="shared" ref="G6:G7" si="0">+F6-E6</f>
        <v>45000</v>
      </c>
      <c r="H6" s="56" t="str">
        <f t="shared" ref="H6:H7" si="1">IF(F6&lt;E6,E6-F6,"")</f>
        <v/>
      </c>
      <c r="I6" s="56">
        <f t="shared" ref="I6:I7" si="2">IF(F6&gt;E6,F6-E6,"")</f>
        <v>45000</v>
      </c>
      <c r="K6" s="63" t="s">
        <v>142</v>
      </c>
      <c r="L6" s="64" t="s">
        <v>145</v>
      </c>
      <c r="M6" s="64" t="s">
        <v>144</v>
      </c>
    </row>
    <row r="7" spans="1:13" s="2" customFormat="1" x14ac:dyDescent="0.3">
      <c r="A7" s="120"/>
      <c r="B7" s="19"/>
      <c r="D7" s="53" t="s">
        <v>114</v>
      </c>
      <c r="E7" s="62">
        <v>195000</v>
      </c>
      <c r="F7" s="62">
        <v>260000</v>
      </c>
      <c r="G7" s="61">
        <f t="shared" si="0"/>
        <v>65000</v>
      </c>
      <c r="H7" s="56" t="str">
        <f t="shared" si="1"/>
        <v/>
      </c>
      <c r="I7" s="56">
        <f t="shared" si="2"/>
        <v>65000</v>
      </c>
      <c r="K7" s="63" t="s">
        <v>132</v>
      </c>
      <c r="L7" s="64" t="s">
        <v>145</v>
      </c>
      <c r="M7" s="64" t="s">
        <v>144</v>
      </c>
    </row>
    <row r="8" spans="1:13" s="2" customFormat="1" x14ac:dyDescent="0.3">
      <c r="A8" s="120"/>
      <c r="B8" s="19"/>
      <c r="D8" s="53"/>
      <c r="E8" s="56"/>
      <c r="F8" s="56"/>
      <c r="G8" s="56"/>
      <c r="H8" s="56"/>
      <c r="I8" s="56"/>
    </row>
    <row r="9" spans="1:13" s="2" customFormat="1" ht="15" thickBot="1" x14ac:dyDescent="0.35">
      <c r="A9" s="120"/>
      <c r="B9" s="19"/>
      <c r="D9" s="52" t="s">
        <v>121</v>
      </c>
      <c r="E9" s="57"/>
      <c r="F9" s="57"/>
      <c r="G9" s="57"/>
      <c r="H9" s="57"/>
      <c r="I9" s="57"/>
    </row>
    <row r="10" spans="1:13" s="2" customFormat="1" x14ac:dyDescent="0.3">
      <c r="A10" s="404" t="s">
        <v>239</v>
      </c>
      <c r="B10" s="19"/>
      <c r="D10" s="53" t="s">
        <v>122</v>
      </c>
      <c r="E10" s="62">
        <v>260000</v>
      </c>
      <c r="F10" s="62">
        <v>220000</v>
      </c>
      <c r="G10" s="61">
        <f t="shared" ref="G10:G11" si="3">+F10-E10</f>
        <v>-40000</v>
      </c>
      <c r="H10" s="56">
        <f t="shared" ref="H10:H11" si="4">IF(F10&lt;E10,E10-F10,"")</f>
        <v>40000</v>
      </c>
      <c r="I10" s="56" t="str">
        <f t="shared" ref="I10:I11" si="5">IF(F10&gt;E10,F10-E10,"")</f>
        <v/>
      </c>
    </row>
    <row r="11" spans="1:13" s="2" customFormat="1" x14ac:dyDescent="0.3">
      <c r="A11" s="405"/>
      <c r="B11" s="19"/>
      <c r="D11" s="53" t="s">
        <v>123</v>
      </c>
      <c r="E11" s="62">
        <v>980000</v>
      </c>
      <c r="F11" s="62">
        <v>900000</v>
      </c>
      <c r="G11" s="61">
        <f t="shared" si="3"/>
        <v>-80000</v>
      </c>
      <c r="H11" s="56">
        <f t="shared" si="4"/>
        <v>80000</v>
      </c>
      <c r="I11" s="56" t="str">
        <f t="shared" si="5"/>
        <v/>
      </c>
    </row>
    <row r="12" spans="1:13" s="2" customFormat="1" x14ac:dyDescent="0.3">
      <c r="A12" s="405"/>
      <c r="B12" s="19"/>
      <c r="D12" s="53"/>
      <c r="E12" s="56"/>
      <c r="F12" s="56"/>
      <c r="G12" s="56"/>
      <c r="H12" s="56"/>
      <c r="I12" s="56"/>
    </row>
    <row r="13" spans="1:13" s="2" customFormat="1" x14ac:dyDescent="0.3">
      <c r="A13" s="405"/>
      <c r="B13" s="19"/>
      <c r="D13" s="52" t="s">
        <v>124</v>
      </c>
      <c r="E13" s="57"/>
      <c r="F13" s="57"/>
      <c r="G13" s="57"/>
      <c r="H13" s="57"/>
      <c r="I13" s="57"/>
    </row>
    <row r="14" spans="1:13" s="2" customFormat="1" x14ac:dyDescent="0.3">
      <c r="A14" s="405"/>
      <c r="B14" s="19"/>
      <c r="D14" s="53" t="s">
        <v>125</v>
      </c>
      <c r="E14" s="62">
        <v>50000</v>
      </c>
      <c r="F14" s="62">
        <v>70000</v>
      </c>
      <c r="G14" s="61">
        <f t="shared" ref="G14:G15" si="6">+F14-E14</f>
        <v>20000</v>
      </c>
      <c r="H14" s="56" t="str">
        <f t="shared" ref="H14:H15" si="7">IF(F14&lt;E14,E14-F14,"")</f>
        <v/>
      </c>
      <c r="I14" s="56">
        <f t="shared" ref="I14:I15" si="8">IF(F14&gt;E14,F14-E14,"")</f>
        <v>20000</v>
      </c>
    </row>
    <row r="15" spans="1:13" s="2" customFormat="1" x14ac:dyDescent="0.3">
      <c r="A15" s="405"/>
      <c r="B15" s="19"/>
      <c r="D15" s="53" t="s">
        <v>126</v>
      </c>
      <c r="E15" s="62">
        <v>30000</v>
      </c>
      <c r="F15" s="62">
        <v>35000</v>
      </c>
      <c r="G15" s="61">
        <f t="shared" si="6"/>
        <v>5000</v>
      </c>
      <c r="H15" s="56" t="str">
        <f t="shared" si="7"/>
        <v/>
      </c>
      <c r="I15" s="56">
        <f t="shared" si="8"/>
        <v>5000</v>
      </c>
    </row>
    <row r="16" spans="1:13" s="2" customFormat="1" x14ac:dyDescent="0.3">
      <c r="A16" s="405"/>
      <c r="B16" s="19"/>
      <c r="D16" s="53"/>
      <c r="E16" s="53"/>
      <c r="F16" s="53"/>
      <c r="G16" s="53"/>
      <c r="H16" s="53"/>
      <c r="I16" s="53"/>
    </row>
    <row r="17" spans="1:9" s="2" customFormat="1" ht="16.2" thickBot="1" x14ac:dyDescent="0.35">
      <c r="A17" s="405"/>
      <c r="B17" s="19"/>
      <c r="D17" s="54" t="s">
        <v>127</v>
      </c>
      <c r="E17" s="58">
        <f>SUM(E5:E16)</f>
        <v>1715000</v>
      </c>
      <c r="F17" s="58">
        <f>SUM(F5:F16)</f>
        <v>1760000</v>
      </c>
      <c r="G17" s="58"/>
      <c r="H17" s="58">
        <f>SUM(H5:H16)</f>
        <v>120000</v>
      </c>
      <c r="I17" s="58">
        <f>SUM(I5:I16)</f>
        <v>165000</v>
      </c>
    </row>
    <row r="18" spans="1:9" s="2" customFormat="1" ht="15" thickBot="1" x14ac:dyDescent="0.35">
      <c r="A18" s="405"/>
      <c r="B18" s="19"/>
    </row>
    <row r="19" spans="1:9" s="2" customFormat="1" ht="15" thickBot="1" x14ac:dyDescent="0.35">
      <c r="A19" s="405"/>
      <c r="B19" s="19"/>
      <c r="D19" s="59" t="s">
        <v>128</v>
      </c>
      <c r="E19" s="59" t="s">
        <v>116</v>
      </c>
      <c r="F19" s="59" t="s">
        <v>117</v>
      </c>
      <c r="G19" s="59"/>
      <c r="H19" s="59" t="s">
        <v>118</v>
      </c>
      <c r="I19" s="59" t="s">
        <v>119</v>
      </c>
    </row>
    <row r="20" spans="1:9" s="2" customFormat="1" x14ac:dyDescent="0.3">
      <c r="A20" s="405"/>
      <c r="B20" s="19"/>
      <c r="D20" s="52" t="s">
        <v>129</v>
      </c>
      <c r="E20" s="55"/>
      <c r="F20" s="55"/>
      <c r="G20" s="55"/>
      <c r="H20" s="55"/>
      <c r="I20" s="55"/>
    </row>
    <row r="21" spans="1:9" s="2" customFormat="1" x14ac:dyDescent="0.3">
      <c r="A21" s="405"/>
      <c r="B21" s="19"/>
      <c r="D21" s="53" t="s">
        <v>130</v>
      </c>
      <c r="E21" s="62">
        <v>108000</v>
      </c>
      <c r="F21" s="62">
        <v>150000</v>
      </c>
      <c r="G21" s="61">
        <f t="shared" ref="G21:G23" si="9">+F21-E21</f>
        <v>42000</v>
      </c>
      <c r="H21" s="56">
        <f>IF(F21&gt;E21,F21-E21,"")</f>
        <v>42000</v>
      </c>
      <c r="I21" s="56" t="str">
        <f>IF(F21&gt;E21,"",-(F21-E21))</f>
        <v/>
      </c>
    </row>
    <row r="22" spans="1:9" s="2" customFormat="1" x14ac:dyDescent="0.3">
      <c r="A22" s="405"/>
      <c r="B22" s="19"/>
      <c r="D22" s="53" t="s">
        <v>8</v>
      </c>
      <c r="E22" s="62">
        <v>130000</v>
      </c>
      <c r="F22" s="62">
        <v>180000</v>
      </c>
      <c r="G22" s="61">
        <f t="shared" si="9"/>
        <v>50000</v>
      </c>
      <c r="H22" s="56">
        <f t="shared" ref="H22:H23" si="10">IF(F22&gt;E22,F22-E22,"")</f>
        <v>50000</v>
      </c>
      <c r="I22" s="56" t="str">
        <f t="shared" ref="I22:I23" si="11">IF(F22&gt;E22,"",-(F22-E22))</f>
        <v/>
      </c>
    </row>
    <row r="23" spans="1:9" s="2" customFormat="1" x14ac:dyDescent="0.3">
      <c r="A23" s="405"/>
      <c r="B23" s="19"/>
      <c r="D23" s="53" t="s">
        <v>133</v>
      </c>
      <c r="E23" s="62">
        <v>50000</v>
      </c>
      <c r="F23" s="62">
        <v>85000</v>
      </c>
      <c r="G23" s="61">
        <f t="shared" si="9"/>
        <v>35000</v>
      </c>
      <c r="H23" s="56">
        <f t="shared" si="10"/>
        <v>35000</v>
      </c>
      <c r="I23" s="56" t="str">
        <f t="shared" si="11"/>
        <v/>
      </c>
    </row>
    <row r="24" spans="1:9" s="2" customFormat="1" x14ac:dyDescent="0.3">
      <c r="A24" s="405"/>
      <c r="B24" s="19"/>
      <c r="D24" s="53"/>
      <c r="E24" s="56"/>
      <c r="F24" s="56"/>
      <c r="G24" s="56"/>
      <c r="H24" s="56"/>
      <c r="I24" s="56"/>
    </row>
    <row r="25" spans="1:9" s="2" customFormat="1" x14ac:dyDescent="0.3">
      <c r="A25" s="405"/>
      <c r="B25" s="19"/>
      <c r="D25" s="52" t="s">
        <v>131</v>
      </c>
      <c r="E25" s="57"/>
      <c r="F25" s="57"/>
      <c r="G25" s="57"/>
      <c r="H25" s="57"/>
      <c r="I25" s="57"/>
    </row>
    <row r="26" spans="1:9" s="2" customFormat="1" ht="15" thickBot="1" x14ac:dyDescent="0.35">
      <c r="A26" s="406"/>
      <c r="B26" s="19"/>
      <c r="D26" s="53" t="s">
        <v>134</v>
      </c>
      <c r="E26" s="62">
        <v>250000</v>
      </c>
      <c r="F26" s="62">
        <v>230000</v>
      </c>
      <c r="G26" s="61">
        <f t="shared" ref="G26:G28" si="12">+F26-E26</f>
        <v>-20000</v>
      </c>
      <c r="H26" s="56" t="str">
        <f t="shared" ref="H26:H28" si="13">IF(F26&gt;E26,F26-E26,"")</f>
        <v/>
      </c>
      <c r="I26" s="56">
        <f t="shared" ref="I26:I28" si="14">IF(F26&gt;E26,"",-(F26-E26))</f>
        <v>20000</v>
      </c>
    </row>
    <row r="27" spans="1:9" s="2" customFormat="1" x14ac:dyDescent="0.3">
      <c r="A27" s="120"/>
      <c r="B27" s="19"/>
      <c r="D27" s="53" t="s">
        <v>135</v>
      </c>
      <c r="E27" s="62">
        <v>80000</v>
      </c>
      <c r="F27" s="62">
        <v>90000</v>
      </c>
      <c r="G27" s="61">
        <f t="shared" si="12"/>
        <v>10000</v>
      </c>
      <c r="H27" s="56">
        <f t="shared" si="13"/>
        <v>10000</v>
      </c>
      <c r="I27" s="56" t="str">
        <f t="shared" si="14"/>
        <v/>
      </c>
    </row>
    <row r="28" spans="1:9" s="2" customFormat="1" x14ac:dyDescent="0.3">
      <c r="A28" s="120"/>
      <c r="B28" s="19"/>
      <c r="D28" s="53" t="s">
        <v>136</v>
      </c>
      <c r="E28" s="62">
        <v>400000</v>
      </c>
      <c r="F28" s="62">
        <v>360000</v>
      </c>
      <c r="G28" s="61">
        <f t="shared" si="12"/>
        <v>-40000</v>
      </c>
      <c r="H28" s="56" t="str">
        <f t="shared" si="13"/>
        <v/>
      </c>
      <c r="I28" s="56">
        <f t="shared" si="14"/>
        <v>40000</v>
      </c>
    </row>
    <row r="29" spans="1:9" s="2" customFormat="1" x14ac:dyDescent="0.3">
      <c r="A29" s="120"/>
      <c r="B29" s="19"/>
      <c r="D29" s="53"/>
      <c r="E29" s="56"/>
      <c r="F29" s="56"/>
      <c r="G29" s="56"/>
      <c r="H29" s="56"/>
      <c r="I29" s="56"/>
    </row>
    <row r="30" spans="1:9" s="2" customFormat="1" x14ac:dyDescent="0.3">
      <c r="A30" s="120"/>
      <c r="B30" s="19"/>
      <c r="D30" s="52" t="s">
        <v>132</v>
      </c>
      <c r="E30" s="57"/>
      <c r="F30" s="57"/>
      <c r="G30" s="57"/>
      <c r="H30" s="57"/>
      <c r="I30" s="57"/>
    </row>
    <row r="31" spans="1:9" s="2" customFormat="1" x14ac:dyDescent="0.3">
      <c r="A31" s="120"/>
      <c r="B31" s="19"/>
      <c r="D31" s="53" t="s">
        <v>137</v>
      </c>
      <c r="E31" s="62">
        <v>700000</v>
      </c>
      <c r="F31" s="62">
        <v>700000</v>
      </c>
      <c r="G31" s="61">
        <f t="shared" ref="G31:G33" si="15">+F31-E31</f>
        <v>0</v>
      </c>
      <c r="H31" s="56" t="str">
        <f t="shared" ref="H31:H33" si="16">IF(F31&gt;E31,F31-E31,"")</f>
        <v/>
      </c>
      <c r="I31" s="60" t="str">
        <f>IF(F31&gt;=E31,"",-(F31-E31))</f>
        <v/>
      </c>
    </row>
    <row r="32" spans="1:9" s="2" customFormat="1" x14ac:dyDescent="0.3">
      <c r="A32" s="120"/>
      <c r="B32" s="19"/>
      <c r="D32" s="53" t="s">
        <v>138</v>
      </c>
      <c r="E32" s="62">
        <v>15000</v>
      </c>
      <c r="F32" s="62">
        <v>15000</v>
      </c>
      <c r="G32" s="61">
        <f t="shared" si="15"/>
        <v>0</v>
      </c>
      <c r="H32" s="56" t="str">
        <f t="shared" si="16"/>
        <v/>
      </c>
      <c r="I32" s="60" t="str">
        <f t="shared" ref="I32:I33" si="17">IF(F32&gt;=E32,"",-(F32-E32))</f>
        <v/>
      </c>
    </row>
    <row r="33" spans="1:9" s="2" customFormat="1" x14ac:dyDescent="0.3">
      <c r="A33" s="120"/>
      <c r="B33" s="19"/>
      <c r="D33" s="53" t="s">
        <v>139</v>
      </c>
      <c r="E33" s="62">
        <v>-18000</v>
      </c>
      <c r="F33" s="62">
        <v>-50000</v>
      </c>
      <c r="G33" s="61">
        <f t="shared" si="15"/>
        <v>-32000</v>
      </c>
      <c r="H33" s="56" t="str">
        <f t="shared" si="16"/>
        <v/>
      </c>
      <c r="I33" s="56">
        <f t="shared" si="17"/>
        <v>32000</v>
      </c>
    </row>
    <row r="34" spans="1:9" s="2" customFormat="1" x14ac:dyDescent="0.3">
      <c r="A34" s="120"/>
      <c r="B34" s="19"/>
      <c r="D34" s="53"/>
      <c r="E34" s="53"/>
      <c r="F34" s="53"/>
      <c r="G34" s="53"/>
      <c r="H34" s="53"/>
      <c r="I34" s="53"/>
    </row>
    <row r="35" spans="1:9" s="2" customFormat="1" ht="16.2" thickBot="1" x14ac:dyDescent="0.35">
      <c r="A35" s="120"/>
      <c r="B35" s="19"/>
      <c r="D35" s="54" t="s">
        <v>127</v>
      </c>
      <c r="E35" s="58">
        <f>SUM(E21:E34)</f>
        <v>1715000</v>
      </c>
      <c r="F35" s="58">
        <f>SUM(F21:F34)</f>
        <v>1760000</v>
      </c>
      <c r="G35" s="58"/>
      <c r="H35" s="58">
        <f>SUM(H21:H34)</f>
        <v>137000</v>
      </c>
      <c r="I35" s="58">
        <f>SUM(I21:I34)</f>
        <v>92000</v>
      </c>
    </row>
    <row r="36" spans="1:9" s="2" customFormat="1" x14ac:dyDescent="0.3">
      <c r="A36" s="120"/>
      <c r="B36" s="19"/>
    </row>
    <row r="37" spans="1:9" s="2" customFormat="1" x14ac:dyDescent="0.3">
      <c r="A37" s="120"/>
      <c r="B37" s="19"/>
    </row>
    <row r="38" spans="1:9" s="2" customFormat="1" x14ac:dyDescent="0.3">
      <c r="A38" s="120"/>
      <c r="B38" s="19"/>
    </row>
    <row r="39" spans="1:9" s="2" customFormat="1" x14ac:dyDescent="0.3">
      <c r="A39" s="120"/>
      <c r="B39" s="19"/>
    </row>
    <row r="40" spans="1:9" s="2" customFormat="1" ht="18" x14ac:dyDescent="0.3">
      <c r="A40" s="120"/>
      <c r="B40" s="19"/>
      <c r="D40" s="67" t="s">
        <v>147</v>
      </c>
      <c r="E40" s="67" t="s">
        <v>148</v>
      </c>
      <c r="F40" s="67" t="s">
        <v>149</v>
      </c>
    </row>
    <row r="41" spans="1:9" s="2" customFormat="1" x14ac:dyDescent="0.3">
      <c r="A41" s="120"/>
      <c r="B41" s="19"/>
      <c r="D41" s="68" t="s">
        <v>150</v>
      </c>
      <c r="E41" s="71"/>
      <c r="F41" s="75"/>
    </row>
    <row r="42" spans="1:9" s="2" customFormat="1" x14ac:dyDescent="0.3">
      <c r="A42" s="120"/>
      <c r="B42" s="19"/>
      <c r="D42" s="36" t="s">
        <v>151</v>
      </c>
      <c r="E42" s="72">
        <f>SUM(I5:I8)</f>
        <v>140000</v>
      </c>
      <c r="F42" s="76">
        <f>+E42/$E$46</f>
        <v>0.54474708171206221</v>
      </c>
    </row>
    <row r="43" spans="1:9" s="2" customFormat="1" x14ac:dyDescent="0.3">
      <c r="A43" s="120"/>
      <c r="B43" s="19"/>
      <c r="D43" s="36" t="s">
        <v>152</v>
      </c>
      <c r="E43" s="72">
        <f>SUM(I14:I16)</f>
        <v>25000</v>
      </c>
      <c r="F43" s="76">
        <f t="shared" ref="F43:F46" si="18">+E43/$E$46</f>
        <v>9.727626459143969E-2</v>
      </c>
    </row>
    <row r="44" spans="1:9" s="2" customFormat="1" x14ac:dyDescent="0.3">
      <c r="A44" s="120"/>
      <c r="B44" s="19"/>
      <c r="D44" s="36" t="s">
        <v>153</v>
      </c>
      <c r="E44" s="72">
        <f>SUM(I26:I29)</f>
        <v>60000</v>
      </c>
      <c r="F44" s="76">
        <f t="shared" si="18"/>
        <v>0.23346303501945526</v>
      </c>
    </row>
    <row r="45" spans="1:9" s="2" customFormat="1" x14ac:dyDescent="0.3">
      <c r="A45" s="120"/>
      <c r="B45" s="19"/>
      <c r="D45" s="36" t="s">
        <v>154</v>
      </c>
      <c r="E45" s="72">
        <f>SUM(I31:I33)</f>
        <v>32000</v>
      </c>
      <c r="F45" s="76">
        <f t="shared" si="18"/>
        <v>0.1245136186770428</v>
      </c>
    </row>
    <row r="46" spans="1:9" s="2" customFormat="1" ht="15.6" x14ac:dyDescent="0.3">
      <c r="A46" s="120"/>
      <c r="B46" s="19"/>
      <c r="D46" s="69"/>
      <c r="E46" s="73">
        <f>SUM(E42:E45)</f>
        <v>257000</v>
      </c>
      <c r="F46" s="77">
        <f t="shared" si="18"/>
        <v>1</v>
      </c>
    </row>
    <row r="47" spans="1:9" s="2" customFormat="1" x14ac:dyDescent="0.3">
      <c r="A47" s="120"/>
      <c r="B47" s="19"/>
      <c r="D47" s="68" t="s">
        <v>150</v>
      </c>
      <c r="E47" s="71"/>
      <c r="F47" s="75"/>
    </row>
    <row r="48" spans="1:9" s="2" customFormat="1" x14ac:dyDescent="0.3">
      <c r="A48" s="120"/>
      <c r="B48" s="19"/>
      <c r="D48" s="36" t="s">
        <v>155</v>
      </c>
      <c r="E48" s="72">
        <f>SUM(H10:H11)</f>
        <v>120000</v>
      </c>
      <c r="F48" s="76">
        <f t="shared" ref="F48:F51" si="19">+E48/$E$46</f>
        <v>0.46692607003891051</v>
      </c>
    </row>
    <row r="49" spans="1:6" s="2" customFormat="1" x14ac:dyDescent="0.3">
      <c r="A49" s="120"/>
      <c r="B49" s="19"/>
      <c r="D49" s="36" t="s">
        <v>156</v>
      </c>
      <c r="E49" s="72">
        <f>SUM(H21:H23)</f>
        <v>127000</v>
      </c>
      <c r="F49" s="76">
        <f t="shared" si="19"/>
        <v>0.49416342412451364</v>
      </c>
    </row>
    <row r="50" spans="1:6" s="2" customFormat="1" x14ac:dyDescent="0.3">
      <c r="A50" s="120"/>
      <c r="B50" s="19"/>
      <c r="D50" s="36" t="s">
        <v>157</v>
      </c>
      <c r="E50" s="72">
        <f>SUM(H26:H28)</f>
        <v>10000</v>
      </c>
      <c r="F50" s="76">
        <f t="shared" si="19"/>
        <v>3.8910505836575876E-2</v>
      </c>
    </row>
    <row r="51" spans="1:6" s="2" customFormat="1" ht="15.6" x14ac:dyDescent="0.3">
      <c r="A51" s="120"/>
      <c r="B51" s="19"/>
      <c r="D51" s="70"/>
      <c r="E51" s="74">
        <f>SUM(E47:E50)</f>
        <v>257000</v>
      </c>
      <c r="F51" s="78">
        <f t="shared" si="19"/>
        <v>1</v>
      </c>
    </row>
    <row r="52" spans="1:6" s="2" customFormat="1" x14ac:dyDescent="0.3">
      <c r="A52" s="120"/>
      <c r="B52" s="19"/>
    </row>
    <row r="53" spans="1:6" s="2" customFormat="1" x14ac:dyDescent="0.3">
      <c r="A53" s="120"/>
      <c r="B53" s="19"/>
    </row>
    <row r="54" spans="1:6" s="2" customFormat="1" x14ac:dyDescent="0.3">
      <c r="A54" s="120"/>
      <c r="B54" s="19"/>
    </row>
    <row r="55" spans="1:6" s="2" customFormat="1" x14ac:dyDescent="0.3">
      <c r="A55" s="120"/>
      <c r="B55" s="19"/>
    </row>
    <row r="56" spans="1:6" s="2" customFormat="1" x14ac:dyDescent="0.3">
      <c r="A56" s="120"/>
      <c r="B56" s="19"/>
    </row>
    <row r="57" spans="1:6" s="2" customFormat="1" x14ac:dyDescent="0.3">
      <c r="A57" s="120"/>
      <c r="B57" s="19"/>
    </row>
    <row r="58" spans="1:6" s="2" customFormat="1" x14ac:dyDescent="0.3">
      <c r="A58" s="120"/>
      <c r="B58" s="19"/>
    </row>
    <row r="59" spans="1:6" s="2" customFormat="1" x14ac:dyDescent="0.3">
      <c r="A59" s="120"/>
      <c r="B59" s="19"/>
    </row>
    <row r="60" spans="1:6" s="2" customFormat="1" x14ac:dyDescent="0.3">
      <c r="A60" s="120"/>
      <c r="B60" s="19"/>
    </row>
    <row r="61" spans="1:6" s="2" customFormat="1" x14ac:dyDescent="0.3">
      <c r="A61" s="120"/>
      <c r="B61" s="19"/>
    </row>
    <row r="62" spans="1:6" s="2" customFormat="1" x14ac:dyDescent="0.3">
      <c r="A62" s="120"/>
      <c r="B62" s="19"/>
    </row>
    <row r="63" spans="1:6" s="2" customFormat="1" x14ac:dyDescent="0.3">
      <c r="A63" s="120"/>
      <c r="B63" s="19"/>
    </row>
    <row r="64" spans="1:6" s="2" customFormat="1" x14ac:dyDescent="0.3">
      <c r="A64" s="120"/>
      <c r="B64" s="19"/>
    </row>
    <row r="65" spans="1:2" s="2" customFormat="1" x14ac:dyDescent="0.3">
      <c r="A65" s="120"/>
      <c r="B65" s="19"/>
    </row>
    <row r="66" spans="1:2" s="2" customFormat="1" x14ac:dyDescent="0.3">
      <c r="A66" s="120"/>
      <c r="B66" s="19"/>
    </row>
    <row r="67" spans="1:2" s="2" customFormat="1" x14ac:dyDescent="0.3">
      <c r="A67" s="120"/>
      <c r="B67" s="19"/>
    </row>
    <row r="68" spans="1:2" s="2" customFormat="1" x14ac:dyDescent="0.3">
      <c r="A68" s="120"/>
      <c r="B68" s="19"/>
    </row>
    <row r="69" spans="1:2" s="2" customFormat="1" x14ac:dyDescent="0.3">
      <c r="A69" s="120"/>
      <c r="B69" s="19"/>
    </row>
    <row r="70" spans="1:2" s="2" customFormat="1" x14ac:dyDescent="0.3">
      <c r="A70" s="120"/>
      <c r="B70" s="19"/>
    </row>
    <row r="71" spans="1:2" s="2" customFormat="1" x14ac:dyDescent="0.3">
      <c r="A71" s="120"/>
      <c r="B71" s="19"/>
    </row>
    <row r="72" spans="1:2" s="2" customFormat="1" x14ac:dyDescent="0.3">
      <c r="A72" s="120"/>
      <c r="B72" s="19"/>
    </row>
    <row r="73" spans="1:2" s="2" customFormat="1" x14ac:dyDescent="0.3">
      <c r="A73" s="120"/>
      <c r="B73" s="19"/>
    </row>
    <row r="74" spans="1:2" s="2" customFormat="1" x14ac:dyDescent="0.3">
      <c r="A74" s="120"/>
      <c r="B74" s="19"/>
    </row>
    <row r="75" spans="1:2" s="2" customFormat="1" x14ac:dyDescent="0.3">
      <c r="A75" s="120"/>
      <c r="B75" s="19"/>
    </row>
    <row r="76" spans="1:2" s="2" customFormat="1" x14ac:dyDescent="0.3">
      <c r="A76" s="120"/>
      <c r="B76" s="19"/>
    </row>
    <row r="77" spans="1:2" s="2" customFormat="1" x14ac:dyDescent="0.3">
      <c r="A77" s="120"/>
      <c r="B77" s="19"/>
    </row>
    <row r="78" spans="1:2" s="2" customFormat="1" x14ac:dyDescent="0.3">
      <c r="A78" s="120"/>
      <c r="B78" s="19"/>
    </row>
    <row r="79" spans="1:2" s="2" customFormat="1" x14ac:dyDescent="0.3">
      <c r="A79" s="120"/>
      <c r="B79" s="19"/>
    </row>
    <row r="80" spans="1:2" s="2" customFormat="1" x14ac:dyDescent="0.3">
      <c r="A80" s="120"/>
      <c r="B80" s="19"/>
    </row>
    <row r="81" spans="1:2" s="2" customFormat="1" x14ac:dyDescent="0.3">
      <c r="A81" s="120"/>
      <c r="B81" s="19"/>
    </row>
    <row r="82" spans="1:2" s="2" customFormat="1" x14ac:dyDescent="0.3">
      <c r="A82" s="120"/>
      <c r="B82" s="19"/>
    </row>
    <row r="83" spans="1:2" s="2" customFormat="1" x14ac:dyDescent="0.3">
      <c r="A83" s="120"/>
      <c r="B83" s="19"/>
    </row>
    <row r="84" spans="1:2" s="2" customFormat="1" x14ac:dyDescent="0.3">
      <c r="A84" s="120"/>
      <c r="B84" s="19"/>
    </row>
    <row r="85" spans="1:2" s="2" customFormat="1" x14ac:dyDescent="0.3">
      <c r="A85" s="120"/>
      <c r="B85" s="19"/>
    </row>
    <row r="86" spans="1:2" s="2" customFormat="1" x14ac:dyDescent="0.3">
      <c r="A86" s="120"/>
      <c r="B86" s="19"/>
    </row>
    <row r="87" spans="1:2" s="2" customFormat="1" x14ac:dyDescent="0.3">
      <c r="A87" s="120"/>
      <c r="B87" s="19"/>
    </row>
    <row r="88" spans="1:2" s="2" customFormat="1" x14ac:dyDescent="0.3">
      <c r="A88" s="120"/>
      <c r="B88" s="19"/>
    </row>
    <row r="89" spans="1:2" s="2" customFormat="1" x14ac:dyDescent="0.3">
      <c r="A89" s="120"/>
      <c r="B89" s="19"/>
    </row>
    <row r="90" spans="1:2" s="2" customFormat="1" x14ac:dyDescent="0.3">
      <c r="A90" s="120"/>
      <c r="B90" s="19"/>
    </row>
    <row r="91" spans="1:2" s="2" customFormat="1" x14ac:dyDescent="0.3">
      <c r="A91" s="120"/>
      <c r="B91" s="19"/>
    </row>
    <row r="92" spans="1:2" s="2" customFormat="1" x14ac:dyDescent="0.3">
      <c r="A92" s="120"/>
      <c r="B92" s="19"/>
    </row>
    <row r="93" spans="1:2" s="2" customFormat="1" x14ac:dyDescent="0.3">
      <c r="A93" s="120"/>
      <c r="B93" s="19"/>
    </row>
    <row r="94" spans="1:2" s="2" customFormat="1" x14ac:dyDescent="0.3">
      <c r="A94" s="120"/>
      <c r="B94" s="19"/>
    </row>
    <row r="95" spans="1:2" s="2" customFormat="1" x14ac:dyDescent="0.3">
      <c r="A95" s="120"/>
      <c r="B95" s="19"/>
    </row>
    <row r="96" spans="1:2" s="2" customFormat="1" x14ac:dyDescent="0.3">
      <c r="A96" s="120"/>
      <c r="B96" s="19"/>
    </row>
    <row r="97" spans="1:2" s="2" customFormat="1" x14ac:dyDescent="0.3">
      <c r="A97" s="120"/>
      <c r="B97" s="19"/>
    </row>
    <row r="98" spans="1:2" s="2" customFormat="1" x14ac:dyDescent="0.3">
      <c r="A98" s="120"/>
      <c r="B98" s="19"/>
    </row>
    <row r="99" spans="1:2" s="2" customFormat="1" x14ac:dyDescent="0.3">
      <c r="A99" s="120"/>
      <c r="B99" s="19"/>
    </row>
    <row r="100" spans="1:2" s="2" customFormat="1" x14ac:dyDescent="0.3">
      <c r="A100" s="120"/>
      <c r="B100" s="19"/>
    </row>
  </sheetData>
  <mergeCells count="2">
    <mergeCell ref="D1:I1"/>
    <mergeCell ref="A10:A26"/>
  </mergeCells>
  <conditionalFormatting sqref="F42:F4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{52F0044E-B850-4763-8D57-8A86C54EBB88}</x14:id>
        </ext>
      </extLst>
    </cfRule>
  </conditionalFormatting>
  <conditionalFormatting sqref="F48:F5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{EB8AE19B-095B-4232-8FD7-60C34F11BE5D}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0044E-B850-4763-8D57-8A86C54EBB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F42:F45</xm:sqref>
        </x14:conditionalFormatting>
        <x14:conditionalFormatting xmlns:xm="http://schemas.microsoft.com/office/excel/2006/main">
          <x14:cfRule type="dataBar" id="{EB8AE19B-095B-4232-8FD7-60C34F11BE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iconSet" priority="8" id="{9EBF558D-F202-4FAD-A313-1613BFE85103}">
            <x14:iconSet iconSet="3Triangles" showValue="0">
              <x14:cfvo type="percent">
                <xm:f>0</xm:f>
              </x14:cfvo>
              <x14:cfvo type="formula">
                <xm:f>0</xm:f>
              </x14:cfvo>
              <x14:cfvo type="formula">
                <xm:f>1</xm:f>
              </x14:cfvo>
            </x14:iconSet>
          </x14:cfRule>
          <xm:sqref>G5:G7</xm:sqref>
        </x14:conditionalFormatting>
        <x14:conditionalFormatting xmlns:xm="http://schemas.microsoft.com/office/excel/2006/main">
          <x14:cfRule type="iconSet" priority="7" id="{0B3CDE02-1985-4086-B453-FC824B98CD6E}">
            <x14:iconSet iconSet="3Triangles" showValue="0">
              <x14:cfvo type="percent">
                <xm:f>0</xm:f>
              </x14:cfvo>
              <x14:cfvo type="formula">
                <xm:f>0</xm:f>
              </x14:cfvo>
              <x14:cfvo type="formula">
                <xm:f>1</xm:f>
              </x14:cfvo>
            </x14:iconSet>
          </x14:cfRule>
          <xm:sqref>G10:G11</xm:sqref>
        </x14:conditionalFormatting>
        <x14:conditionalFormatting xmlns:xm="http://schemas.microsoft.com/office/excel/2006/main">
          <x14:cfRule type="iconSet" priority="6" id="{006889CB-57A2-442E-AD30-2718FDDF063C}">
            <x14:iconSet iconSet="3Triangles" showValue="0">
              <x14:cfvo type="percent">
                <xm:f>0</xm:f>
              </x14:cfvo>
              <x14:cfvo type="formula">
                <xm:f>0</xm:f>
              </x14:cfvo>
              <x14:cfvo type="formula">
                <xm:f>1</xm:f>
              </x14:cfvo>
            </x14:iconSet>
          </x14:cfRule>
          <xm:sqref>G14:G15</xm:sqref>
        </x14:conditionalFormatting>
        <x14:conditionalFormatting xmlns:xm="http://schemas.microsoft.com/office/excel/2006/main">
          <x14:cfRule type="iconSet" priority="5" id="{EC832DBF-1D67-488E-9DB2-20E34A8B88BF}">
            <x14:iconSet iconSet="3Triangles" showValue="0">
              <x14:cfvo type="percent">
                <xm:f>0</xm:f>
              </x14:cfvo>
              <x14:cfvo type="formula">
                <xm:f>0</xm:f>
              </x14:cfvo>
              <x14:cfvo type="formula">
                <xm:f>1</xm:f>
              </x14:cfvo>
            </x14:iconSet>
          </x14:cfRule>
          <xm:sqref>G21:G23</xm:sqref>
        </x14:conditionalFormatting>
        <x14:conditionalFormatting xmlns:xm="http://schemas.microsoft.com/office/excel/2006/main">
          <x14:cfRule type="iconSet" priority="4" id="{5A6A1E28-2E49-46FA-9BE5-8A9F7EA23A7A}">
            <x14:iconSet iconSet="3Triangles" showValue="0">
              <x14:cfvo type="percent">
                <xm:f>0</xm:f>
              </x14:cfvo>
              <x14:cfvo type="formula">
                <xm:f>0</xm:f>
              </x14:cfvo>
              <x14:cfvo type="formula">
                <xm:f>1</xm:f>
              </x14:cfvo>
            </x14:iconSet>
          </x14:cfRule>
          <xm:sqref>G26:G28</xm:sqref>
        </x14:conditionalFormatting>
        <x14:conditionalFormatting xmlns:xm="http://schemas.microsoft.com/office/excel/2006/main">
          <x14:cfRule type="iconSet" priority="3" id="{E9958578-9A1A-40E4-938E-44587C96E14F}">
            <x14:iconSet iconSet="3Triangles" showValue="0">
              <x14:cfvo type="percent">
                <xm:f>0</xm:f>
              </x14:cfvo>
              <x14:cfvo type="formula">
                <xm:f>0</xm:f>
              </x14:cfvo>
              <x14:cfvo type="formula">
                <xm:f>1</xm:f>
              </x14:cfvo>
            </x14:iconSet>
          </x14:cfRule>
          <xm:sqref>G31:G33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2B2E-56BD-488D-A9AC-181FD22BAF93}">
  <dimension ref="A1:M100"/>
  <sheetViews>
    <sheetView workbookViewId="0">
      <pane xSplit="1" topLeftCell="B1" activePane="topRight" state="frozen"/>
      <selection pane="topRight"/>
    </sheetView>
  </sheetViews>
  <sheetFormatPr baseColWidth="10" defaultRowHeight="14.4" x14ac:dyDescent="0.3"/>
  <cols>
    <col min="2" max="2" width="0.5546875" customWidth="1"/>
    <col min="7" max="7" width="13" bestFit="1" customWidth="1"/>
  </cols>
  <sheetData>
    <row r="1" spans="1:10" s="2" customFormat="1" x14ac:dyDescent="0.3">
      <c r="A1" s="120"/>
      <c r="B1" s="19"/>
    </row>
    <row r="2" spans="1:10" s="2" customFormat="1" x14ac:dyDescent="0.3">
      <c r="A2" s="120"/>
      <c r="B2" s="19"/>
      <c r="D2" s="27" t="s">
        <v>168</v>
      </c>
    </row>
    <row r="3" spans="1:10" s="2" customFormat="1" ht="28.8" x14ac:dyDescent="0.3">
      <c r="A3" s="120"/>
      <c r="B3" s="19"/>
      <c r="D3" s="79" t="s">
        <v>159</v>
      </c>
      <c r="E3" s="79" t="s">
        <v>160</v>
      </c>
      <c r="F3" s="79" t="s">
        <v>161</v>
      </c>
      <c r="H3" s="79"/>
      <c r="I3" s="79" t="s">
        <v>170</v>
      </c>
      <c r="J3" s="79" t="s">
        <v>161</v>
      </c>
    </row>
    <row r="4" spans="1:10" s="2" customFormat="1" x14ac:dyDescent="0.3">
      <c r="A4" s="120"/>
      <c r="B4" s="19"/>
      <c r="D4" s="2" t="s">
        <v>162</v>
      </c>
      <c r="E4" s="26">
        <v>100</v>
      </c>
      <c r="F4" s="81">
        <f>+E4*140</f>
        <v>14000</v>
      </c>
      <c r="H4" s="2" t="s">
        <v>162</v>
      </c>
      <c r="I4" s="81">
        <f>+F15</f>
        <v>15000</v>
      </c>
      <c r="J4" s="83">
        <f>+F4</f>
        <v>14000</v>
      </c>
    </row>
    <row r="5" spans="1:10" s="2" customFormat="1" x14ac:dyDescent="0.3">
      <c r="A5" s="120"/>
      <c r="B5" s="19"/>
      <c r="D5" s="2" t="s">
        <v>163</v>
      </c>
      <c r="E5" s="26">
        <v>100</v>
      </c>
      <c r="F5" s="81">
        <f t="shared" ref="F5:F9" si="0">+E5*140</f>
        <v>14000</v>
      </c>
      <c r="H5" s="2" t="s">
        <v>163</v>
      </c>
      <c r="I5" s="81">
        <f t="shared" ref="I5:I9" si="1">+F16</f>
        <v>15000</v>
      </c>
      <c r="J5" s="83">
        <f t="shared" ref="J5:J9" si="2">+F5</f>
        <v>14000</v>
      </c>
    </row>
    <row r="6" spans="1:10" s="2" customFormat="1" x14ac:dyDescent="0.3">
      <c r="A6" s="120"/>
      <c r="B6" s="19"/>
      <c r="D6" s="2" t="s">
        <v>164</v>
      </c>
      <c r="E6" s="26">
        <v>120</v>
      </c>
      <c r="F6" s="81">
        <f t="shared" si="0"/>
        <v>16800</v>
      </c>
      <c r="H6" s="2" t="s">
        <v>164</v>
      </c>
      <c r="I6" s="81">
        <f t="shared" si="1"/>
        <v>7500</v>
      </c>
      <c r="J6" s="83">
        <f t="shared" si="2"/>
        <v>16800</v>
      </c>
    </row>
    <row r="7" spans="1:10" s="2" customFormat="1" x14ac:dyDescent="0.3">
      <c r="A7" s="120"/>
      <c r="B7" s="19"/>
      <c r="D7" s="2" t="s">
        <v>165</v>
      </c>
      <c r="E7" s="26">
        <v>150</v>
      </c>
      <c r="F7" s="81">
        <f t="shared" si="0"/>
        <v>21000</v>
      </c>
      <c r="H7" s="2" t="s">
        <v>165</v>
      </c>
      <c r="I7" s="81">
        <f t="shared" si="1"/>
        <v>7500</v>
      </c>
      <c r="J7" s="83">
        <f t="shared" si="2"/>
        <v>21000</v>
      </c>
    </row>
    <row r="8" spans="1:10" s="2" customFormat="1" x14ac:dyDescent="0.3">
      <c r="A8" s="120"/>
      <c r="B8" s="19"/>
      <c r="D8" s="2" t="s">
        <v>166</v>
      </c>
      <c r="E8" s="26">
        <v>150</v>
      </c>
      <c r="F8" s="81">
        <f t="shared" si="0"/>
        <v>21000</v>
      </c>
      <c r="H8" s="2" t="s">
        <v>166</v>
      </c>
      <c r="I8" s="81">
        <f t="shared" si="1"/>
        <v>7500</v>
      </c>
      <c r="J8" s="83">
        <f t="shared" si="2"/>
        <v>21000</v>
      </c>
    </row>
    <row r="9" spans="1:10" s="2" customFormat="1" ht="15" thickBot="1" x14ac:dyDescent="0.35">
      <c r="A9" s="120"/>
      <c r="B9" s="19"/>
      <c r="D9" s="2" t="s">
        <v>167</v>
      </c>
      <c r="E9" s="26">
        <v>180</v>
      </c>
      <c r="F9" s="81">
        <f t="shared" si="0"/>
        <v>25200</v>
      </c>
      <c r="H9" s="2" t="s">
        <v>167</v>
      </c>
      <c r="I9" s="81">
        <f t="shared" si="1"/>
        <v>7500</v>
      </c>
      <c r="J9" s="83">
        <f t="shared" si="2"/>
        <v>25200</v>
      </c>
    </row>
    <row r="10" spans="1:10" s="2" customFormat="1" x14ac:dyDescent="0.3">
      <c r="A10" s="404" t="s">
        <v>240</v>
      </c>
      <c r="B10" s="19"/>
      <c r="D10" s="20" t="s">
        <v>14</v>
      </c>
      <c r="E10" s="82">
        <f>SUM(E4:E9)</f>
        <v>800</v>
      </c>
      <c r="F10" s="80">
        <f>SUM(F4:F9)</f>
        <v>112000</v>
      </c>
    </row>
    <row r="11" spans="1:10" s="2" customFormat="1" x14ac:dyDescent="0.3">
      <c r="A11" s="405"/>
      <c r="B11" s="19"/>
    </row>
    <row r="12" spans="1:10" s="2" customFormat="1" x14ac:dyDescent="0.3">
      <c r="A12" s="405"/>
      <c r="B12" s="19"/>
    </row>
    <row r="13" spans="1:10" s="2" customFormat="1" x14ac:dyDescent="0.3">
      <c r="A13" s="405"/>
      <c r="B13" s="19"/>
      <c r="D13" s="27" t="s">
        <v>171</v>
      </c>
    </row>
    <row r="14" spans="1:10" s="2" customFormat="1" ht="28.8" x14ac:dyDescent="0.3">
      <c r="A14" s="405"/>
      <c r="B14" s="19"/>
      <c r="D14" s="79" t="s">
        <v>159</v>
      </c>
      <c r="E14" s="79" t="s">
        <v>169</v>
      </c>
      <c r="F14" s="79" t="s">
        <v>170</v>
      </c>
    </row>
    <row r="15" spans="1:10" s="2" customFormat="1" x14ac:dyDescent="0.3">
      <c r="A15" s="405"/>
      <c r="B15" s="19"/>
      <c r="D15" s="2" t="s">
        <v>162</v>
      </c>
      <c r="E15" s="26">
        <v>200</v>
      </c>
      <c r="F15" s="81">
        <f>+E15*75</f>
        <v>15000</v>
      </c>
    </row>
    <row r="16" spans="1:10" s="2" customFormat="1" x14ac:dyDescent="0.3">
      <c r="A16" s="405"/>
      <c r="B16" s="19"/>
      <c r="D16" s="2" t="s">
        <v>163</v>
      </c>
      <c r="E16" s="26">
        <v>200</v>
      </c>
      <c r="F16" s="81">
        <f t="shared" ref="F16:F20" si="3">+E16*75</f>
        <v>15000</v>
      </c>
    </row>
    <row r="17" spans="1:13" s="2" customFormat="1" x14ac:dyDescent="0.3">
      <c r="A17" s="405"/>
      <c r="B17" s="19"/>
      <c r="D17" s="2" t="s">
        <v>164</v>
      </c>
      <c r="E17" s="26">
        <v>100</v>
      </c>
      <c r="F17" s="81">
        <f t="shared" si="3"/>
        <v>7500</v>
      </c>
    </row>
    <row r="18" spans="1:13" s="2" customFormat="1" x14ac:dyDescent="0.3">
      <c r="A18" s="405"/>
      <c r="B18" s="19"/>
      <c r="D18" s="2" t="s">
        <v>165</v>
      </c>
      <c r="E18" s="26">
        <v>100</v>
      </c>
      <c r="F18" s="81">
        <f t="shared" si="3"/>
        <v>7500</v>
      </c>
    </row>
    <row r="19" spans="1:13" s="2" customFormat="1" x14ac:dyDescent="0.3">
      <c r="A19" s="405"/>
      <c r="B19" s="19"/>
      <c r="D19" s="2" t="s">
        <v>166</v>
      </c>
      <c r="E19" s="26">
        <v>100</v>
      </c>
      <c r="F19" s="81">
        <f t="shared" si="3"/>
        <v>7500</v>
      </c>
    </row>
    <row r="20" spans="1:13" s="2" customFormat="1" x14ac:dyDescent="0.3">
      <c r="A20" s="405"/>
      <c r="B20" s="19"/>
      <c r="D20" s="2" t="s">
        <v>167</v>
      </c>
      <c r="E20" s="26">
        <v>100</v>
      </c>
      <c r="F20" s="81">
        <f t="shared" si="3"/>
        <v>7500</v>
      </c>
    </row>
    <row r="21" spans="1:13" s="2" customFormat="1" x14ac:dyDescent="0.3">
      <c r="A21" s="405"/>
      <c r="B21" s="19"/>
      <c r="D21" s="20" t="s">
        <v>14</v>
      </c>
      <c r="E21" s="82">
        <f>SUM(E15:E20)</f>
        <v>800</v>
      </c>
      <c r="F21" s="80">
        <f>SUM(F15:F20)</f>
        <v>60000</v>
      </c>
    </row>
    <row r="22" spans="1:13" s="2" customFormat="1" x14ac:dyDescent="0.3">
      <c r="A22" s="405"/>
      <c r="B22" s="19"/>
    </row>
    <row r="23" spans="1:13" s="2" customFormat="1" x14ac:dyDescent="0.3">
      <c r="A23" s="405"/>
      <c r="B23" s="19"/>
    </row>
    <row r="24" spans="1:13" s="2" customFormat="1" x14ac:dyDescent="0.3">
      <c r="A24" s="405"/>
      <c r="B24" s="19"/>
      <c r="D24" s="4" t="s">
        <v>188</v>
      </c>
    </row>
    <row r="25" spans="1:13" s="2" customFormat="1" x14ac:dyDescent="0.3">
      <c r="A25" s="405"/>
      <c r="B25" s="19"/>
    </row>
    <row r="26" spans="1:13" s="2" customFormat="1" ht="16.2" thickBot="1" x14ac:dyDescent="0.35">
      <c r="A26" s="406"/>
      <c r="B26" s="19"/>
      <c r="D26" s="84" t="s">
        <v>172</v>
      </c>
      <c r="E26" s="84"/>
      <c r="F26" s="84"/>
      <c r="G26" s="85" t="s">
        <v>162</v>
      </c>
      <c r="H26" s="85" t="s">
        <v>163</v>
      </c>
      <c r="I26" s="85" t="s">
        <v>164</v>
      </c>
      <c r="J26" s="85" t="s">
        <v>165</v>
      </c>
      <c r="K26" s="85" t="s">
        <v>166</v>
      </c>
      <c r="L26" s="85" t="s">
        <v>167</v>
      </c>
      <c r="M26" s="84" t="s">
        <v>14</v>
      </c>
    </row>
    <row r="27" spans="1:13" s="2" customFormat="1" x14ac:dyDescent="0.3">
      <c r="A27" s="120"/>
      <c r="B27" s="19"/>
      <c r="D27" s="86" t="s">
        <v>12</v>
      </c>
      <c r="E27" s="86"/>
      <c r="F27" s="86"/>
      <c r="G27" s="86"/>
      <c r="H27" s="86"/>
      <c r="I27" s="86"/>
      <c r="J27" s="86"/>
      <c r="K27" s="86"/>
      <c r="L27" s="86"/>
      <c r="M27" s="86"/>
    </row>
    <row r="28" spans="1:13" s="2" customFormat="1" x14ac:dyDescent="0.3">
      <c r="A28" s="120"/>
      <c r="B28" s="19"/>
      <c r="D28" s="2" t="s">
        <v>173</v>
      </c>
      <c r="G28" s="2">
        <v>5600</v>
      </c>
      <c r="H28" s="2">
        <v>5600</v>
      </c>
      <c r="I28" s="2">
        <v>6720</v>
      </c>
      <c r="J28" s="2">
        <v>8400</v>
      </c>
      <c r="K28" s="2">
        <v>8400</v>
      </c>
      <c r="L28" s="2">
        <v>10080</v>
      </c>
      <c r="M28" s="2">
        <f>SUM(G28:L28)</f>
        <v>44800</v>
      </c>
    </row>
    <row r="29" spans="1:13" s="2" customFormat="1" x14ac:dyDescent="0.3">
      <c r="A29" s="120"/>
      <c r="B29" s="19"/>
      <c r="D29" s="2" t="s">
        <v>174</v>
      </c>
      <c r="H29" s="2">
        <v>4200</v>
      </c>
      <c r="I29" s="2">
        <v>4200</v>
      </c>
      <c r="J29" s="2">
        <v>5040</v>
      </c>
      <c r="K29" s="2">
        <v>6300</v>
      </c>
      <c r="L29" s="2">
        <v>6300</v>
      </c>
      <c r="M29" s="2">
        <f t="shared" ref="M29:M30" si="4">SUM(G29:L29)</f>
        <v>26040</v>
      </c>
    </row>
    <row r="30" spans="1:13" s="2" customFormat="1" x14ac:dyDescent="0.3">
      <c r="A30" s="120"/>
      <c r="B30" s="19"/>
      <c r="D30" s="2" t="s">
        <v>175</v>
      </c>
      <c r="I30" s="2">
        <v>4200</v>
      </c>
      <c r="J30" s="2">
        <v>4200</v>
      </c>
      <c r="K30" s="2">
        <v>5040</v>
      </c>
      <c r="L30" s="2">
        <v>6300</v>
      </c>
      <c r="M30" s="2">
        <f t="shared" si="4"/>
        <v>19740</v>
      </c>
    </row>
    <row r="31" spans="1:13" s="2" customFormat="1" x14ac:dyDescent="0.3">
      <c r="A31" s="120"/>
      <c r="B31" s="19"/>
      <c r="D31" s="88" t="s">
        <v>176</v>
      </c>
      <c r="E31" s="88"/>
      <c r="F31" s="88"/>
      <c r="G31" s="88">
        <f>SUM(G28:G30)</f>
        <v>5600</v>
      </c>
      <c r="H31" s="88">
        <f t="shared" ref="H31:M31" si="5">SUM(H28:H30)</f>
        <v>9800</v>
      </c>
      <c r="I31" s="88">
        <f t="shared" si="5"/>
        <v>15120</v>
      </c>
      <c r="J31" s="88">
        <f t="shared" si="5"/>
        <v>17640</v>
      </c>
      <c r="K31" s="88">
        <f t="shared" si="5"/>
        <v>19740</v>
      </c>
      <c r="L31" s="88">
        <f>SUM(L28:L30)</f>
        <v>22680</v>
      </c>
      <c r="M31" s="88">
        <f t="shared" si="5"/>
        <v>90580</v>
      </c>
    </row>
    <row r="32" spans="1:13" s="2" customFormat="1" x14ac:dyDescent="0.3">
      <c r="A32" s="120"/>
      <c r="B32" s="19"/>
      <c r="D32" s="86" t="s">
        <v>177</v>
      </c>
      <c r="E32" s="86"/>
      <c r="F32" s="86"/>
      <c r="G32" s="86"/>
      <c r="H32" s="86"/>
      <c r="I32" s="86"/>
      <c r="J32" s="86"/>
      <c r="K32" s="86"/>
      <c r="L32" s="86"/>
      <c r="M32" s="86"/>
    </row>
    <row r="33" spans="1:13" s="2" customFormat="1" x14ac:dyDescent="0.3">
      <c r="A33" s="120"/>
      <c r="B33" s="19"/>
      <c r="D33" s="2" t="s">
        <v>178</v>
      </c>
      <c r="G33" s="2">
        <v>15000</v>
      </c>
      <c r="H33" s="2">
        <v>15000</v>
      </c>
      <c r="I33" s="2">
        <v>7500</v>
      </c>
      <c r="J33" s="2">
        <v>7500</v>
      </c>
      <c r="K33" s="2">
        <v>7500</v>
      </c>
      <c r="L33" s="2">
        <v>7500</v>
      </c>
      <c r="M33" s="2">
        <f t="shared" ref="M33:M37" si="6">SUM(G33:L33)</f>
        <v>60000</v>
      </c>
    </row>
    <row r="34" spans="1:13" s="2" customFormat="1" x14ac:dyDescent="0.3">
      <c r="A34" s="120"/>
      <c r="B34" s="19"/>
      <c r="D34" s="2" t="s">
        <v>179</v>
      </c>
      <c r="G34" s="2">
        <v>900</v>
      </c>
      <c r="H34" s="2">
        <v>900</v>
      </c>
      <c r="I34" s="2">
        <v>900</v>
      </c>
      <c r="J34" s="2">
        <v>900</v>
      </c>
      <c r="K34" s="2">
        <v>900</v>
      </c>
      <c r="L34" s="2">
        <v>900</v>
      </c>
      <c r="M34" s="2">
        <f t="shared" si="6"/>
        <v>5400</v>
      </c>
    </row>
    <row r="35" spans="1:13" s="2" customFormat="1" x14ac:dyDescent="0.3">
      <c r="A35" s="120"/>
      <c r="B35" s="19"/>
      <c r="D35" s="2" t="s">
        <v>180</v>
      </c>
      <c r="I35" s="2">
        <v>6990</v>
      </c>
      <c r="L35" s="2">
        <v>6990</v>
      </c>
      <c r="M35" s="2">
        <f t="shared" si="6"/>
        <v>13980</v>
      </c>
    </row>
    <row r="36" spans="1:13" s="2" customFormat="1" x14ac:dyDescent="0.3">
      <c r="A36" s="120"/>
      <c r="B36" s="19"/>
      <c r="D36" s="88" t="s">
        <v>181</v>
      </c>
      <c r="E36" s="88"/>
      <c r="F36" s="88"/>
      <c r="G36" s="88">
        <f>SUM(G33:G35)</f>
        <v>15900</v>
      </c>
      <c r="H36" s="88">
        <f t="shared" ref="H36:L36" si="7">SUM(H33:H35)</f>
        <v>15900</v>
      </c>
      <c r="I36" s="88">
        <f t="shared" si="7"/>
        <v>15390</v>
      </c>
      <c r="J36" s="88">
        <f t="shared" si="7"/>
        <v>8400</v>
      </c>
      <c r="K36" s="88">
        <f t="shared" si="7"/>
        <v>8400</v>
      </c>
      <c r="L36" s="88">
        <f t="shared" si="7"/>
        <v>15390</v>
      </c>
      <c r="M36" s="88">
        <f t="shared" si="6"/>
        <v>79380</v>
      </c>
    </row>
    <row r="37" spans="1:13" s="2" customFormat="1" x14ac:dyDescent="0.3">
      <c r="A37" s="120"/>
      <c r="B37" s="19"/>
      <c r="D37" s="89" t="s">
        <v>182</v>
      </c>
      <c r="E37" s="89"/>
      <c r="F37" s="89"/>
      <c r="G37" s="89">
        <f>+G31-G36</f>
        <v>-10300</v>
      </c>
      <c r="H37" s="89">
        <f t="shared" ref="H37:L37" si="8">+H31-H36</f>
        <v>-6100</v>
      </c>
      <c r="I37" s="89">
        <f t="shared" si="8"/>
        <v>-270</v>
      </c>
      <c r="J37" s="89">
        <f t="shared" si="8"/>
        <v>9240</v>
      </c>
      <c r="K37" s="89">
        <f t="shared" si="8"/>
        <v>11340</v>
      </c>
      <c r="L37" s="89">
        <f t="shared" si="8"/>
        <v>7290</v>
      </c>
      <c r="M37" s="89">
        <f t="shared" si="6"/>
        <v>11200</v>
      </c>
    </row>
    <row r="38" spans="1:13" s="2" customFormat="1" x14ac:dyDescent="0.3">
      <c r="A38" s="120"/>
      <c r="B38" s="19"/>
      <c r="D38" s="2" t="s">
        <v>185</v>
      </c>
      <c r="G38" s="2">
        <f>+G37</f>
        <v>-10300</v>
      </c>
      <c r="H38" s="2">
        <f>+G38+H37</f>
        <v>-16400</v>
      </c>
      <c r="I38" s="2">
        <f t="shared" ref="I38:L38" si="9">+H38+I37</f>
        <v>-16670</v>
      </c>
      <c r="J38" s="2">
        <f t="shared" si="9"/>
        <v>-7430</v>
      </c>
      <c r="K38" s="2">
        <f t="shared" si="9"/>
        <v>3910</v>
      </c>
      <c r="L38" s="2">
        <f t="shared" si="9"/>
        <v>11200</v>
      </c>
    </row>
    <row r="39" spans="1:13" s="2" customFormat="1" x14ac:dyDescent="0.3">
      <c r="A39" s="120"/>
      <c r="B39" s="19"/>
      <c r="D39" s="2" t="s">
        <v>186</v>
      </c>
      <c r="G39" s="2">
        <v>16670</v>
      </c>
    </row>
    <row r="40" spans="1:13" s="2" customFormat="1" x14ac:dyDescent="0.3">
      <c r="A40" s="120"/>
      <c r="B40" s="19"/>
      <c r="D40" s="2" t="s">
        <v>187</v>
      </c>
      <c r="L40" s="2">
        <v>-16670</v>
      </c>
    </row>
    <row r="41" spans="1:13" s="2" customFormat="1" x14ac:dyDescent="0.3">
      <c r="A41" s="120"/>
      <c r="B41" s="19"/>
      <c r="D41" s="89" t="s">
        <v>183</v>
      </c>
      <c r="E41" s="89"/>
      <c r="F41" s="89"/>
      <c r="G41" s="89">
        <f>+G39+G37+G40</f>
        <v>6370</v>
      </c>
      <c r="H41" s="89">
        <f t="shared" ref="H41:L41" si="10">+H39+H37+H40</f>
        <v>-6100</v>
      </c>
      <c r="I41" s="89">
        <f t="shared" si="10"/>
        <v>-270</v>
      </c>
      <c r="J41" s="89">
        <f t="shared" si="10"/>
        <v>9240</v>
      </c>
      <c r="K41" s="89">
        <f t="shared" si="10"/>
        <v>11340</v>
      </c>
      <c r="L41" s="89">
        <f t="shared" si="10"/>
        <v>-9380</v>
      </c>
      <c r="M41" s="89">
        <f t="shared" ref="M41" si="11">SUM(G41:L41)</f>
        <v>11200</v>
      </c>
    </row>
    <row r="42" spans="1:13" s="2" customFormat="1" ht="15.6" x14ac:dyDescent="0.3">
      <c r="A42" s="120"/>
      <c r="B42" s="19"/>
      <c r="D42" s="90" t="s">
        <v>184</v>
      </c>
      <c r="E42" s="90"/>
      <c r="F42" s="90"/>
      <c r="G42" s="90">
        <f>+G41</f>
        <v>6370</v>
      </c>
      <c r="H42" s="90">
        <f>+G42+H41</f>
        <v>270</v>
      </c>
      <c r="I42" s="90">
        <f t="shared" ref="I42:L42" si="12">+H42+I41</f>
        <v>0</v>
      </c>
      <c r="J42" s="90">
        <f t="shared" si="12"/>
        <v>9240</v>
      </c>
      <c r="K42" s="90">
        <f t="shared" si="12"/>
        <v>20580</v>
      </c>
      <c r="L42" s="90">
        <f t="shared" si="12"/>
        <v>11200</v>
      </c>
      <c r="M42" s="90"/>
    </row>
    <row r="43" spans="1:13" s="2" customFormat="1" x14ac:dyDescent="0.3">
      <c r="A43" s="120"/>
      <c r="B43" s="19"/>
    </row>
    <row r="44" spans="1:13" s="2" customFormat="1" x14ac:dyDescent="0.3">
      <c r="A44" s="120"/>
      <c r="B44" s="19"/>
    </row>
    <row r="45" spans="1:13" s="2" customFormat="1" x14ac:dyDescent="0.3">
      <c r="A45" s="120"/>
      <c r="B45" s="19"/>
    </row>
    <row r="46" spans="1:13" s="2" customFormat="1" x14ac:dyDescent="0.3">
      <c r="A46" s="120"/>
      <c r="B46" s="19"/>
    </row>
    <row r="47" spans="1:13" s="2" customFormat="1" x14ac:dyDescent="0.3">
      <c r="A47" s="120"/>
      <c r="B47" s="19"/>
      <c r="D47" s="1" t="s">
        <v>194</v>
      </c>
    </row>
    <row r="48" spans="1:13" s="2" customFormat="1" x14ac:dyDescent="0.3">
      <c r="A48" s="120"/>
      <c r="B48" s="19"/>
      <c r="D48" s="2" t="s">
        <v>189</v>
      </c>
      <c r="G48" s="92">
        <f>+F10</f>
        <v>112000</v>
      </c>
    </row>
    <row r="49" spans="1:7" s="2" customFormat="1" x14ac:dyDescent="0.3">
      <c r="A49" s="120"/>
      <c r="B49" s="19"/>
      <c r="D49" s="2" t="s">
        <v>190</v>
      </c>
      <c r="G49" s="92">
        <f>-F21</f>
        <v>-60000</v>
      </c>
    </row>
    <row r="50" spans="1:7" s="2" customFormat="1" x14ac:dyDescent="0.3">
      <c r="A50" s="120"/>
      <c r="B50" s="19"/>
      <c r="D50" s="91" t="s">
        <v>76</v>
      </c>
      <c r="E50" s="91"/>
      <c r="F50" s="91"/>
      <c r="G50" s="93">
        <f>+G48+G49</f>
        <v>52000</v>
      </c>
    </row>
    <row r="51" spans="1:7" s="2" customFormat="1" x14ac:dyDescent="0.3">
      <c r="A51" s="120"/>
      <c r="B51" s="19"/>
      <c r="D51" s="2" t="s">
        <v>191</v>
      </c>
      <c r="G51" s="92">
        <f>-M34</f>
        <v>-5400</v>
      </c>
    </row>
    <row r="52" spans="1:7" s="2" customFormat="1" x14ac:dyDescent="0.3">
      <c r="A52" s="120"/>
      <c r="B52" s="19"/>
      <c r="D52" s="91" t="s">
        <v>192</v>
      </c>
      <c r="E52" s="91"/>
      <c r="F52" s="91"/>
      <c r="G52" s="93">
        <f>+G50+G51</f>
        <v>46600</v>
      </c>
    </row>
    <row r="53" spans="1:7" s="2" customFormat="1" x14ac:dyDescent="0.3">
      <c r="A53" s="120"/>
      <c r="B53" s="19"/>
      <c r="D53" s="2" t="s">
        <v>193</v>
      </c>
      <c r="G53" s="92">
        <f>-M35</f>
        <v>-13980</v>
      </c>
    </row>
    <row r="54" spans="1:7" s="2" customFormat="1" x14ac:dyDescent="0.3">
      <c r="A54" s="120"/>
      <c r="B54" s="19"/>
      <c r="D54" s="21" t="s">
        <v>83</v>
      </c>
      <c r="E54" s="21"/>
      <c r="F54" s="21"/>
      <c r="G54" s="94">
        <f>+G52+G53</f>
        <v>32620</v>
      </c>
    </row>
    <row r="55" spans="1:7" s="2" customFormat="1" x14ac:dyDescent="0.3">
      <c r="A55" s="120"/>
      <c r="B55" s="19"/>
    </row>
    <row r="56" spans="1:7" s="2" customFormat="1" x14ac:dyDescent="0.3">
      <c r="A56" s="120"/>
      <c r="B56" s="19"/>
    </row>
    <row r="57" spans="1:7" s="2" customFormat="1" x14ac:dyDescent="0.3">
      <c r="A57" s="120"/>
      <c r="B57" s="19"/>
    </row>
    <row r="58" spans="1:7" s="2" customFormat="1" x14ac:dyDescent="0.3">
      <c r="A58" s="120"/>
      <c r="B58" s="19"/>
    </row>
    <row r="59" spans="1:7" s="2" customFormat="1" ht="18" x14ac:dyDescent="0.35">
      <c r="A59" s="120"/>
      <c r="B59" s="19"/>
      <c r="D59" s="407" t="s">
        <v>195</v>
      </c>
      <c r="E59" s="407"/>
      <c r="F59" s="407"/>
      <c r="G59" s="407"/>
    </row>
    <row r="60" spans="1:7" s="2" customFormat="1" x14ac:dyDescent="0.3">
      <c r="A60" s="120"/>
      <c r="B60" s="19"/>
      <c r="D60" s="409" t="s">
        <v>196</v>
      </c>
      <c r="E60" s="409"/>
      <c r="F60" s="409"/>
      <c r="G60" s="409"/>
    </row>
    <row r="61" spans="1:7" s="2" customFormat="1" x14ac:dyDescent="0.3">
      <c r="A61" s="120"/>
      <c r="B61" s="19"/>
    </row>
    <row r="62" spans="1:7" s="2" customFormat="1" x14ac:dyDescent="0.3">
      <c r="A62" s="120"/>
      <c r="B62" s="19"/>
    </row>
    <row r="63" spans="1:7" s="2" customFormat="1" ht="15" thickBot="1" x14ac:dyDescent="0.35">
      <c r="A63" s="120"/>
      <c r="B63" s="19"/>
      <c r="D63" s="401" t="s">
        <v>32</v>
      </c>
      <c r="E63" s="401"/>
      <c r="F63" s="410" t="s">
        <v>37</v>
      </c>
      <c r="G63" s="401"/>
    </row>
    <row r="64" spans="1:7" s="2" customFormat="1" x14ac:dyDescent="0.3">
      <c r="A64" s="120"/>
      <c r="B64" s="19"/>
      <c r="D64" s="2" t="s">
        <v>1</v>
      </c>
      <c r="E64" s="17">
        <f>+M41</f>
        <v>11200</v>
      </c>
      <c r="F64" s="24"/>
      <c r="G64" s="17"/>
    </row>
    <row r="65" spans="1:7" s="2" customFormat="1" x14ac:dyDescent="0.3">
      <c r="A65" s="120"/>
      <c r="B65" s="19"/>
      <c r="D65" s="2" t="s">
        <v>2</v>
      </c>
      <c r="E65" s="17">
        <f>+G67-E64</f>
        <v>21420</v>
      </c>
      <c r="F65" s="24"/>
      <c r="G65" s="17"/>
    </row>
    <row r="66" spans="1:7" s="2" customFormat="1" ht="15" thickBot="1" x14ac:dyDescent="0.35">
      <c r="A66" s="120"/>
      <c r="B66" s="19"/>
      <c r="F66" s="410" t="s">
        <v>132</v>
      </c>
      <c r="G66" s="401"/>
    </row>
    <row r="67" spans="1:7" s="2" customFormat="1" x14ac:dyDescent="0.3">
      <c r="A67" s="120"/>
      <c r="B67" s="19"/>
      <c r="F67" s="24" t="s">
        <v>83</v>
      </c>
      <c r="G67" s="17">
        <f>+G54</f>
        <v>32620</v>
      </c>
    </row>
    <row r="68" spans="1:7" s="2" customFormat="1" ht="15" thickBot="1" x14ac:dyDescent="0.35">
      <c r="A68" s="120"/>
      <c r="B68" s="19"/>
      <c r="D68" s="15"/>
      <c r="E68" s="15"/>
      <c r="F68" s="95"/>
      <c r="G68" s="15"/>
    </row>
    <row r="69" spans="1:7" s="2" customFormat="1" x14ac:dyDescent="0.3">
      <c r="A69" s="120"/>
      <c r="B69" s="19"/>
      <c r="E69" s="17">
        <f>+E64+E65</f>
        <v>32620</v>
      </c>
      <c r="G69" s="17">
        <f>+G67</f>
        <v>32620</v>
      </c>
    </row>
    <row r="70" spans="1:7" s="2" customFormat="1" x14ac:dyDescent="0.3">
      <c r="A70" s="120"/>
      <c r="B70" s="19"/>
    </row>
    <row r="71" spans="1:7" s="2" customFormat="1" x14ac:dyDescent="0.3">
      <c r="A71" s="120"/>
      <c r="B71" s="19"/>
    </row>
    <row r="72" spans="1:7" s="2" customFormat="1" x14ac:dyDescent="0.3">
      <c r="A72" s="120"/>
      <c r="B72" s="19"/>
    </row>
    <row r="73" spans="1:7" s="2" customFormat="1" x14ac:dyDescent="0.3">
      <c r="A73" s="120"/>
      <c r="B73" s="19"/>
    </row>
    <row r="74" spans="1:7" s="2" customFormat="1" x14ac:dyDescent="0.3">
      <c r="A74" s="120"/>
      <c r="B74" s="19"/>
    </row>
    <row r="75" spans="1:7" s="2" customFormat="1" x14ac:dyDescent="0.3">
      <c r="A75" s="120"/>
      <c r="B75" s="19"/>
    </row>
    <row r="76" spans="1:7" s="2" customFormat="1" x14ac:dyDescent="0.3">
      <c r="A76" s="120"/>
      <c r="B76" s="19"/>
    </row>
    <row r="77" spans="1:7" s="2" customFormat="1" x14ac:dyDescent="0.3">
      <c r="A77" s="120"/>
      <c r="B77" s="19"/>
    </row>
    <row r="78" spans="1:7" s="2" customFormat="1" x14ac:dyDescent="0.3">
      <c r="A78" s="120"/>
      <c r="B78" s="19"/>
    </row>
    <row r="79" spans="1:7" s="2" customFormat="1" x14ac:dyDescent="0.3">
      <c r="A79" s="120"/>
      <c r="B79" s="19"/>
    </row>
    <row r="80" spans="1:7" s="2" customFormat="1" x14ac:dyDescent="0.3">
      <c r="A80" s="120"/>
      <c r="B80" s="19"/>
    </row>
    <row r="81" spans="1:2" s="2" customFormat="1" x14ac:dyDescent="0.3">
      <c r="A81" s="120"/>
      <c r="B81" s="19"/>
    </row>
    <row r="82" spans="1:2" s="2" customFormat="1" x14ac:dyDescent="0.3">
      <c r="A82" s="120"/>
      <c r="B82" s="19"/>
    </row>
    <row r="83" spans="1:2" s="2" customFormat="1" x14ac:dyDescent="0.3">
      <c r="A83" s="120"/>
      <c r="B83" s="19"/>
    </row>
    <row r="84" spans="1:2" s="2" customFormat="1" x14ac:dyDescent="0.3">
      <c r="A84" s="120"/>
      <c r="B84" s="19"/>
    </row>
    <row r="85" spans="1:2" s="2" customFormat="1" x14ac:dyDescent="0.3">
      <c r="A85" s="120"/>
      <c r="B85" s="19"/>
    </row>
    <row r="86" spans="1:2" s="2" customFormat="1" x14ac:dyDescent="0.3">
      <c r="A86" s="120"/>
      <c r="B86" s="19"/>
    </row>
    <row r="87" spans="1:2" s="2" customFormat="1" x14ac:dyDescent="0.3">
      <c r="A87" s="120"/>
      <c r="B87" s="19"/>
    </row>
    <row r="88" spans="1:2" s="2" customFormat="1" x14ac:dyDescent="0.3">
      <c r="A88" s="120"/>
      <c r="B88" s="19"/>
    </row>
    <row r="89" spans="1:2" s="2" customFormat="1" x14ac:dyDescent="0.3">
      <c r="A89" s="120"/>
      <c r="B89" s="19"/>
    </row>
    <row r="90" spans="1:2" s="2" customFormat="1" x14ac:dyDescent="0.3">
      <c r="A90" s="120"/>
      <c r="B90" s="19"/>
    </row>
    <row r="91" spans="1:2" s="2" customFormat="1" x14ac:dyDescent="0.3">
      <c r="A91" s="120"/>
      <c r="B91" s="19"/>
    </row>
    <row r="92" spans="1:2" s="2" customFormat="1" x14ac:dyDescent="0.3">
      <c r="A92" s="120"/>
      <c r="B92" s="19"/>
    </row>
    <row r="93" spans="1:2" s="2" customFormat="1" x14ac:dyDescent="0.3">
      <c r="A93" s="120"/>
      <c r="B93" s="19"/>
    </row>
    <row r="94" spans="1:2" s="2" customFormat="1" x14ac:dyDescent="0.3">
      <c r="A94" s="120"/>
      <c r="B94" s="19"/>
    </row>
    <row r="95" spans="1:2" s="2" customFormat="1" x14ac:dyDescent="0.3">
      <c r="A95" s="120"/>
      <c r="B95" s="19"/>
    </row>
    <row r="96" spans="1:2" s="2" customFormat="1" x14ac:dyDescent="0.3">
      <c r="A96" s="120"/>
      <c r="B96" s="19"/>
    </row>
    <row r="97" spans="1:2" s="2" customFormat="1" x14ac:dyDescent="0.3">
      <c r="A97" s="120"/>
      <c r="B97" s="19"/>
    </row>
    <row r="98" spans="1:2" s="2" customFormat="1" x14ac:dyDescent="0.3">
      <c r="A98" s="120"/>
      <c r="B98" s="19"/>
    </row>
    <row r="99" spans="1:2" s="2" customFormat="1" x14ac:dyDescent="0.3">
      <c r="A99" s="120"/>
      <c r="B99" s="19"/>
    </row>
    <row r="100" spans="1:2" s="2" customFormat="1" x14ac:dyDescent="0.3">
      <c r="A100" s="120"/>
      <c r="B100" s="19"/>
    </row>
  </sheetData>
  <mergeCells count="6">
    <mergeCell ref="F66:G66"/>
    <mergeCell ref="A10:A26"/>
    <mergeCell ref="D59:G59"/>
    <mergeCell ref="D60:G60"/>
    <mergeCell ref="D63:E63"/>
    <mergeCell ref="F63:G63"/>
  </mergeCells>
  <conditionalFormatting sqref="E64:E65 G64:G65">
    <cfRule type="cellIs" dxfId="30" priority="1" operator="lessThan">
      <formula>0</formula>
    </cfRule>
  </conditionalFormatting>
  <pageMargins left="0.7" right="0.7" top="0.75" bottom="0.75" header="0.3" footer="0.3"/>
  <ignoredErrors>
    <ignoredError sqref="G51 G53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ECF-2066-405E-9465-78D54AF8D9EE}">
  <dimension ref="A1:CR107"/>
  <sheetViews>
    <sheetView showGridLines="0" workbookViewId="0"/>
  </sheetViews>
  <sheetFormatPr baseColWidth="10" defaultRowHeight="14.4" x14ac:dyDescent="0.3"/>
  <cols>
    <col min="1" max="1" width="10.109375" customWidth="1"/>
    <col min="2" max="2" width="0.5546875" customWidth="1"/>
    <col min="4" max="4" width="4.109375" customWidth="1"/>
    <col min="5" max="5" width="36.33203125" customWidth="1"/>
    <col min="6" max="8" width="10.21875" bestFit="1" customWidth="1"/>
    <col min="10" max="10" width="2.6640625" bestFit="1" customWidth="1"/>
    <col min="11" max="11" width="31.6640625" bestFit="1" customWidth="1"/>
    <col min="17" max="17" width="10" bestFit="1" customWidth="1"/>
    <col min="18" max="18" width="10.21875" bestFit="1" customWidth="1"/>
    <col min="19" max="19" width="13.21875" customWidth="1"/>
    <col min="23" max="23" width="13.5546875" customWidth="1"/>
    <col min="25" max="25" width="14.44140625" customWidth="1"/>
    <col min="28" max="28" width="22.5546875" customWidth="1"/>
    <col min="30" max="30" width="19.88671875" customWidth="1"/>
    <col min="42" max="42" width="32.6640625" bestFit="1" customWidth="1"/>
    <col min="43" max="54" width="8.44140625" bestFit="1" customWidth="1"/>
    <col min="55" max="55" width="9.44140625" bestFit="1" customWidth="1"/>
    <col min="58" max="58" width="2" bestFit="1" customWidth="1"/>
    <col min="59" max="59" width="28.77734375" bestFit="1" customWidth="1"/>
    <col min="60" max="60" width="10.109375" bestFit="1" customWidth="1"/>
    <col min="63" max="63" width="2.6640625" bestFit="1" customWidth="1"/>
    <col min="64" max="64" width="25.21875" bestFit="1" customWidth="1"/>
    <col min="65" max="68" width="8.5546875" bestFit="1" customWidth="1"/>
    <col min="70" max="70" width="19" bestFit="1" customWidth="1"/>
    <col min="71" max="71" width="10.109375" bestFit="1" customWidth="1"/>
    <col min="72" max="72" width="16.44140625" bestFit="1" customWidth="1"/>
    <col min="73" max="73" width="10.109375" bestFit="1" customWidth="1"/>
    <col min="75" max="75" width="26.88671875" customWidth="1"/>
    <col min="76" max="76" width="8.21875" customWidth="1"/>
    <col min="91" max="91" width="38.33203125" bestFit="1" customWidth="1"/>
    <col min="92" max="93" width="13.33203125" bestFit="1" customWidth="1"/>
    <col min="94" max="94" width="8.88671875" bestFit="1" customWidth="1"/>
    <col min="95" max="95" width="11.21875" bestFit="1" customWidth="1"/>
    <col min="96" max="96" width="11.44140625" bestFit="1" customWidth="1"/>
  </cols>
  <sheetData>
    <row r="1" spans="1:96" s="2" customFormat="1" ht="18" x14ac:dyDescent="0.35">
      <c r="A1" s="120"/>
      <c r="B1" s="19"/>
      <c r="D1" s="420" t="s">
        <v>215</v>
      </c>
      <c r="E1" s="420"/>
      <c r="F1" s="420"/>
      <c r="G1" s="420"/>
      <c r="H1" s="420"/>
      <c r="J1" s="420" t="s">
        <v>242</v>
      </c>
      <c r="K1" s="420"/>
      <c r="L1" s="420"/>
      <c r="M1" s="420"/>
      <c r="N1" s="420"/>
      <c r="P1" s="420" t="s">
        <v>250</v>
      </c>
      <c r="Q1" s="420"/>
      <c r="R1" s="420"/>
      <c r="S1" s="420"/>
      <c r="T1" s="420"/>
      <c r="V1" s="420" t="s">
        <v>256</v>
      </c>
      <c r="W1" s="420"/>
      <c r="X1" s="420"/>
      <c r="Y1" s="420"/>
      <c r="Z1" s="420"/>
      <c r="AB1" s="407" t="s">
        <v>260</v>
      </c>
      <c r="AC1" s="407"/>
      <c r="AD1" s="407"/>
      <c r="AE1" s="407"/>
      <c r="AG1" s="407" t="s">
        <v>0</v>
      </c>
      <c r="AH1" s="407"/>
      <c r="AI1" s="407"/>
      <c r="AJ1" s="407"/>
      <c r="AK1" s="407"/>
      <c r="AL1" s="407"/>
      <c r="AM1" s="407"/>
      <c r="AN1" s="407"/>
      <c r="AP1" s="407" t="s">
        <v>329</v>
      </c>
      <c r="AQ1" s="407"/>
      <c r="AR1" s="407"/>
      <c r="AS1" s="407"/>
      <c r="AT1" s="407"/>
      <c r="AU1" s="407"/>
      <c r="AV1" s="407"/>
      <c r="AW1" s="407"/>
      <c r="AX1" s="407"/>
      <c r="AY1" s="407"/>
      <c r="AZ1" s="407"/>
      <c r="BA1" s="407"/>
      <c r="BB1" s="407"/>
      <c r="BC1" s="407"/>
      <c r="BE1" s="407" t="s">
        <v>28</v>
      </c>
      <c r="BF1" s="407"/>
      <c r="BG1" s="407"/>
      <c r="BH1" s="407"/>
      <c r="BI1" s="407"/>
      <c r="BK1" s="407" t="s">
        <v>72</v>
      </c>
      <c r="BL1" s="407"/>
      <c r="BM1" s="407"/>
      <c r="BN1" s="407"/>
      <c r="BO1" s="407"/>
      <c r="BP1" s="407"/>
      <c r="BR1" s="407" t="s">
        <v>359</v>
      </c>
      <c r="BS1" s="407"/>
      <c r="BT1" s="407"/>
      <c r="BU1" s="407"/>
      <c r="BW1" s="407" t="s">
        <v>360</v>
      </c>
      <c r="BX1" s="407"/>
      <c r="BY1" s="407"/>
      <c r="BZ1" s="407"/>
      <c r="CA1" s="407"/>
      <c r="CB1" s="407"/>
      <c r="CM1" s="407" t="s">
        <v>379</v>
      </c>
      <c r="CN1" s="407"/>
      <c r="CO1" s="407"/>
      <c r="CP1" s="407"/>
      <c r="CQ1" s="407"/>
      <c r="CR1" s="407"/>
    </row>
    <row r="2" spans="1:96" s="2" customFormat="1" ht="15" thickBot="1" x14ac:dyDescent="0.35">
      <c r="A2" s="120"/>
      <c r="B2" s="19"/>
      <c r="D2" s="421" t="s">
        <v>216</v>
      </c>
      <c r="E2" s="421"/>
      <c r="F2" s="421"/>
      <c r="G2" s="421"/>
      <c r="H2" s="421"/>
      <c r="J2" s="421" t="s">
        <v>216</v>
      </c>
      <c r="K2" s="421"/>
      <c r="L2" s="421"/>
      <c r="M2" s="421"/>
      <c r="N2" s="421"/>
      <c r="P2" s="421" t="s">
        <v>216</v>
      </c>
      <c r="Q2" s="421"/>
      <c r="R2" s="421"/>
      <c r="S2" s="421"/>
      <c r="T2" s="421"/>
      <c r="V2" s="421" t="s">
        <v>216</v>
      </c>
      <c r="W2" s="421"/>
      <c r="X2" s="421"/>
      <c r="Y2" s="421"/>
      <c r="Z2" s="421"/>
      <c r="AB2" s="409" t="s">
        <v>268</v>
      </c>
      <c r="AC2" s="409"/>
      <c r="AD2" s="409"/>
      <c r="AE2" s="409"/>
      <c r="AP2" s="409" t="s">
        <v>328</v>
      </c>
      <c r="AQ2" s="409"/>
      <c r="AR2" s="409"/>
      <c r="AS2" s="409"/>
      <c r="AT2" s="409"/>
      <c r="AU2" s="409"/>
      <c r="AV2" s="409"/>
      <c r="AW2" s="409"/>
      <c r="AX2" s="409"/>
      <c r="AY2" s="409"/>
      <c r="AZ2" s="409"/>
      <c r="BA2" s="409"/>
      <c r="BB2" s="409"/>
      <c r="BC2" s="409"/>
      <c r="BE2" s="409" t="s">
        <v>332</v>
      </c>
      <c r="BF2" s="409"/>
      <c r="BG2" s="409"/>
      <c r="BH2" s="409"/>
      <c r="BI2" s="409"/>
      <c r="BK2" s="409" t="s">
        <v>355</v>
      </c>
      <c r="BL2" s="409"/>
      <c r="BM2" s="409"/>
      <c r="BN2" s="409"/>
      <c r="BO2" s="409"/>
      <c r="BR2" s="409" t="s">
        <v>356</v>
      </c>
      <c r="BS2" s="409"/>
      <c r="BT2" s="409"/>
      <c r="BU2" s="409"/>
    </row>
    <row r="3" spans="1:96" s="2" customFormat="1" ht="19.8" thickBot="1" x14ac:dyDescent="0.5">
      <c r="A3" s="120"/>
      <c r="B3" s="19"/>
      <c r="D3" s="422" t="s">
        <v>217</v>
      </c>
      <c r="E3" s="422"/>
      <c r="F3" s="422"/>
      <c r="G3" s="422"/>
      <c r="H3" s="422"/>
      <c r="J3" s="407" t="s">
        <v>243</v>
      </c>
      <c r="K3" s="407"/>
      <c r="L3" s="407"/>
      <c r="M3" s="407"/>
      <c r="N3" s="407"/>
      <c r="P3" s="429" t="s">
        <v>251</v>
      </c>
      <c r="Q3" s="429"/>
      <c r="R3" s="429"/>
      <c r="S3" s="429"/>
      <c r="T3" s="429"/>
      <c r="V3" s="429" t="s">
        <v>251</v>
      </c>
      <c r="W3" s="429"/>
      <c r="X3" s="429"/>
      <c r="Y3" s="429"/>
      <c r="Z3" s="429"/>
      <c r="AG3" s="5" t="s">
        <v>282</v>
      </c>
      <c r="CM3" s="59" t="s">
        <v>32</v>
      </c>
      <c r="CN3" s="59" t="s">
        <v>380</v>
      </c>
      <c r="CO3" s="59" t="s">
        <v>381</v>
      </c>
      <c r="CP3" s="59" t="s">
        <v>140</v>
      </c>
      <c r="CQ3" s="59" t="s">
        <v>118</v>
      </c>
      <c r="CR3" s="59" t="s">
        <v>119</v>
      </c>
    </row>
    <row r="4" spans="1:96" s="2" customFormat="1" x14ac:dyDescent="0.3">
      <c r="A4" s="120"/>
      <c r="B4" s="19"/>
      <c r="D4" s="421" t="s">
        <v>218</v>
      </c>
      <c r="E4" s="421"/>
      <c r="F4" s="421"/>
      <c r="G4" s="421"/>
      <c r="H4" s="421"/>
      <c r="J4" s="421" t="s">
        <v>218</v>
      </c>
      <c r="K4" s="421"/>
      <c r="L4" s="421"/>
      <c r="M4" s="421"/>
      <c r="N4" s="421"/>
      <c r="P4" s="429"/>
      <c r="Q4" s="429"/>
      <c r="R4" s="429"/>
      <c r="S4" s="429"/>
      <c r="T4" s="429"/>
      <c r="V4" s="429"/>
      <c r="W4" s="429"/>
      <c r="X4" s="429"/>
      <c r="Y4" s="429"/>
      <c r="Z4" s="429"/>
      <c r="BK4" s="413" t="s">
        <v>290</v>
      </c>
      <c r="BL4" s="413"/>
      <c r="BM4" s="155">
        <v>1954</v>
      </c>
      <c r="BN4" s="155">
        <v>1955</v>
      </c>
      <c r="BO4" s="155">
        <v>1956</v>
      </c>
      <c r="BP4" s="155">
        <v>1957</v>
      </c>
      <c r="BX4" s="156" t="s">
        <v>362</v>
      </c>
      <c r="BY4" s="156">
        <v>1954</v>
      </c>
      <c r="BZ4" s="156">
        <v>1955</v>
      </c>
      <c r="CA4" s="156">
        <v>1956</v>
      </c>
      <c r="CB4" s="156">
        <v>1957</v>
      </c>
      <c r="CM4" s="52" t="s">
        <v>382</v>
      </c>
      <c r="CN4" s="55"/>
      <c r="CO4" s="55"/>
      <c r="CP4" s="55"/>
      <c r="CQ4" s="55"/>
      <c r="CR4" s="55"/>
    </row>
    <row r="5" spans="1:96" s="2" customFormat="1" ht="16.2" thickBot="1" x14ac:dyDescent="0.35">
      <c r="A5" s="120"/>
      <c r="B5" s="19"/>
      <c r="D5" s="4" t="s">
        <v>252</v>
      </c>
      <c r="J5" s="4" t="s">
        <v>257</v>
      </c>
      <c r="P5" s="421" t="s">
        <v>218</v>
      </c>
      <c r="Q5" s="421"/>
      <c r="R5" s="421"/>
      <c r="S5" s="421"/>
      <c r="T5" s="421"/>
      <c r="V5" s="421" t="s">
        <v>218</v>
      </c>
      <c r="W5" s="421"/>
      <c r="X5" s="421"/>
      <c r="Y5" s="421"/>
      <c r="Z5" s="421"/>
      <c r="AB5" s="401" t="s">
        <v>32</v>
      </c>
      <c r="AC5" s="401"/>
      <c r="AD5" s="410" t="s">
        <v>37</v>
      </c>
      <c r="AE5" s="401"/>
      <c r="AG5" s="400" t="s">
        <v>1</v>
      </c>
      <c r="AH5" s="400"/>
      <c r="AJ5" s="400" t="s">
        <v>2</v>
      </c>
      <c r="AK5" s="400"/>
      <c r="AM5" s="400" t="s">
        <v>3</v>
      </c>
      <c r="AN5" s="400"/>
      <c r="AP5" s="135" t="s">
        <v>290</v>
      </c>
      <c r="AQ5" s="136" t="s">
        <v>291</v>
      </c>
      <c r="AR5" s="137" t="s">
        <v>292</v>
      </c>
      <c r="AS5" s="136" t="s">
        <v>293</v>
      </c>
      <c r="AT5" s="137" t="s">
        <v>294</v>
      </c>
      <c r="AU5" s="136" t="s">
        <v>295</v>
      </c>
      <c r="AV5" s="137" t="s">
        <v>296</v>
      </c>
      <c r="AW5" s="136" t="s">
        <v>297</v>
      </c>
      <c r="AX5" s="137" t="s">
        <v>298</v>
      </c>
      <c r="AY5" s="136" t="s">
        <v>299</v>
      </c>
      <c r="AZ5" s="137" t="s">
        <v>300</v>
      </c>
      <c r="BA5" s="136" t="s">
        <v>301</v>
      </c>
      <c r="BB5" s="137" t="s">
        <v>302</v>
      </c>
      <c r="BC5" s="136" t="s">
        <v>200</v>
      </c>
      <c r="BF5" s="403" t="s">
        <v>347</v>
      </c>
      <c r="BG5" s="403"/>
      <c r="BH5" s="403"/>
      <c r="BK5" s="2" t="s">
        <v>15</v>
      </c>
      <c r="BL5" s="2" t="s">
        <v>74</v>
      </c>
      <c r="BM5" s="17">
        <v>11546</v>
      </c>
      <c r="BN5" s="17">
        <v>12791</v>
      </c>
      <c r="BO5" s="17">
        <v>14822</v>
      </c>
      <c r="BP5" s="17">
        <v>18000</v>
      </c>
      <c r="BR5" s="401" t="s">
        <v>32</v>
      </c>
      <c r="BS5" s="401"/>
      <c r="BT5" s="410" t="s">
        <v>37</v>
      </c>
      <c r="BU5" s="401"/>
      <c r="BW5" s="157" t="s">
        <v>361</v>
      </c>
      <c r="BX5" s="21"/>
      <c r="BY5" s="21"/>
      <c r="BZ5" s="21"/>
      <c r="CA5" s="21"/>
      <c r="CB5" s="21"/>
      <c r="CM5" s="53" t="s">
        <v>269</v>
      </c>
      <c r="CN5" s="62">
        <v>508</v>
      </c>
      <c r="CO5" s="62">
        <v>500</v>
      </c>
      <c r="CP5" s="61">
        <f>+CO5-CN5</f>
        <v>-8</v>
      </c>
      <c r="CQ5" s="56">
        <f>IF(CO5&lt;CN5,CN5-CO5,"")</f>
        <v>8</v>
      </c>
      <c r="CR5" s="56" t="str">
        <f>IF(CO5&gt;CN5,CO5-CN5,"")</f>
        <v/>
      </c>
    </row>
    <row r="6" spans="1:96" s="2" customFormat="1" ht="15.6" thickTop="1" thickBot="1" x14ac:dyDescent="0.35">
      <c r="A6" s="120"/>
      <c r="B6" s="19"/>
      <c r="D6" s="416" t="s">
        <v>32</v>
      </c>
      <c r="E6" s="417"/>
      <c r="F6" s="96">
        <v>1954</v>
      </c>
      <c r="G6" s="96">
        <v>1955</v>
      </c>
      <c r="H6" s="96">
        <v>1956</v>
      </c>
      <c r="P6" s="4" t="s">
        <v>266</v>
      </c>
      <c r="V6" s="4" t="s">
        <v>267</v>
      </c>
      <c r="AB6" s="2" t="s">
        <v>269</v>
      </c>
      <c r="AC6" s="17">
        <v>508</v>
      </c>
      <c r="AD6" s="24" t="s">
        <v>13</v>
      </c>
      <c r="AE6" s="17">
        <v>1620</v>
      </c>
      <c r="AG6" s="6">
        <v>508</v>
      </c>
      <c r="AH6" s="7">
        <v>400</v>
      </c>
      <c r="AJ6" s="6">
        <v>1680</v>
      </c>
      <c r="AK6" s="7">
        <v>17700</v>
      </c>
      <c r="AM6" s="6">
        <v>2960</v>
      </c>
      <c r="AN6" s="7">
        <v>8400</v>
      </c>
      <c r="AP6" s="138" t="s">
        <v>303</v>
      </c>
      <c r="AQ6" s="139"/>
      <c r="AR6" s="140"/>
      <c r="AS6" s="139"/>
      <c r="AT6" s="140"/>
      <c r="AU6" s="139"/>
      <c r="AV6" s="140"/>
      <c r="AW6" s="139"/>
      <c r="AX6" s="140"/>
      <c r="AY6" s="139"/>
      <c r="AZ6" s="140"/>
      <c r="BA6" s="139"/>
      <c r="BB6" s="140"/>
      <c r="BC6" s="139"/>
      <c r="BF6" s="2" t="s">
        <v>15</v>
      </c>
      <c r="BG6" s="12" t="s">
        <v>330</v>
      </c>
      <c r="BH6" s="13">
        <v>508</v>
      </c>
      <c r="BK6" s="2" t="s">
        <v>50</v>
      </c>
      <c r="BL6" s="2" t="s">
        <v>75</v>
      </c>
      <c r="BM6" s="17">
        <v>9875</v>
      </c>
      <c r="BN6" s="17">
        <v>10870</v>
      </c>
      <c r="BO6" s="17">
        <v>12372</v>
      </c>
      <c r="BP6" s="17">
        <v>14900</v>
      </c>
      <c r="BR6" s="2" t="s">
        <v>269</v>
      </c>
      <c r="BS6" s="17">
        <v>500</v>
      </c>
      <c r="BT6" s="24" t="s">
        <v>33</v>
      </c>
      <c r="BU6" s="17">
        <v>2114</v>
      </c>
      <c r="BW6" s="2" t="s">
        <v>363</v>
      </c>
      <c r="BX6" s="26">
        <v>2</v>
      </c>
      <c r="BY6" s="14">
        <v>4.25</v>
      </c>
      <c r="BZ6" s="14">
        <v>2.57</v>
      </c>
      <c r="CA6" s="14">
        <v>1.5</v>
      </c>
      <c r="CB6" s="14">
        <v>1.46</v>
      </c>
      <c r="CM6" s="53" t="s">
        <v>113</v>
      </c>
      <c r="CN6" s="62">
        <v>1680</v>
      </c>
      <c r="CO6" s="62">
        <v>1980</v>
      </c>
      <c r="CP6" s="61">
        <f t="shared" ref="CP6:CP7" si="0">+CO6-CN6</f>
        <v>300</v>
      </c>
      <c r="CQ6" s="56" t="str">
        <f t="shared" ref="CQ6:CQ7" si="1">IF(CO6&lt;CN6,CN6-CO6,"")</f>
        <v/>
      </c>
      <c r="CR6" s="56">
        <f t="shared" ref="CR6:CR7" si="2">IF(CO6&gt;CN6,CO6-CN6,"")</f>
        <v>300</v>
      </c>
    </row>
    <row r="7" spans="1:96" s="2" customFormat="1" ht="15" customHeight="1" thickTop="1" x14ac:dyDescent="0.3">
      <c r="A7" s="120"/>
      <c r="B7" s="19"/>
      <c r="D7" s="418" t="s">
        <v>197</v>
      </c>
      <c r="E7" s="419"/>
      <c r="F7" s="97"/>
      <c r="G7" s="97"/>
      <c r="H7" s="97"/>
      <c r="J7" s="423" t="s">
        <v>172</v>
      </c>
      <c r="K7" s="424"/>
      <c r="L7" s="65">
        <v>1954</v>
      </c>
      <c r="M7" s="65">
        <v>1955</v>
      </c>
      <c r="N7" s="65">
        <v>1956</v>
      </c>
      <c r="AB7" s="2" t="s">
        <v>270</v>
      </c>
      <c r="AC7" s="17">
        <v>1680</v>
      </c>
      <c r="AD7" s="24" t="s">
        <v>271</v>
      </c>
      <c r="AE7" s="17">
        <v>780</v>
      </c>
      <c r="AG7" s="6">
        <v>17700</v>
      </c>
      <c r="AH7" s="8">
        <v>8780</v>
      </c>
      <c r="AJ7" s="6">
        <v>18000</v>
      </c>
      <c r="AK7" s="8"/>
      <c r="AM7" s="6">
        <v>8750</v>
      </c>
      <c r="AN7" s="8"/>
      <c r="AP7" s="141" t="s">
        <v>304</v>
      </c>
      <c r="AQ7" s="139">
        <v>1680</v>
      </c>
      <c r="AR7" s="140">
        <v>2610</v>
      </c>
      <c r="AS7" s="139">
        <v>3290</v>
      </c>
      <c r="AT7" s="140">
        <v>4730</v>
      </c>
      <c r="AU7" s="139">
        <v>5720</v>
      </c>
      <c r="AV7" s="140">
        <v>6180</v>
      </c>
      <c r="AW7" s="139">
        <v>5240</v>
      </c>
      <c r="AX7" s="140">
        <v>3300</v>
      </c>
      <c r="AY7" s="139">
        <v>2730</v>
      </c>
      <c r="AZ7" s="140">
        <v>1820</v>
      </c>
      <c r="BA7" s="139">
        <v>1310</v>
      </c>
      <c r="BB7" s="140">
        <v>1320</v>
      </c>
      <c r="BC7" s="139">
        <f>SUM(AQ7:BB7)</f>
        <v>39930</v>
      </c>
      <c r="BF7" s="2" t="s">
        <v>15</v>
      </c>
      <c r="BG7" s="2" t="s">
        <v>331</v>
      </c>
      <c r="BH7" s="17">
        <v>17700</v>
      </c>
      <c r="BK7" s="43" t="s">
        <v>15</v>
      </c>
      <c r="BL7" s="43" t="s">
        <v>351</v>
      </c>
      <c r="BM7" s="44">
        <f>+BM5-BM6</f>
        <v>1671</v>
      </c>
      <c r="BN7" s="44">
        <f t="shared" ref="BN7:BP7" si="3">+BN5-BN6</f>
        <v>1921</v>
      </c>
      <c r="BO7" s="44">
        <f t="shared" si="3"/>
        <v>2450</v>
      </c>
      <c r="BP7" s="44">
        <f t="shared" si="3"/>
        <v>3100</v>
      </c>
      <c r="BR7" s="2" t="s">
        <v>113</v>
      </c>
      <c r="BS7" s="17">
        <v>1980</v>
      </c>
      <c r="BT7" s="24" t="s">
        <v>271</v>
      </c>
      <c r="BU7" s="17">
        <v>750</v>
      </c>
      <c r="BW7" s="2" t="s">
        <v>364</v>
      </c>
      <c r="BX7" s="26">
        <v>1</v>
      </c>
      <c r="BY7" s="14">
        <v>2.92</v>
      </c>
      <c r="BZ7" s="14">
        <v>1.21</v>
      </c>
      <c r="CA7" s="14">
        <v>0.64</v>
      </c>
      <c r="CB7" s="14">
        <v>0.63</v>
      </c>
      <c r="CM7" s="53" t="s">
        <v>199</v>
      </c>
      <c r="CN7" s="62">
        <v>2960</v>
      </c>
      <c r="CO7" s="62">
        <v>3310</v>
      </c>
      <c r="CP7" s="61">
        <f t="shared" si="0"/>
        <v>350</v>
      </c>
      <c r="CQ7" s="56" t="str">
        <f t="shared" si="1"/>
        <v/>
      </c>
      <c r="CR7" s="56">
        <f t="shared" si="2"/>
        <v>350</v>
      </c>
    </row>
    <row r="8" spans="1:96" s="2" customFormat="1" ht="15" thickBot="1" x14ac:dyDescent="0.35">
      <c r="A8" s="120"/>
      <c r="B8" s="19"/>
      <c r="D8" s="98"/>
      <c r="E8" s="99" t="s">
        <v>198</v>
      </c>
      <c r="F8" s="100">
        <v>3188</v>
      </c>
      <c r="G8" s="100">
        <v>729</v>
      </c>
      <c r="H8" s="100">
        <v>508</v>
      </c>
      <c r="J8" s="2" t="s">
        <v>15</v>
      </c>
      <c r="K8" s="2" t="s">
        <v>74</v>
      </c>
      <c r="L8" s="17">
        <v>11546</v>
      </c>
      <c r="M8" s="17">
        <v>12791</v>
      </c>
      <c r="N8" s="17">
        <v>14822</v>
      </c>
      <c r="Q8" s="427" t="s">
        <v>253</v>
      </c>
      <c r="R8" s="427" t="s">
        <v>254</v>
      </c>
      <c r="S8" s="425" t="s">
        <v>255</v>
      </c>
      <c r="V8" s="427" t="s">
        <v>253</v>
      </c>
      <c r="W8" s="425" t="s">
        <v>258</v>
      </c>
      <c r="X8" s="427" t="s">
        <v>254</v>
      </c>
      <c r="Y8" s="425" t="s">
        <v>255</v>
      </c>
      <c r="Z8" s="425" t="s">
        <v>259</v>
      </c>
      <c r="AB8" s="2" t="s">
        <v>199</v>
      </c>
      <c r="AC8" s="17">
        <v>2960</v>
      </c>
      <c r="AD8" s="24" t="s">
        <v>272</v>
      </c>
      <c r="AE8" s="17">
        <v>646</v>
      </c>
      <c r="AG8" s="6">
        <v>3943</v>
      </c>
      <c r="AH8" s="8">
        <v>6000</v>
      </c>
      <c r="AJ8" s="6"/>
      <c r="AK8" s="8"/>
      <c r="AM8" s="6"/>
      <c r="AN8" s="8"/>
      <c r="AP8" s="141" t="s">
        <v>305</v>
      </c>
      <c r="AQ8" s="139">
        <v>1240</v>
      </c>
      <c r="AR8" s="140">
        <v>1750</v>
      </c>
      <c r="AS8" s="139">
        <v>2470</v>
      </c>
      <c r="AT8" s="140">
        <v>2550</v>
      </c>
      <c r="AU8" s="139">
        <v>2850</v>
      </c>
      <c r="AV8" s="140">
        <v>1610</v>
      </c>
      <c r="AW8" s="139">
        <v>1340</v>
      </c>
      <c r="AX8" s="140">
        <v>1120</v>
      </c>
      <c r="AY8" s="139">
        <v>640</v>
      </c>
      <c r="AZ8" s="140">
        <v>600</v>
      </c>
      <c r="BA8" s="139">
        <v>630</v>
      </c>
      <c r="BB8" s="140">
        <v>1200</v>
      </c>
      <c r="BC8" s="139">
        <f t="shared" ref="BC8:BC9" si="4">SUM(AQ8:BB8)</f>
        <v>18000</v>
      </c>
      <c r="BF8" s="2" t="s">
        <v>15</v>
      </c>
      <c r="BG8" s="2" t="s">
        <v>33</v>
      </c>
      <c r="BH8" s="25">
        <v>3943</v>
      </c>
      <c r="BK8" s="2" t="s">
        <v>50</v>
      </c>
      <c r="BL8" s="2" t="s">
        <v>244</v>
      </c>
      <c r="BM8" s="17">
        <v>727</v>
      </c>
      <c r="BN8" s="17">
        <v>755</v>
      </c>
      <c r="BO8" s="17">
        <v>834</v>
      </c>
      <c r="BP8" s="17">
        <v>912</v>
      </c>
      <c r="BR8" s="2" t="s">
        <v>199</v>
      </c>
      <c r="BS8" s="17">
        <v>3310</v>
      </c>
      <c r="BT8" s="24" t="s">
        <v>272</v>
      </c>
      <c r="BU8" s="17">
        <v>706</v>
      </c>
      <c r="BW8" s="2" t="s">
        <v>365</v>
      </c>
      <c r="BX8" s="14">
        <v>75</v>
      </c>
      <c r="BY8" s="14">
        <v>40.75</v>
      </c>
      <c r="BZ8" s="14">
        <v>86.79</v>
      </c>
      <c r="CA8" s="14">
        <v>172.7</v>
      </c>
      <c r="CB8" s="14">
        <v>180.67</v>
      </c>
      <c r="CM8" s="53" t="s">
        <v>283</v>
      </c>
      <c r="CN8" s="62">
        <v>9439</v>
      </c>
      <c r="CO8" s="62">
        <v>9579</v>
      </c>
      <c r="CP8" s="61">
        <f t="shared" ref="CP8:CP9" si="5">+CO8-CN8</f>
        <v>140</v>
      </c>
      <c r="CQ8" s="56" t="str">
        <f t="shared" ref="CQ8:CQ9" si="6">IF(CO8&lt;CN8,CN8-CO8,"")</f>
        <v/>
      </c>
      <c r="CR8" s="56">
        <f t="shared" ref="CR8:CR9" si="7">IF(CO8&gt;CN8,CO8-CN8,"")</f>
        <v>140</v>
      </c>
    </row>
    <row r="9" spans="1:96" s="2" customFormat="1" ht="15" thickBot="1" x14ac:dyDescent="0.35">
      <c r="A9" s="120"/>
      <c r="B9" s="19"/>
      <c r="D9" s="98"/>
      <c r="E9" s="99" t="s">
        <v>113</v>
      </c>
      <c r="F9" s="100">
        <v>1170</v>
      </c>
      <c r="G9" s="100">
        <v>1292</v>
      </c>
      <c r="H9" s="100">
        <v>1680</v>
      </c>
      <c r="J9" s="2" t="s">
        <v>50</v>
      </c>
      <c r="K9" s="2" t="s">
        <v>261</v>
      </c>
      <c r="L9" s="17">
        <v>9875</v>
      </c>
      <c r="M9" s="17">
        <v>10870</v>
      </c>
      <c r="N9" s="17">
        <v>12372</v>
      </c>
      <c r="Q9" s="428"/>
      <c r="R9" s="428"/>
      <c r="S9" s="426"/>
      <c r="V9" s="428"/>
      <c r="W9" s="426"/>
      <c r="X9" s="428"/>
      <c r="Y9" s="426"/>
      <c r="Z9" s="426"/>
      <c r="AC9" s="17"/>
      <c r="AD9" s="24" t="s">
        <v>208</v>
      </c>
      <c r="AE9" s="17">
        <v>138</v>
      </c>
      <c r="AG9" s="6"/>
      <c r="AH9" s="8">
        <v>912</v>
      </c>
      <c r="AJ9" s="6"/>
      <c r="AK9" s="8"/>
      <c r="AM9" s="6"/>
      <c r="AN9" s="8"/>
      <c r="AP9" s="141" t="s">
        <v>306</v>
      </c>
      <c r="AQ9" s="139">
        <v>-2610</v>
      </c>
      <c r="AR9" s="140">
        <v>-3290</v>
      </c>
      <c r="AS9" s="139">
        <v>-4730</v>
      </c>
      <c r="AT9" s="140">
        <v>-5720</v>
      </c>
      <c r="AU9" s="139">
        <v>-6180</v>
      </c>
      <c r="AV9" s="140">
        <v>-5240</v>
      </c>
      <c r="AW9" s="139">
        <v>-3300</v>
      </c>
      <c r="AX9" s="140">
        <v>-2730</v>
      </c>
      <c r="AY9" s="139">
        <v>-1820</v>
      </c>
      <c r="AZ9" s="140">
        <v>-1310</v>
      </c>
      <c r="BA9" s="139">
        <v>-1320</v>
      </c>
      <c r="BB9" s="140">
        <v>-1980</v>
      </c>
      <c r="BC9" s="139">
        <f t="shared" si="4"/>
        <v>-40230</v>
      </c>
      <c r="BF9" s="402" t="s">
        <v>344</v>
      </c>
      <c r="BG9" s="402"/>
      <c r="BH9" s="16">
        <f>SUM(BH6:BH8)</f>
        <v>22151</v>
      </c>
      <c r="BK9" s="2" t="s">
        <v>50</v>
      </c>
      <c r="BL9" s="2" t="s">
        <v>79</v>
      </c>
      <c r="BM9" s="17">
        <v>0</v>
      </c>
      <c r="BN9" s="17">
        <v>0</v>
      </c>
      <c r="BO9" s="17">
        <v>0</v>
      </c>
      <c r="BP9" s="17">
        <v>172</v>
      </c>
      <c r="BS9" s="22">
        <f>SUM(BS6:BS8)</f>
        <v>5790</v>
      </c>
      <c r="BT9" s="24" t="s">
        <v>208</v>
      </c>
      <c r="BU9" s="2">
        <v>138</v>
      </c>
      <c r="BW9" s="157" t="s">
        <v>371</v>
      </c>
      <c r="BX9" s="21"/>
      <c r="BY9" s="21"/>
      <c r="BZ9" s="21"/>
      <c r="CA9" s="21"/>
      <c r="CB9" s="21"/>
      <c r="CM9" s="53" t="s">
        <v>279</v>
      </c>
      <c r="CN9" s="62">
        <v>370</v>
      </c>
      <c r="CO9" s="62">
        <v>370</v>
      </c>
      <c r="CP9" s="61">
        <f t="shared" si="5"/>
        <v>0</v>
      </c>
      <c r="CQ9" s="56" t="str">
        <f t="shared" si="6"/>
        <v/>
      </c>
      <c r="CR9" s="56" t="str">
        <f t="shared" si="7"/>
        <v/>
      </c>
    </row>
    <row r="10" spans="1:96" s="2" customFormat="1" ht="15" thickBot="1" x14ac:dyDescent="0.35">
      <c r="A10" s="404" t="s">
        <v>241</v>
      </c>
      <c r="B10" s="19"/>
      <c r="D10" s="101"/>
      <c r="E10" s="102" t="s">
        <v>199</v>
      </c>
      <c r="F10" s="103">
        <v>1972</v>
      </c>
      <c r="G10" s="103">
        <v>2280</v>
      </c>
      <c r="H10" s="103">
        <v>2960</v>
      </c>
      <c r="J10" s="43"/>
      <c r="K10" s="43" t="s">
        <v>77</v>
      </c>
      <c r="L10" s="44">
        <f>+L8-L9</f>
        <v>1671</v>
      </c>
      <c r="M10" s="44">
        <f t="shared" ref="M10:N10" si="8">+M8-M9</f>
        <v>1921</v>
      </c>
      <c r="N10" s="44">
        <f t="shared" si="8"/>
        <v>2450</v>
      </c>
      <c r="Q10" s="126" t="s">
        <v>162</v>
      </c>
      <c r="R10" s="123">
        <v>1240</v>
      </c>
      <c r="S10" s="124">
        <v>2610</v>
      </c>
      <c r="V10" s="126" t="s">
        <v>162</v>
      </c>
      <c r="W10" s="17">
        <v>1680</v>
      </c>
      <c r="X10" s="123">
        <v>1240</v>
      </c>
      <c r="Y10" s="127">
        <v>2610</v>
      </c>
      <c r="Z10" s="128">
        <f>+W10+X10-Y10</f>
        <v>310</v>
      </c>
      <c r="AC10" s="15"/>
      <c r="AD10" s="24" t="s">
        <v>273</v>
      </c>
      <c r="AE10" s="134">
        <v>250</v>
      </c>
      <c r="AG10" s="6"/>
      <c r="AH10" s="8">
        <v>646</v>
      </c>
      <c r="AJ10" s="6"/>
      <c r="AK10" s="8"/>
      <c r="AM10" s="6"/>
      <c r="AN10" s="8"/>
      <c r="AP10" s="142" t="s">
        <v>307</v>
      </c>
      <c r="AQ10" s="143">
        <f>SUM(AQ7:AQ9)</f>
        <v>310</v>
      </c>
      <c r="AR10" s="144">
        <f t="shared" ref="AR10:BC10" si="9">SUM(AR7:AR9)</f>
        <v>1070</v>
      </c>
      <c r="AS10" s="143">
        <f t="shared" si="9"/>
        <v>1030</v>
      </c>
      <c r="AT10" s="144">
        <f t="shared" si="9"/>
        <v>1560</v>
      </c>
      <c r="AU10" s="143">
        <f t="shared" si="9"/>
        <v>2390</v>
      </c>
      <c r="AV10" s="144">
        <f t="shared" si="9"/>
        <v>2550</v>
      </c>
      <c r="AW10" s="143">
        <f t="shared" si="9"/>
        <v>3280</v>
      </c>
      <c r="AX10" s="144">
        <f t="shared" si="9"/>
        <v>1690</v>
      </c>
      <c r="AY10" s="143">
        <f t="shared" si="9"/>
        <v>1550</v>
      </c>
      <c r="AZ10" s="144">
        <f t="shared" si="9"/>
        <v>1110</v>
      </c>
      <c r="BA10" s="143">
        <f t="shared" si="9"/>
        <v>620</v>
      </c>
      <c r="BB10" s="144">
        <f t="shared" si="9"/>
        <v>540</v>
      </c>
      <c r="BC10" s="143">
        <f t="shared" si="9"/>
        <v>17700</v>
      </c>
      <c r="BK10" s="43" t="s">
        <v>15</v>
      </c>
      <c r="BL10" s="43" t="s">
        <v>192</v>
      </c>
      <c r="BM10" s="44">
        <f>+BM7-BM8-BM9</f>
        <v>944</v>
      </c>
      <c r="BN10" s="44">
        <f t="shared" ref="BN10:BP10" si="10">+BN7-BN8-BN9</f>
        <v>1166</v>
      </c>
      <c r="BO10" s="44">
        <f t="shared" si="10"/>
        <v>1616</v>
      </c>
      <c r="BP10" s="44">
        <f t="shared" si="10"/>
        <v>2016</v>
      </c>
      <c r="BT10" s="24" t="s">
        <v>357</v>
      </c>
      <c r="BU10" s="25">
        <v>250</v>
      </c>
      <c r="BW10" s="2" t="s">
        <v>366</v>
      </c>
      <c r="BX10" s="14">
        <v>55</v>
      </c>
      <c r="BY10" s="14">
        <v>40.4</v>
      </c>
      <c r="BZ10" s="14">
        <v>39.4</v>
      </c>
      <c r="CA10" s="14">
        <v>44.69</v>
      </c>
      <c r="CB10" s="14">
        <v>44.21</v>
      </c>
      <c r="CM10" s="53"/>
      <c r="CN10" s="56"/>
      <c r="CO10" s="56"/>
      <c r="CP10" s="56"/>
      <c r="CQ10" s="56"/>
      <c r="CR10" s="56"/>
    </row>
    <row r="11" spans="1:96" s="2" customFormat="1" ht="16.8" thickTop="1" thickBot="1" x14ac:dyDescent="0.35">
      <c r="A11" s="405"/>
      <c r="B11" s="19"/>
      <c r="D11" s="430" t="s">
        <v>200</v>
      </c>
      <c r="E11" s="431"/>
      <c r="F11" s="104">
        <f>SUM(F8:F10)</f>
        <v>6330</v>
      </c>
      <c r="G11" s="104">
        <f t="shared" ref="G11:H11" si="11">SUM(G8:G10)</f>
        <v>4301</v>
      </c>
      <c r="H11" s="104">
        <f t="shared" si="11"/>
        <v>5148</v>
      </c>
      <c r="J11" s="2" t="s">
        <v>50</v>
      </c>
      <c r="K11" s="2" t="s">
        <v>244</v>
      </c>
      <c r="L11" s="17">
        <v>727</v>
      </c>
      <c r="M11" s="17">
        <v>755</v>
      </c>
      <c r="N11" s="17">
        <v>834</v>
      </c>
      <c r="Q11" s="126" t="s">
        <v>163</v>
      </c>
      <c r="R11" s="123">
        <v>1750</v>
      </c>
      <c r="S11" s="124">
        <v>3290</v>
      </c>
      <c r="V11" s="126" t="s">
        <v>163</v>
      </c>
      <c r="W11" s="17">
        <v>2610</v>
      </c>
      <c r="X11" s="123">
        <v>1750</v>
      </c>
      <c r="Y11" s="127">
        <v>3290</v>
      </c>
      <c r="Z11" s="128">
        <f>+W11+X11-Y11</f>
        <v>1070</v>
      </c>
      <c r="AB11" s="2" t="s">
        <v>275</v>
      </c>
      <c r="AC11" s="22">
        <f>SUM(AC6:AC10)</f>
        <v>5148</v>
      </c>
      <c r="AD11" s="24" t="s">
        <v>274</v>
      </c>
      <c r="AE11" s="22">
        <f>SUM(AE6:AE10)</f>
        <v>3434</v>
      </c>
      <c r="AG11" s="6"/>
      <c r="AH11" s="8">
        <v>240</v>
      </c>
      <c r="AJ11" s="6"/>
      <c r="AK11" s="8"/>
      <c r="AM11" s="6"/>
      <c r="AN11" s="8"/>
      <c r="AP11" s="138" t="s">
        <v>308</v>
      </c>
      <c r="AQ11" s="139"/>
      <c r="AR11" s="140"/>
      <c r="AS11" s="139"/>
      <c r="AT11" s="140"/>
      <c r="AU11" s="139"/>
      <c r="AV11" s="140"/>
      <c r="AW11" s="139"/>
      <c r="AX11" s="140"/>
      <c r="AY11" s="139"/>
      <c r="AZ11" s="140"/>
      <c r="BA11" s="139"/>
      <c r="BB11" s="140"/>
      <c r="BC11" s="139"/>
      <c r="BF11" s="403" t="s">
        <v>346</v>
      </c>
      <c r="BG11" s="403"/>
      <c r="BH11" s="403"/>
      <c r="BK11" s="2" t="s">
        <v>50</v>
      </c>
      <c r="BL11" s="2" t="s">
        <v>350</v>
      </c>
      <c r="BM11" s="2">
        <v>472</v>
      </c>
      <c r="BN11" s="2">
        <v>583</v>
      </c>
      <c r="BO11" s="2">
        <v>808</v>
      </c>
      <c r="BP11" s="2">
        <v>1008</v>
      </c>
      <c r="BT11" s="24"/>
      <c r="BU11" s="22">
        <f>SUM(BU6:BU10)</f>
        <v>3958</v>
      </c>
      <c r="BW11" s="2" t="s">
        <v>367</v>
      </c>
      <c r="BX11" s="26">
        <v>45</v>
      </c>
      <c r="BY11" s="14">
        <v>59.6</v>
      </c>
      <c r="BZ11" s="14">
        <v>60.6</v>
      </c>
      <c r="CA11" s="14">
        <v>55.31</v>
      </c>
      <c r="CB11" s="14">
        <v>55.79</v>
      </c>
      <c r="CM11" s="54" t="s">
        <v>127</v>
      </c>
      <c r="CN11" s="58">
        <f>SUM(CN5:CN10)</f>
        <v>14957</v>
      </c>
      <c r="CO11" s="58">
        <f>SUM(CO5:CO10)</f>
        <v>15739</v>
      </c>
      <c r="CP11" s="58"/>
      <c r="CQ11" s="58">
        <f>SUM(CQ5:CQ10)</f>
        <v>8</v>
      </c>
      <c r="CR11" s="58">
        <f>SUM(CR5:CR10)</f>
        <v>790</v>
      </c>
    </row>
    <row r="12" spans="1:96" s="2" customFormat="1" ht="15.6" thickTop="1" thickBot="1" x14ac:dyDescent="0.35">
      <c r="A12" s="405"/>
      <c r="B12" s="19"/>
      <c r="D12" s="98"/>
      <c r="E12" s="99" t="s">
        <v>201</v>
      </c>
      <c r="F12" s="100">
        <v>6341</v>
      </c>
      <c r="G12" s="100">
        <v>8483</v>
      </c>
      <c r="H12" s="100">
        <v>9439</v>
      </c>
      <c r="J12" s="43"/>
      <c r="K12" s="43" t="s">
        <v>245</v>
      </c>
      <c r="L12" s="44">
        <f>+L10-L11</f>
        <v>944</v>
      </c>
      <c r="M12" s="44">
        <f t="shared" ref="M12:N12" si="12">+M10-M11</f>
        <v>1166</v>
      </c>
      <c r="N12" s="44">
        <f t="shared" si="12"/>
        <v>1616</v>
      </c>
      <c r="Q12" s="126" t="s">
        <v>164</v>
      </c>
      <c r="R12" s="123">
        <v>2470</v>
      </c>
      <c r="S12" s="124">
        <v>4730</v>
      </c>
      <c r="V12" s="126" t="s">
        <v>164</v>
      </c>
      <c r="W12" s="17">
        <v>3290</v>
      </c>
      <c r="X12" s="123">
        <v>2470</v>
      </c>
      <c r="Y12" s="127">
        <v>4730</v>
      </c>
      <c r="Z12" s="128">
        <f t="shared" ref="Z12:Z21" si="13">+W12+X12-Y12</f>
        <v>1030</v>
      </c>
      <c r="AD12" s="24"/>
      <c r="AG12" s="6"/>
      <c r="AH12" s="8">
        <v>172</v>
      </c>
      <c r="AJ12" s="6"/>
      <c r="AK12" s="8"/>
      <c r="AM12" s="6"/>
      <c r="AN12" s="8"/>
      <c r="AP12" s="141" t="s">
        <v>309</v>
      </c>
      <c r="AQ12" s="139"/>
      <c r="AR12" s="140"/>
      <c r="AS12" s="139">
        <v>100</v>
      </c>
      <c r="AT12" s="140">
        <v>100</v>
      </c>
      <c r="AU12" s="139">
        <v>100</v>
      </c>
      <c r="AV12" s="140">
        <v>100</v>
      </c>
      <c r="AW12" s="139"/>
      <c r="AX12" s="140"/>
      <c r="AY12" s="139"/>
      <c r="AZ12" s="140"/>
      <c r="BA12" s="139"/>
      <c r="BB12" s="140"/>
      <c r="BC12" s="139">
        <f t="shared" ref="BC12:BC22" si="14">SUM(AQ12:BB12)</f>
        <v>400</v>
      </c>
      <c r="BF12" s="2" t="s">
        <v>50</v>
      </c>
      <c r="BG12" s="2" t="s">
        <v>333</v>
      </c>
      <c r="BH12" s="17">
        <v>400</v>
      </c>
      <c r="BK12" s="43" t="s">
        <v>15</v>
      </c>
      <c r="BL12" s="43" t="s">
        <v>83</v>
      </c>
      <c r="BM12" s="44">
        <f>+BM10-BM11</f>
        <v>472</v>
      </c>
      <c r="BN12" s="44">
        <f t="shared" ref="BN12:BP12" si="15">+BN10-BN11</f>
        <v>583</v>
      </c>
      <c r="BO12" s="44">
        <f t="shared" si="15"/>
        <v>808</v>
      </c>
      <c r="BP12" s="44">
        <f t="shared" si="15"/>
        <v>1008</v>
      </c>
      <c r="BS12" s="17"/>
      <c r="BT12" s="24"/>
      <c r="BW12" s="2" t="s">
        <v>368</v>
      </c>
      <c r="BX12" s="14">
        <v>30</v>
      </c>
      <c r="BY12" s="14">
        <v>22.14</v>
      </c>
      <c r="BZ12" s="14">
        <v>21.06</v>
      </c>
      <c r="CA12" s="14">
        <v>41.51</v>
      </c>
      <c r="CB12" s="14">
        <v>45.07</v>
      </c>
    </row>
    <row r="13" spans="1:96" s="2" customFormat="1" ht="15" thickBot="1" x14ac:dyDescent="0.35">
      <c r="A13" s="405"/>
      <c r="B13" s="19"/>
      <c r="D13" s="101"/>
      <c r="E13" s="102" t="s">
        <v>202</v>
      </c>
      <c r="F13" s="103">
        <v>302</v>
      </c>
      <c r="G13" s="103">
        <v>355</v>
      </c>
      <c r="H13" s="103">
        <v>370</v>
      </c>
      <c r="J13" s="2" t="s">
        <v>50</v>
      </c>
      <c r="K13" s="2" t="s">
        <v>246</v>
      </c>
      <c r="L13" s="17">
        <v>472</v>
      </c>
      <c r="M13" s="17">
        <v>583</v>
      </c>
      <c r="N13" s="17">
        <v>808</v>
      </c>
      <c r="Q13" s="126" t="s">
        <v>165</v>
      </c>
      <c r="R13" s="123">
        <v>2550</v>
      </c>
      <c r="S13" s="124">
        <v>5720</v>
      </c>
      <c r="V13" s="126" t="s">
        <v>165</v>
      </c>
      <c r="W13" s="17">
        <v>4730</v>
      </c>
      <c r="X13" s="123">
        <v>2550</v>
      </c>
      <c r="Y13" s="127">
        <v>5720</v>
      </c>
      <c r="Z13" s="128">
        <f t="shared" si="13"/>
        <v>1560</v>
      </c>
      <c r="AD13" s="24"/>
      <c r="AG13" s="6"/>
      <c r="AH13" s="8">
        <v>302</v>
      </c>
      <c r="AJ13" s="6"/>
      <c r="AK13" s="8"/>
      <c r="AM13" s="6"/>
      <c r="AN13" s="8"/>
      <c r="AP13" s="141" t="s">
        <v>310</v>
      </c>
      <c r="AQ13" s="139">
        <v>780</v>
      </c>
      <c r="AR13" s="140">
        <v>750</v>
      </c>
      <c r="AS13" s="139">
        <v>750</v>
      </c>
      <c r="AT13" s="140">
        <v>750</v>
      </c>
      <c r="AU13" s="139">
        <v>750</v>
      </c>
      <c r="AV13" s="140">
        <v>750</v>
      </c>
      <c r="AW13" s="139">
        <v>750</v>
      </c>
      <c r="AX13" s="140">
        <v>750</v>
      </c>
      <c r="AY13" s="139">
        <v>500</v>
      </c>
      <c r="AZ13" s="140">
        <v>750</v>
      </c>
      <c r="BA13" s="139">
        <v>750</v>
      </c>
      <c r="BB13" s="140">
        <v>750</v>
      </c>
      <c r="BC13" s="139">
        <f t="shared" si="14"/>
        <v>8780</v>
      </c>
      <c r="BF13" s="2" t="s">
        <v>50</v>
      </c>
      <c r="BG13" s="2" t="s">
        <v>334</v>
      </c>
      <c r="BH13" s="17">
        <v>8780</v>
      </c>
      <c r="BL13" s="2" t="s">
        <v>352</v>
      </c>
      <c r="BM13" s="2">
        <v>350</v>
      </c>
      <c r="BN13" s="2">
        <v>350</v>
      </c>
      <c r="BO13" s="2">
        <v>500</v>
      </c>
      <c r="BP13" s="2">
        <v>500</v>
      </c>
      <c r="BS13" s="17"/>
      <c r="BT13" s="410" t="s">
        <v>358</v>
      </c>
      <c r="BU13" s="401"/>
      <c r="BW13" s="2" t="s">
        <v>369</v>
      </c>
      <c r="BX13" s="26">
        <v>75</v>
      </c>
      <c r="BY13" s="14">
        <v>94.19</v>
      </c>
      <c r="BZ13" s="14">
        <v>106.5</v>
      </c>
      <c r="CA13" s="14">
        <v>114.09</v>
      </c>
      <c r="CB13" s="14">
        <v>109.08</v>
      </c>
      <c r="CM13" s="59" t="s">
        <v>128</v>
      </c>
      <c r="CN13" s="59" t="s">
        <v>380</v>
      </c>
      <c r="CO13" s="59" t="s">
        <v>381</v>
      </c>
      <c r="CP13" s="59"/>
      <c r="CQ13" s="59" t="s">
        <v>118</v>
      </c>
      <c r="CR13" s="59" t="s">
        <v>119</v>
      </c>
    </row>
    <row r="14" spans="1:96" s="2" customFormat="1" ht="15.6" thickTop="1" thickBot="1" x14ac:dyDescent="0.35">
      <c r="A14" s="405"/>
      <c r="B14" s="19"/>
      <c r="D14" s="430" t="s">
        <v>203</v>
      </c>
      <c r="E14" s="431"/>
      <c r="F14" s="104">
        <f>+F11+F12+F13</f>
        <v>12973</v>
      </c>
      <c r="G14" s="104">
        <f t="shared" ref="G14:H14" si="16">+G11+G12+G13</f>
        <v>13139</v>
      </c>
      <c r="H14" s="104">
        <f t="shared" si="16"/>
        <v>14957</v>
      </c>
      <c r="J14" s="43"/>
      <c r="K14" s="43" t="s">
        <v>247</v>
      </c>
      <c r="L14" s="44">
        <f>+L12-L13</f>
        <v>472</v>
      </c>
      <c r="M14" s="44">
        <f t="shared" ref="M14:N14" si="17">+M12-M13</f>
        <v>583</v>
      </c>
      <c r="N14" s="44">
        <f t="shared" si="17"/>
        <v>808</v>
      </c>
      <c r="Q14" s="126" t="s">
        <v>166</v>
      </c>
      <c r="R14" s="123">
        <v>2850</v>
      </c>
      <c r="S14" s="124">
        <v>6180</v>
      </c>
      <c r="V14" s="126" t="s">
        <v>166</v>
      </c>
      <c r="W14" s="17">
        <v>5720</v>
      </c>
      <c r="X14" s="123">
        <v>2850</v>
      </c>
      <c r="Y14" s="127">
        <v>6180</v>
      </c>
      <c r="Z14" s="128">
        <f t="shared" si="13"/>
        <v>2390</v>
      </c>
      <c r="AC14" s="17"/>
      <c r="AD14" s="24"/>
      <c r="AG14" s="6"/>
      <c r="AH14" s="8">
        <v>1620</v>
      </c>
      <c r="AJ14" s="6"/>
      <c r="AK14" s="8"/>
      <c r="AM14" s="6"/>
      <c r="AN14" s="8"/>
      <c r="AP14" s="141" t="s">
        <v>311</v>
      </c>
      <c r="AQ14" s="139">
        <v>500</v>
      </c>
      <c r="AR14" s="140">
        <v>500</v>
      </c>
      <c r="AS14" s="139">
        <v>500</v>
      </c>
      <c r="AT14" s="140">
        <v>500</v>
      </c>
      <c r="AU14" s="139">
        <v>500</v>
      </c>
      <c r="AV14" s="140">
        <v>500</v>
      </c>
      <c r="AW14" s="139">
        <v>500</v>
      </c>
      <c r="AX14" s="140">
        <v>500</v>
      </c>
      <c r="AY14" s="139">
        <v>500</v>
      </c>
      <c r="AZ14" s="140">
        <v>500</v>
      </c>
      <c r="BA14" s="139">
        <v>500</v>
      </c>
      <c r="BB14" s="140">
        <v>500</v>
      </c>
      <c r="BC14" s="139">
        <f t="shared" si="14"/>
        <v>6000</v>
      </c>
      <c r="BF14" s="2" t="s">
        <v>50</v>
      </c>
      <c r="BG14" s="2" t="s">
        <v>335</v>
      </c>
      <c r="BH14" s="17">
        <v>6000</v>
      </c>
      <c r="BK14" s="46" t="s">
        <v>50</v>
      </c>
      <c r="BL14" s="46" t="s">
        <v>353</v>
      </c>
      <c r="BM14" s="47">
        <f>+BM12-BM13</f>
        <v>122</v>
      </c>
      <c r="BN14" s="47">
        <f t="shared" ref="BN14:BP14" si="18">+BN12-BN13</f>
        <v>233</v>
      </c>
      <c r="BO14" s="47">
        <f t="shared" si="18"/>
        <v>308</v>
      </c>
      <c r="BP14" s="47">
        <f t="shared" si="18"/>
        <v>508</v>
      </c>
      <c r="BR14" s="2" t="s">
        <v>283</v>
      </c>
      <c r="BS14" s="17">
        <v>9579</v>
      </c>
      <c r="BT14" s="24" t="s">
        <v>211</v>
      </c>
      <c r="BU14" s="17">
        <v>3000</v>
      </c>
      <c r="BW14" s="157" t="s">
        <v>370</v>
      </c>
      <c r="BX14" s="21"/>
      <c r="BY14" s="21"/>
      <c r="BZ14" s="21"/>
      <c r="CA14" s="21"/>
      <c r="CB14" s="21"/>
      <c r="CM14" s="52" t="s">
        <v>383</v>
      </c>
      <c r="CN14" s="55"/>
      <c r="CO14" s="55"/>
      <c r="CP14" s="55"/>
      <c r="CQ14" s="55"/>
      <c r="CR14" s="55"/>
    </row>
    <row r="15" spans="1:96" s="2" customFormat="1" ht="15.6" thickTop="1" thickBot="1" x14ac:dyDescent="0.35">
      <c r="A15" s="405"/>
      <c r="B15" s="19"/>
      <c r="J15" s="2" t="s">
        <v>50</v>
      </c>
      <c r="K15" s="2" t="s">
        <v>248</v>
      </c>
      <c r="L15" s="17">
        <v>350</v>
      </c>
      <c r="M15" s="17">
        <v>350</v>
      </c>
      <c r="N15" s="17">
        <v>500</v>
      </c>
      <c r="Q15" s="126" t="s">
        <v>167</v>
      </c>
      <c r="R15" s="123">
        <v>1610</v>
      </c>
      <c r="S15" s="124">
        <v>5240</v>
      </c>
      <c r="V15" s="126" t="s">
        <v>167</v>
      </c>
      <c r="W15" s="17">
        <v>6180</v>
      </c>
      <c r="X15" s="123">
        <v>1610</v>
      </c>
      <c r="Y15" s="127">
        <v>5240</v>
      </c>
      <c r="Z15" s="128">
        <f t="shared" si="13"/>
        <v>2550</v>
      </c>
      <c r="AB15" s="2" t="s">
        <v>278</v>
      </c>
      <c r="AC15" s="17">
        <v>9439</v>
      </c>
      <c r="AD15" s="410" t="s">
        <v>35</v>
      </c>
      <c r="AE15" s="401"/>
      <c r="AG15" s="6"/>
      <c r="AH15" s="8">
        <v>250</v>
      </c>
      <c r="AJ15" s="6"/>
      <c r="AK15" s="8"/>
      <c r="AM15" s="6"/>
      <c r="AN15" s="8"/>
      <c r="AP15" s="141" t="s">
        <v>18</v>
      </c>
      <c r="AQ15" s="139">
        <v>76</v>
      </c>
      <c r="AR15" s="140">
        <v>76</v>
      </c>
      <c r="AS15" s="139">
        <v>76</v>
      </c>
      <c r="AT15" s="140">
        <v>76</v>
      </c>
      <c r="AU15" s="139">
        <v>76</v>
      </c>
      <c r="AV15" s="140">
        <v>76</v>
      </c>
      <c r="AW15" s="139">
        <v>76</v>
      </c>
      <c r="AX15" s="140">
        <v>76</v>
      </c>
      <c r="AY15" s="139">
        <v>76</v>
      </c>
      <c r="AZ15" s="140">
        <v>76</v>
      </c>
      <c r="BA15" s="139">
        <v>76</v>
      </c>
      <c r="BB15" s="140">
        <v>76</v>
      </c>
      <c r="BC15" s="139">
        <f t="shared" si="14"/>
        <v>912</v>
      </c>
      <c r="BF15" s="2" t="s">
        <v>50</v>
      </c>
      <c r="BG15" s="2" t="s">
        <v>244</v>
      </c>
      <c r="BH15" s="17">
        <v>912</v>
      </c>
      <c r="BR15" s="2" t="s">
        <v>279</v>
      </c>
      <c r="BS15" s="17">
        <v>370</v>
      </c>
      <c r="BT15" s="24" t="s">
        <v>289</v>
      </c>
      <c r="BU15" s="2">
        <v>6000</v>
      </c>
      <c r="BW15" s="2" t="s">
        <v>372</v>
      </c>
      <c r="BX15" s="26">
        <v>4</v>
      </c>
      <c r="BY15" s="14">
        <v>5.01</v>
      </c>
      <c r="BZ15" s="14">
        <v>4.7699999999999996</v>
      </c>
      <c r="CA15" s="14">
        <v>4.18</v>
      </c>
      <c r="CB15" s="14">
        <v>4.5</v>
      </c>
      <c r="CM15" s="53" t="s">
        <v>33</v>
      </c>
      <c r="CN15" s="62">
        <v>1620</v>
      </c>
      <c r="CO15" s="62">
        <v>2114</v>
      </c>
      <c r="CP15" s="61">
        <f t="shared" ref="CP15:CP17" si="19">+CO15-CN15</f>
        <v>494</v>
      </c>
      <c r="CQ15" s="56">
        <f>IF(CO15&gt;CN15,CO15-CN15,"")</f>
        <v>494</v>
      </c>
      <c r="CR15" s="56" t="str">
        <f>IF(CO15&gt;CN15,"",-(CO15-CN15))</f>
        <v/>
      </c>
    </row>
    <row r="16" spans="1:96" s="2" customFormat="1" ht="15.6" customHeight="1" thickTop="1" thickBot="1" x14ac:dyDescent="0.35">
      <c r="A16" s="405"/>
      <c r="B16" s="19"/>
      <c r="D16" s="432" t="s">
        <v>204</v>
      </c>
      <c r="E16" s="433"/>
      <c r="F16" s="105">
        <v>1954</v>
      </c>
      <c r="G16" s="105">
        <v>1955</v>
      </c>
      <c r="H16" s="105">
        <v>1956</v>
      </c>
      <c r="J16" s="43"/>
      <c r="K16" s="43" t="s">
        <v>249</v>
      </c>
      <c r="L16" s="44">
        <f>+L14-L15</f>
        <v>122</v>
      </c>
      <c r="M16" s="44">
        <f t="shared" ref="M16:N16" si="20">+M14-M15</f>
        <v>233</v>
      </c>
      <c r="N16" s="44">
        <f t="shared" si="20"/>
        <v>308</v>
      </c>
      <c r="Q16" s="126" t="s">
        <v>222</v>
      </c>
      <c r="R16" s="123">
        <v>1340</v>
      </c>
      <c r="S16" s="124">
        <v>3300</v>
      </c>
      <c r="V16" s="126" t="s">
        <v>222</v>
      </c>
      <c r="W16" s="17">
        <v>5240</v>
      </c>
      <c r="X16" s="123">
        <v>1340</v>
      </c>
      <c r="Y16" s="127">
        <v>3300</v>
      </c>
      <c r="Z16" s="128">
        <f t="shared" si="13"/>
        <v>3280</v>
      </c>
      <c r="AB16" s="2" t="s">
        <v>279</v>
      </c>
      <c r="AC16" s="17">
        <v>370</v>
      </c>
      <c r="AD16" s="24" t="s">
        <v>211</v>
      </c>
      <c r="AE16" s="17">
        <v>3250</v>
      </c>
      <c r="AG16" s="6"/>
      <c r="AH16" s="8">
        <v>500</v>
      </c>
      <c r="AJ16" s="6"/>
      <c r="AK16" s="8"/>
      <c r="AM16" s="6"/>
      <c r="AN16" s="8"/>
      <c r="AP16" s="141" t="s">
        <v>312</v>
      </c>
      <c r="AQ16" s="139"/>
      <c r="AR16" s="140"/>
      <c r="AS16" s="139">
        <v>323</v>
      </c>
      <c r="AT16" s="140"/>
      <c r="AU16" s="139">
        <v>323</v>
      </c>
      <c r="AV16" s="140"/>
      <c r="AW16" s="139"/>
      <c r="AX16" s="140"/>
      <c r="AY16" s="139"/>
      <c r="AZ16" s="140"/>
      <c r="BA16" s="139"/>
      <c r="BB16" s="140"/>
      <c r="BC16" s="139">
        <f t="shared" si="14"/>
        <v>646</v>
      </c>
      <c r="BF16" s="2" t="s">
        <v>50</v>
      </c>
      <c r="BG16" s="2" t="s">
        <v>336</v>
      </c>
      <c r="BH16" s="17">
        <v>302</v>
      </c>
      <c r="BL16" s="2" t="s">
        <v>354</v>
      </c>
      <c r="BM16" s="2">
        <v>355</v>
      </c>
      <c r="BN16" s="2">
        <v>370</v>
      </c>
      <c r="BO16" s="2">
        <v>470</v>
      </c>
      <c r="BP16" s="2">
        <v>540</v>
      </c>
      <c r="BS16" s="22">
        <f>SUM(BS14:BS15)</f>
        <v>9949</v>
      </c>
      <c r="BT16" s="24" t="s">
        <v>213</v>
      </c>
      <c r="BU16" s="25">
        <v>2781</v>
      </c>
      <c r="BW16" s="2" t="s">
        <v>373</v>
      </c>
      <c r="BX16" s="26">
        <v>12</v>
      </c>
      <c r="BY16" s="14">
        <v>3.62</v>
      </c>
      <c r="BZ16" s="14">
        <v>17.55</v>
      </c>
      <c r="CA16" s="14">
        <v>29.18</v>
      </c>
      <c r="CB16" s="14">
        <v>36</v>
      </c>
      <c r="CM16" s="53" t="s">
        <v>271</v>
      </c>
      <c r="CN16" s="62">
        <v>780</v>
      </c>
      <c r="CO16" s="62">
        <v>750</v>
      </c>
      <c r="CP16" s="61">
        <f t="shared" si="19"/>
        <v>-30</v>
      </c>
      <c r="CQ16" s="56" t="str">
        <f t="shared" ref="CQ16:CQ17" si="21">IF(CO16&gt;CN16,CO16-CN16,"")</f>
        <v/>
      </c>
      <c r="CR16" s="56">
        <f t="shared" ref="CR16:CR17" si="22">IF(CO16&gt;CN16,"",-(CO16-CN16))</f>
        <v>30</v>
      </c>
    </row>
    <row r="17" spans="1:96" s="2" customFormat="1" ht="15" customHeight="1" thickTop="1" thickBot="1" x14ac:dyDescent="0.35">
      <c r="A17" s="405"/>
      <c r="B17" s="19"/>
      <c r="D17" s="418" t="s">
        <v>205</v>
      </c>
      <c r="E17" s="419"/>
      <c r="F17" s="106"/>
      <c r="G17" s="106"/>
      <c r="H17" s="106"/>
      <c r="Q17" s="126" t="s">
        <v>223</v>
      </c>
      <c r="R17" s="123">
        <v>1120</v>
      </c>
      <c r="S17" s="124">
        <v>2730</v>
      </c>
      <c r="V17" s="126" t="s">
        <v>223</v>
      </c>
      <c r="W17" s="17">
        <v>3300</v>
      </c>
      <c r="X17" s="123">
        <v>1120</v>
      </c>
      <c r="Y17" s="127">
        <v>2730</v>
      </c>
      <c r="Z17" s="128">
        <f t="shared" si="13"/>
        <v>1690</v>
      </c>
      <c r="AC17" s="17"/>
      <c r="AD17" s="24" t="s">
        <v>276</v>
      </c>
      <c r="AE17" s="17">
        <v>6000</v>
      </c>
      <c r="AG17" s="9"/>
      <c r="AH17" s="10">
        <v>1829</v>
      </c>
      <c r="AJ17" s="9"/>
      <c r="AK17" s="10"/>
      <c r="AM17" s="9"/>
      <c r="AN17" s="10"/>
      <c r="AP17" s="141" t="s">
        <v>313</v>
      </c>
      <c r="AQ17" s="139"/>
      <c r="AR17" s="140"/>
      <c r="AS17" s="139"/>
      <c r="AT17" s="140"/>
      <c r="AU17" s="139"/>
      <c r="AV17" s="140"/>
      <c r="AW17" s="139"/>
      <c r="AX17" s="140"/>
      <c r="AY17" s="139">
        <v>151</v>
      </c>
      <c r="AZ17" s="140"/>
      <c r="BA17" s="139"/>
      <c r="BB17" s="140">
        <v>151</v>
      </c>
      <c r="BC17" s="139">
        <f t="shared" si="14"/>
        <v>302</v>
      </c>
      <c r="BF17" s="2" t="s">
        <v>50</v>
      </c>
      <c r="BG17" s="2" t="s">
        <v>337</v>
      </c>
      <c r="BH17" s="17">
        <v>240</v>
      </c>
      <c r="BT17" s="24"/>
      <c r="BU17" s="22">
        <f>SUM(BU14:BU16)</f>
        <v>11781</v>
      </c>
      <c r="BW17" s="157" t="s">
        <v>374</v>
      </c>
      <c r="BX17" s="21"/>
      <c r="BY17" s="21"/>
      <c r="BZ17" s="21"/>
      <c r="CA17" s="21"/>
      <c r="CB17" s="21"/>
      <c r="CM17" s="53" t="s">
        <v>272</v>
      </c>
      <c r="CN17" s="62">
        <v>646</v>
      </c>
      <c r="CO17" s="62">
        <v>706</v>
      </c>
      <c r="CP17" s="61">
        <f t="shared" si="19"/>
        <v>60</v>
      </c>
      <c r="CQ17" s="56">
        <f t="shared" si="21"/>
        <v>60</v>
      </c>
      <c r="CR17" s="56" t="str">
        <f t="shared" si="22"/>
        <v/>
      </c>
    </row>
    <row r="18" spans="1:96" s="2" customFormat="1" ht="15" thickBot="1" x14ac:dyDescent="0.35">
      <c r="A18" s="405"/>
      <c r="B18" s="19"/>
      <c r="D18" s="98"/>
      <c r="E18" s="99" t="s">
        <v>33</v>
      </c>
      <c r="F18" s="100">
        <v>0</v>
      </c>
      <c r="G18" s="100">
        <v>0</v>
      </c>
      <c r="H18" s="100">
        <v>1620</v>
      </c>
      <c r="J18" s="2" t="s">
        <v>262</v>
      </c>
      <c r="Q18" s="126" t="s">
        <v>224</v>
      </c>
      <c r="R18" s="123">
        <v>640</v>
      </c>
      <c r="S18" s="124">
        <v>1820</v>
      </c>
      <c r="V18" s="126" t="s">
        <v>224</v>
      </c>
      <c r="W18" s="17">
        <v>2730</v>
      </c>
      <c r="X18" s="123">
        <v>640</v>
      </c>
      <c r="Y18" s="127">
        <v>1820</v>
      </c>
      <c r="Z18" s="128">
        <f t="shared" si="13"/>
        <v>1550</v>
      </c>
      <c r="AC18" s="17"/>
      <c r="AD18" s="24" t="s">
        <v>277</v>
      </c>
      <c r="AE18" s="17">
        <v>2273</v>
      </c>
      <c r="AG18" s="11">
        <f>IF(SUM(AG6:AG17)&gt;SUM(AH6:AH17),SUM(AG6:AG17)-SUM(AH6:AH17),"")</f>
        <v>500</v>
      </c>
      <c r="AH18" s="11" t="str">
        <f>IF(SUM(AH6:AH17)&gt;SUM(AG6:AG17),SUM(AH6:AH17)-SUM(AG6:AG17),"")</f>
        <v/>
      </c>
      <c r="AJ18" s="11">
        <f>IF(SUM(AJ6:AJ17)&gt;SUM(AK6:AK17),SUM(AJ6:AJ17)-SUM(AK6:AK17),"")</f>
        <v>1980</v>
      </c>
      <c r="AK18" s="11" t="str">
        <f>IF(SUM(AK6:AK17)&gt;SUM(AJ6:AJ17),SUM(AK6:AK17)-SUM(AJ6:AJ17),"")</f>
        <v/>
      </c>
      <c r="AM18" s="11">
        <f>IF(SUM(AM6:AM17)&gt;SUM(AN6:AN17),SUM(AM6:AM17)-SUM(AN6:AN17),"")</f>
        <v>3310</v>
      </c>
      <c r="AN18" s="11" t="str">
        <f>IF(SUM(AN6:AN17)&gt;SUM(AM6:AM17),SUM(AN6:AN17)-SUM(AM6:AM17),"")</f>
        <v/>
      </c>
      <c r="AP18" s="141" t="s">
        <v>314</v>
      </c>
      <c r="AQ18" s="139">
        <v>20</v>
      </c>
      <c r="AR18" s="140">
        <v>20</v>
      </c>
      <c r="AS18" s="139">
        <v>20</v>
      </c>
      <c r="AT18" s="140">
        <v>20</v>
      </c>
      <c r="AU18" s="139">
        <v>20</v>
      </c>
      <c r="AV18" s="140">
        <v>20</v>
      </c>
      <c r="AW18" s="139">
        <v>20</v>
      </c>
      <c r="AX18" s="140">
        <v>20</v>
      </c>
      <c r="AY18" s="139">
        <v>20</v>
      </c>
      <c r="AZ18" s="140">
        <v>20</v>
      </c>
      <c r="BA18" s="139">
        <v>20</v>
      </c>
      <c r="BB18" s="140">
        <v>20</v>
      </c>
      <c r="BC18" s="139">
        <f t="shared" si="14"/>
        <v>240</v>
      </c>
      <c r="BF18" s="2" t="s">
        <v>50</v>
      </c>
      <c r="BG18" s="2" t="s">
        <v>338</v>
      </c>
      <c r="BH18" s="17">
        <v>172</v>
      </c>
      <c r="BT18" s="24"/>
      <c r="BW18" s="2" t="s">
        <v>375</v>
      </c>
      <c r="BX18" s="26">
        <v>50</v>
      </c>
      <c r="BY18" s="14">
        <v>14.47</v>
      </c>
      <c r="BZ18" s="14">
        <v>15.02</v>
      </c>
      <c r="CA18" s="14">
        <v>16.53</v>
      </c>
      <c r="CB18" s="14">
        <v>17.22</v>
      </c>
      <c r="CM18" s="53" t="s">
        <v>208</v>
      </c>
      <c r="CN18" s="62">
        <v>138</v>
      </c>
      <c r="CO18" s="62">
        <v>138</v>
      </c>
      <c r="CP18" s="61">
        <f t="shared" ref="CP18:CP19" si="23">+CO18-CN18</f>
        <v>0</v>
      </c>
      <c r="CQ18" s="56" t="str">
        <f t="shared" ref="CQ18:CQ19" si="24">IF(CO18&gt;CN18,CO18-CN18,"")</f>
        <v/>
      </c>
      <c r="CR18" s="56">
        <f t="shared" ref="CR18:CR19" si="25">IF(CO18&gt;CN18,"",-(CO18-CN18))</f>
        <v>0</v>
      </c>
    </row>
    <row r="19" spans="1:96" s="2" customFormat="1" ht="16.8" thickTop="1" thickBot="1" x14ac:dyDescent="0.35">
      <c r="A19" s="405"/>
      <c r="B19" s="19"/>
      <c r="D19" s="98"/>
      <c r="E19" s="99" t="s">
        <v>206</v>
      </c>
      <c r="F19" s="100">
        <v>690</v>
      </c>
      <c r="G19" s="100">
        <v>720</v>
      </c>
      <c r="H19" s="100">
        <v>780</v>
      </c>
      <c r="J19" s="27" t="s">
        <v>263</v>
      </c>
      <c r="Q19" s="126" t="s">
        <v>225</v>
      </c>
      <c r="R19" s="123">
        <v>600</v>
      </c>
      <c r="S19" s="124">
        <v>1310</v>
      </c>
      <c r="V19" s="126" t="s">
        <v>225</v>
      </c>
      <c r="W19" s="17">
        <v>1820</v>
      </c>
      <c r="X19" s="123">
        <v>600</v>
      </c>
      <c r="Y19" s="127">
        <v>1310</v>
      </c>
      <c r="Z19" s="128">
        <f t="shared" si="13"/>
        <v>1110</v>
      </c>
      <c r="AC19" s="15"/>
      <c r="AD19" s="24"/>
      <c r="AE19" s="25"/>
      <c r="AP19" s="141" t="s">
        <v>315</v>
      </c>
      <c r="AQ19" s="139"/>
      <c r="AR19" s="140"/>
      <c r="AS19" s="139"/>
      <c r="AT19" s="140"/>
      <c r="AU19" s="139"/>
      <c r="AV19" s="140">
        <v>125</v>
      </c>
      <c r="AW19" s="139"/>
      <c r="AX19" s="140"/>
      <c r="AY19" s="139"/>
      <c r="AZ19" s="140"/>
      <c r="BA19" s="139"/>
      <c r="BB19" s="140">
        <v>125</v>
      </c>
      <c r="BC19" s="139">
        <f t="shared" si="14"/>
        <v>250</v>
      </c>
      <c r="BF19" s="2" t="s">
        <v>50</v>
      </c>
      <c r="BG19" s="2" t="s">
        <v>339</v>
      </c>
      <c r="BH19" s="17">
        <v>646</v>
      </c>
      <c r="BR19" s="21"/>
      <c r="BS19" s="23">
        <f>+BS9+BS16</f>
        <v>15739</v>
      </c>
      <c r="BT19" s="21"/>
      <c r="BU19" s="23">
        <f>+BU11+BU17</f>
        <v>15739</v>
      </c>
      <c r="BW19" s="2" t="s">
        <v>376</v>
      </c>
      <c r="BX19" s="26">
        <v>10</v>
      </c>
      <c r="BY19" s="14">
        <v>4.09</v>
      </c>
      <c r="BZ19" s="14">
        <v>4.5599999999999996</v>
      </c>
      <c r="CA19" s="14">
        <v>5.45</v>
      </c>
      <c r="CB19" s="14">
        <v>5.6</v>
      </c>
      <c r="CM19" s="53" t="s">
        <v>357</v>
      </c>
      <c r="CN19" s="62">
        <v>250</v>
      </c>
      <c r="CO19" s="62">
        <v>250</v>
      </c>
      <c r="CP19" s="61">
        <f t="shared" si="23"/>
        <v>0</v>
      </c>
      <c r="CQ19" s="56" t="str">
        <f t="shared" si="24"/>
        <v/>
      </c>
      <c r="CR19" s="56">
        <f t="shared" si="25"/>
        <v>0</v>
      </c>
    </row>
    <row r="20" spans="1:96" s="2" customFormat="1" ht="16.2" thickBot="1" x14ac:dyDescent="0.35">
      <c r="A20" s="405"/>
      <c r="B20" s="19"/>
      <c r="D20" s="98"/>
      <c r="E20" s="99" t="s">
        <v>207</v>
      </c>
      <c r="F20" s="100">
        <v>472</v>
      </c>
      <c r="G20" s="100">
        <v>583</v>
      </c>
      <c r="H20" s="100">
        <v>646</v>
      </c>
      <c r="J20" s="27" t="s">
        <v>264</v>
      </c>
      <c r="Q20" s="126" t="s">
        <v>226</v>
      </c>
      <c r="R20" s="123">
        <v>630</v>
      </c>
      <c r="S20" s="124">
        <v>1320</v>
      </c>
      <c r="V20" s="126" t="s">
        <v>226</v>
      </c>
      <c r="W20" s="17">
        <v>1310</v>
      </c>
      <c r="X20" s="123">
        <v>630</v>
      </c>
      <c r="Y20" s="127">
        <v>1320</v>
      </c>
      <c r="Z20" s="128">
        <f t="shared" si="13"/>
        <v>620</v>
      </c>
      <c r="AC20" s="22">
        <f>SUM(AC14:AC19)</f>
        <v>9809</v>
      </c>
      <c r="AD20" s="24"/>
      <c r="AE20" s="22">
        <f>SUM(AE16:AE19)</f>
        <v>11523</v>
      </c>
      <c r="AG20" s="400" t="s">
        <v>283</v>
      </c>
      <c r="AH20" s="400"/>
      <c r="AJ20" s="400" t="s">
        <v>279</v>
      </c>
      <c r="AK20" s="400"/>
      <c r="AM20" s="400" t="s">
        <v>284</v>
      </c>
      <c r="AN20" s="400"/>
      <c r="AP20" s="141" t="s">
        <v>316</v>
      </c>
      <c r="AQ20" s="139"/>
      <c r="AR20" s="140"/>
      <c r="AS20" s="139"/>
      <c r="AT20" s="140"/>
      <c r="AU20" s="139"/>
      <c r="AV20" s="140">
        <v>86</v>
      </c>
      <c r="AW20" s="139"/>
      <c r="AX20" s="140"/>
      <c r="AY20" s="139"/>
      <c r="AZ20" s="140"/>
      <c r="BA20" s="139"/>
      <c r="BB20" s="140">
        <v>86</v>
      </c>
      <c r="BC20" s="139">
        <f t="shared" si="14"/>
        <v>172</v>
      </c>
      <c r="BF20" s="2" t="s">
        <v>50</v>
      </c>
      <c r="BG20" s="2" t="s">
        <v>340</v>
      </c>
      <c r="BH20" s="17">
        <v>1620</v>
      </c>
      <c r="BW20" s="2" t="s">
        <v>377</v>
      </c>
      <c r="BX20" s="26">
        <v>5</v>
      </c>
      <c r="BY20" s="14">
        <v>3.64</v>
      </c>
      <c r="BZ20" s="14">
        <v>4.4400000000000004</v>
      </c>
      <c r="CA20" s="14">
        <v>5.4</v>
      </c>
      <c r="CB20" s="14">
        <v>6.4</v>
      </c>
      <c r="CM20" s="53"/>
      <c r="CN20" s="56"/>
      <c r="CO20" s="56"/>
      <c r="CP20" s="56"/>
      <c r="CQ20" s="56"/>
      <c r="CR20" s="56"/>
    </row>
    <row r="21" spans="1:96" s="2" customFormat="1" x14ac:dyDescent="0.3">
      <c r="A21" s="405"/>
      <c r="B21" s="19"/>
      <c r="D21" s="98"/>
      <c r="E21" s="99" t="s">
        <v>208</v>
      </c>
      <c r="F21" s="100">
        <v>79</v>
      </c>
      <c r="G21" s="100">
        <v>121</v>
      </c>
      <c r="H21" s="100">
        <v>138</v>
      </c>
      <c r="J21" s="27" t="s">
        <v>265</v>
      </c>
      <c r="Q21" s="126" t="s">
        <v>227</v>
      </c>
      <c r="R21" s="123">
        <v>1200</v>
      </c>
      <c r="S21" s="124">
        <v>1980</v>
      </c>
      <c r="V21" s="126" t="s">
        <v>227</v>
      </c>
      <c r="W21" s="17">
        <v>1320</v>
      </c>
      <c r="X21" s="123">
        <v>1200</v>
      </c>
      <c r="Y21" s="127">
        <v>1980</v>
      </c>
      <c r="Z21" s="128">
        <f t="shared" si="13"/>
        <v>540</v>
      </c>
      <c r="AD21" s="24"/>
      <c r="AG21" s="6">
        <v>9439</v>
      </c>
      <c r="AH21" s="7">
        <v>500</v>
      </c>
      <c r="AJ21" s="6">
        <v>370</v>
      </c>
      <c r="AK21" s="7"/>
      <c r="AM21" s="6">
        <v>172</v>
      </c>
      <c r="AN21" s="7">
        <v>172</v>
      </c>
      <c r="AP21" s="141" t="s">
        <v>317</v>
      </c>
      <c r="AQ21" s="139"/>
      <c r="AR21" s="140"/>
      <c r="AS21" s="139">
        <v>250</v>
      </c>
      <c r="AT21" s="140"/>
      <c r="AU21" s="139"/>
      <c r="AV21" s="140"/>
      <c r="AW21" s="139"/>
      <c r="AX21" s="140"/>
      <c r="AY21" s="139">
        <v>250</v>
      </c>
      <c r="AZ21" s="140"/>
      <c r="BA21" s="139"/>
      <c r="BB21" s="140"/>
      <c r="BC21" s="139">
        <f t="shared" si="14"/>
        <v>500</v>
      </c>
      <c r="BF21" s="2" t="s">
        <v>50</v>
      </c>
      <c r="BG21" s="2" t="s">
        <v>341</v>
      </c>
      <c r="BH21" s="17">
        <v>250</v>
      </c>
      <c r="BW21" s="2" t="s">
        <v>378</v>
      </c>
      <c r="BX21" s="26">
        <v>8</v>
      </c>
      <c r="BY21" s="14">
        <v>6.1</v>
      </c>
      <c r="BZ21" s="14">
        <v>7.32</v>
      </c>
      <c r="CA21" s="14">
        <v>9.77</v>
      </c>
      <c r="CB21" s="14">
        <v>11.48</v>
      </c>
      <c r="CM21" s="52" t="s">
        <v>289</v>
      </c>
      <c r="CN21" s="57"/>
      <c r="CO21" s="57"/>
      <c r="CP21" s="57"/>
      <c r="CQ21" s="57"/>
      <c r="CR21" s="57"/>
    </row>
    <row r="22" spans="1:96" s="2" customFormat="1" ht="16.2" thickBot="1" x14ac:dyDescent="0.35">
      <c r="A22" s="405"/>
      <c r="B22" s="19"/>
      <c r="D22" s="101"/>
      <c r="E22" s="102" t="s">
        <v>209</v>
      </c>
      <c r="F22" s="103">
        <v>250</v>
      </c>
      <c r="G22" s="103">
        <v>250</v>
      </c>
      <c r="H22" s="103">
        <v>250</v>
      </c>
      <c r="Q22" s="51" t="s">
        <v>14</v>
      </c>
      <c r="R22" s="125">
        <f>SUM(R10:R21)</f>
        <v>18000</v>
      </c>
      <c r="S22" s="125">
        <f>SUM(S10:S21)</f>
        <v>40230</v>
      </c>
      <c r="V22" s="129" t="s">
        <v>14</v>
      </c>
      <c r="W22" s="132">
        <f>SUM(W10:W21)</f>
        <v>39930</v>
      </c>
      <c r="X22" s="130">
        <f>SUM(X10:X21)</f>
        <v>18000</v>
      </c>
      <c r="Y22" s="131">
        <f>SUM(Y10:Y21)</f>
        <v>40230</v>
      </c>
      <c r="Z22" s="133">
        <f>SUM(Z10:Z21)</f>
        <v>17700</v>
      </c>
      <c r="AB22" s="21" t="s">
        <v>280</v>
      </c>
      <c r="AC22" s="23">
        <f>+AC11+AC20</f>
        <v>14957</v>
      </c>
      <c r="AD22" s="21" t="s">
        <v>281</v>
      </c>
      <c r="AE22" s="23">
        <f>+AE11+AE20</f>
        <v>14957</v>
      </c>
      <c r="AG22" s="6">
        <v>400</v>
      </c>
      <c r="AH22" s="8"/>
      <c r="AJ22" s="6"/>
      <c r="AK22" s="8"/>
      <c r="AM22" s="6"/>
      <c r="AN22" s="8"/>
      <c r="AP22" s="145" t="s">
        <v>318</v>
      </c>
      <c r="AQ22" s="146">
        <v>1620</v>
      </c>
      <c r="AR22" s="147"/>
      <c r="AS22" s="146"/>
      <c r="AT22" s="147"/>
      <c r="AU22" s="146"/>
      <c r="AV22" s="147"/>
      <c r="AW22" s="146"/>
      <c r="AX22" s="147"/>
      <c r="AY22" s="146"/>
      <c r="AZ22" s="147"/>
      <c r="BA22" s="146"/>
      <c r="BB22" s="147"/>
      <c r="BC22" s="139">
        <f t="shared" si="14"/>
        <v>1620</v>
      </c>
      <c r="BF22" s="2" t="s">
        <v>50</v>
      </c>
      <c r="BG22" s="2" t="s">
        <v>342</v>
      </c>
      <c r="BH22" s="17">
        <v>500</v>
      </c>
      <c r="CM22" s="53" t="s">
        <v>211</v>
      </c>
      <c r="CN22" s="62">
        <v>3250</v>
      </c>
      <c r="CO22" s="62">
        <v>3000</v>
      </c>
      <c r="CP22" s="61">
        <f t="shared" ref="CP22:CP24" si="26">+CO22-CN22</f>
        <v>-250</v>
      </c>
      <c r="CQ22" s="56" t="str">
        <f t="shared" ref="CQ22:CQ24" si="27">IF(CO22&gt;CN22,CO22-CN22,"")</f>
        <v/>
      </c>
      <c r="CR22" s="56">
        <f t="shared" ref="CR22:CR24" si="28">IF(CO22&gt;CN22,"",-(CO22-CN22))</f>
        <v>250</v>
      </c>
    </row>
    <row r="23" spans="1:96" s="2" customFormat="1" ht="15.6" customHeight="1" thickTop="1" thickBot="1" x14ac:dyDescent="0.35">
      <c r="A23" s="405"/>
      <c r="B23" s="19"/>
      <c r="D23" s="414" t="s">
        <v>210</v>
      </c>
      <c r="E23" s="415"/>
      <c r="F23" s="107">
        <f>SUM(F18:F22)</f>
        <v>1491</v>
      </c>
      <c r="G23" s="107">
        <f t="shared" ref="G23:H23" si="29">SUM(G18:G22)</f>
        <v>1674</v>
      </c>
      <c r="H23" s="107">
        <f t="shared" si="29"/>
        <v>3434</v>
      </c>
      <c r="AG23" s="6">
        <v>240</v>
      </c>
      <c r="AH23" s="8"/>
      <c r="AJ23" s="6"/>
      <c r="AK23" s="8"/>
      <c r="AM23" s="6"/>
      <c r="AN23" s="8"/>
      <c r="AP23" s="148" t="s">
        <v>319</v>
      </c>
      <c r="AQ23" s="149">
        <f>SUM(AQ12:AQ22)</f>
        <v>2996</v>
      </c>
      <c r="AR23" s="150">
        <f t="shared" ref="AR23:BC23" si="30">SUM(AR12:AR22)</f>
        <v>1346</v>
      </c>
      <c r="AS23" s="149">
        <f t="shared" si="30"/>
        <v>2019</v>
      </c>
      <c r="AT23" s="150">
        <f t="shared" si="30"/>
        <v>1446</v>
      </c>
      <c r="AU23" s="149">
        <f t="shared" si="30"/>
        <v>1769</v>
      </c>
      <c r="AV23" s="150">
        <f t="shared" si="30"/>
        <v>1657</v>
      </c>
      <c r="AW23" s="149">
        <f t="shared" si="30"/>
        <v>1346</v>
      </c>
      <c r="AX23" s="150">
        <f t="shared" si="30"/>
        <v>1346</v>
      </c>
      <c r="AY23" s="149">
        <f t="shared" si="30"/>
        <v>1497</v>
      </c>
      <c r="AZ23" s="150">
        <f t="shared" si="30"/>
        <v>1346</v>
      </c>
      <c r="BA23" s="149">
        <f t="shared" si="30"/>
        <v>1346</v>
      </c>
      <c r="BB23" s="150">
        <f t="shared" si="30"/>
        <v>1708</v>
      </c>
      <c r="BC23" s="149">
        <f t="shared" si="30"/>
        <v>19822</v>
      </c>
      <c r="BF23" s="2" t="s">
        <v>50</v>
      </c>
      <c r="BG23" s="2" t="s">
        <v>343</v>
      </c>
      <c r="BH23" s="15">
        <v>1829</v>
      </c>
      <c r="CM23" s="53" t="s">
        <v>289</v>
      </c>
      <c r="CN23" s="62">
        <v>6000</v>
      </c>
      <c r="CO23" s="62">
        <v>6000</v>
      </c>
      <c r="CP23" s="61">
        <f t="shared" si="26"/>
        <v>0</v>
      </c>
      <c r="CQ23" s="56" t="str">
        <f t="shared" si="27"/>
        <v/>
      </c>
      <c r="CR23" s="56">
        <f t="shared" si="28"/>
        <v>0</v>
      </c>
    </row>
    <row r="24" spans="1:96" s="2" customFormat="1" ht="15" thickTop="1" x14ac:dyDescent="0.3">
      <c r="A24" s="405"/>
      <c r="B24" s="19"/>
      <c r="D24" s="108"/>
      <c r="E24" s="99" t="s">
        <v>211</v>
      </c>
      <c r="F24" s="100">
        <v>3750</v>
      </c>
      <c r="G24" s="100">
        <v>3500</v>
      </c>
      <c r="H24" s="100">
        <v>3250</v>
      </c>
      <c r="AG24" s="6"/>
      <c r="AH24" s="8"/>
      <c r="AJ24" s="6"/>
      <c r="AK24" s="8"/>
      <c r="AM24" s="6"/>
      <c r="AN24" s="8"/>
      <c r="AP24" s="138" t="s">
        <v>320</v>
      </c>
      <c r="AQ24" s="139">
        <f>+AQ10-AQ23</f>
        <v>-2686</v>
      </c>
      <c r="AR24" s="140">
        <f t="shared" ref="AR24:BC24" si="31">+AR10-AR23</f>
        <v>-276</v>
      </c>
      <c r="AS24" s="139">
        <f t="shared" si="31"/>
        <v>-989</v>
      </c>
      <c r="AT24" s="140">
        <f t="shared" si="31"/>
        <v>114</v>
      </c>
      <c r="AU24" s="139">
        <f t="shared" si="31"/>
        <v>621</v>
      </c>
      <c r="AV24" s="140">
        <f t="shared" si="31"/>
        <v>893</v>
      </c>
      <c r="AW24" s="139">
        <f t="shared" si="31"/>
        <v>1934</v>
      </c>
      <c r="AX24" s="140">
        <f t="shared" si="31"/>
        <v>344</v>
      </c>
      <c r="AY24" s="139">
        <f t="shared" si="31"/>
        <v>53</v>
      </c>
      <c r="AZ24" s="140">
        <f t="shared" si="31"/>
        <v>-236</v>
      </c>
      <c r="BA24" s="139">
        <f t="shared" si="31"/>
        <v>-726</v>
      </c>
      <c r="BB24" s="140">
        <f t="shared" si="31"/>
        <v>-1168</v>
      </c>
      <c r="BC24" s="139">
        <f t="shared" si="31"/>
        <v>-2122</v>
      </c>
      <c r="BF24" s="402" t="s">
        <v>345</v>
      </c>
      <c r="BG24" s="402"/>
      <c r="BH24" s="16">
        <f>SUM(BH12:BH23)</f>
        <v>21651</v>
      </c>
      <c r="CM24" s="53" t="s">
        <v>213</v>
      </c>
      <c r="CN24" s="62">
        <v>2273</v>
      </c>
      <c r="CO24" s="62">
        <v>2781</v>
      </c>
      <c r="CP24" s="61">
        <f t="shared" si="26"/>
        <v>508</v>
      </c>
      <c r="CQ24" s="56">
        <f t="shared" si="27"/>
        <v>508</v>
      </c>
      <c r="CR24" s="56" t="str">
        <f t="shared" si="28"/>
        <v/>
      </c>
    </row>
    <row r="25" spans="1:96" s="2" customFormat="1" x14ac:dyDescent="0.3">
      <c r="A25" s="405"/>
      <c r="B25" s="19"/>
      <c r="D25" s="108"/>
      <c r="E25" s="99" t="s">
        <v>212</v>
      </c>
      <c r="F25" s="100">
        <v>6000</v>
      </c>
      <c r="G25" s="100">
        <v>6000</v>
      </c>
      <c r="H25" s="100">
        <v>6000</v>
      </c>
      <c r="AG25" s="6"/>
      <c r="AH25" s="8"/>
      <c r="AJ25" s="6"/>
      <c r="AK25" s="8"/>
      <c r="AM25" s="6"/>
      <c r="AN25" s="8"/>
      <c r="AP25" s="141" t="s">
        <v>321</v>
      </c>
      <c r="AQ25" s="139">
        <v>508</v>
      </c>
      <c r="AR25" s="140"/>
      <c r="AS25" s="139"/>
      <c r="AT25" s="140"/>
      <c r="AU25" s="139"/>
      <c r="AV25" s="140"/>
      <c r="AW25" s="139"/>
      <c r="AX25" s="140"/>
      <c r="AY25" s="139"/>
      <c r="AZ25" s="140"/>
      <c r="BA25" s="139"/>
      <c r="BB25" s="140"/>
      <c r="BC25" s="139">
        <f>SUM(AQ25:BB25)</f>
        <v>508</v>
      </c>
      <c r="CM25" s="53"/>
      <c r="CN25" s="53"/>
      <c r="CO25" s="53"/>
      <c r="CP25" s="53"/>
      <c r="CQ25" s="53"/>
      <c r="CR25" s="53"/>
    </row>
    <row r="26" spans="1:96" s="2" customFormat="1" ht="16.2" thickBot="1" x14ac:dyDescent="0.35">
      <c r="A26" s="406"/>
      <c r="B26" s="19"/>
      <c r="D26" s="109"/>
      <c r="E26" s="102" t="s">
        <v>213</v>
      </c>
      <c r="F26" s="103">
        <v>1732</v>
      </c>
      <c r="G26" s="103">
        <v>1965</v>
      </c>
      <c r="H26" s="103">
        <v>2273</v>
      </c>
      <c r="AG26" s="9"/>
      <c r="AH26" s="10"/>
      <c r="AJ26" s="9"/>
      <c r="AK26" s="10"/>
      <c r="AM26" s="9"/>
      <c r="AN26" s="10"/>
      <c r="AP26" s="151" t="s">
        <v>322</v>
      </c>
      <c r="AQ26" s="146">
        <f>+AQ24+AQ25</f>
        <v>-2178</v>
      </c>
      <c r="AR26" s="147">
        <f>+AQ26+AR24</f>
        <v>-2454</v>
      </c>
      <c r="AS26" s="146">
        <f t="shared" ref="AS26:BB26" si="32">+AR26+AS24</f>
        <v>-3443</v>
      </c>
      <c r="AT26" s="147">
        <f t="shared" si="32"/>
        <v>-3329</v>
      </c>
      <c r="AU26" s="146">
        <f t="shared" si="32"/>
        <v>-2708</v>
      </c>
      <c r="AV26" s="147">
        <f t="shared" si="32"/>
        <v>-1815</v>
      </c>
      <c r="AW26" s="146">
        <f t="shared" si="32"/>
        <v>119</v>
      </c>
      <c r="AX26" s="147">
        <f t="shared" si="32"/>
        <v>463</v>
      </c>
      <c r="AY26" s="146">
        <f t="shared" si="32"/>
        <v>516</v>
      </c>
      <c r="AZ26" s="147">
        <f t="shared" si="32"/>
        <v>280</v>
      </c>
      <c r="BA26" s="146">
        <f t="shared" si="32"/>
        <v>-446</v>
      </c>
      <c r="BB26" s="147">
        <f t="shared" si="32"/>
        <v>-1614</v>
      </c>
      <c r="BC26" s="146">
        <f t="shared" ref="BC26" si="33">+BC24+BC25</f>
        <v>-1614</v>
      </c>
      <c r="BF26" s="408" t="s">
        <v>25</v>
      </c>
      <c r="BG26" s="408"/>
      <c r="BH26" s="18">
        <f>+BH9-BH24</f>
        <v>500</v>
      </c>
      <c r="CM26" s="54" t="s">
        <v>127</v>
      </c>
      <c r="CN26" s="58">
        <f>SUM(CN15:CN25)</f>
        <v>14957</v>
      </c>
      <c r="CO26" s="58">
        <f>SUM(CO15:CO25)</f>
        <v>15739</v>
      </c>
      <c r="CP26" s="58"/>
      <c r="CQ26" s="58">
        <f>SUM(CQ15:CQ25)</f>
        <v>1062</v>
      </c>
      <c r="CR26" s="58">
        <f>SUM(CR15:CR25)</f>
        <v>280</v>
      </c>
    </row>
    <row r="27" spans="1:96" s="2" customFormat="1" ht="15.6" customHeight="1" thickTop="1" thickBot="1" x14ac:dyDescent="0.35">
      <c r="A27" s="120"/>
      <c r="B27" s="19"/>
      <c r="D27" s="414" t="s">
        <v>214</v>
      </c>
      <c r="E27" s="415"/>
      <c r="F27" s="107">
        <f>+F23+F24+F25+F26</f>
        <v>12973</v>
      </c>
      <c r="G27" s="107">
        <f t="shared" ref="G27:H27" si="34">+G23+G24+G25+G26</f>
        <v>13139</v>
      </c>
      <c r="H27" s="107">
        <f t="shared" si="34"/>
        <v>14957</v>
      </c>
      <c r="AG27" s="11">
        <f>IF(SUM(AG21:AG26)&gt;SUM(AH21:AH26),SUM(AG21:AG26)-SUM(AH21:AH26),"")</f>
        <v>9579</v>
      </c>
      <c r="AH27" s="11" t="str">
        <f>IF(SUM(AH21:AH26)&gt;SUM(AG21:AG26),SUM(AH21:AH26)-SUM(AG21:AG26),"")</f>
        <v/>
      </c>
      <c r="AJ27" s="11">
        <f>IF(SUM(AJ21:AJ26)&gt;SUM(AK21:AK26),SUM(AJ21:AJ26)-SUM(AK21:AK26),"")</f>
        <v>370</v>
      </c>
      <c r="AK27" s="11" t="str">
        <f>IF(SUM(AK21:AK26)&gt;SUM(AJ21:AJ26),SUM(AK21:AK26)-SUM(AJ21:AJ26),"")</f>
        <v/>
      </c>
      <c r="AM27" s="11" t="str">
        <f>IF(SUM(AM21:AM26)&gt;SUM(AN21:AN26),SUM(AM21:AM26)-SUM(AN21:AN26),"")</f>
        <v/>
      </c>
      <c r="AN27" s="11" t="str">
        <f>IF(SUM(AN21:AN26)&gt;SUM(AM21:AM26),SUM(AN21:AN26)-SUM(AM21:AM26),"")</f>
        <v/>
      </c>
      <c r="AP27" s="138" t="s">
        <v>323</v>
      </c>
      <c r="AQ27" s="139">
        <v>3943</v>
      </c>
      <c r="AR27" s="140"/>
      <c r="AS27" s="139"/>
      <c r="AT27" s="140"/>
      <c r="AU27" s="139"/>
      <c r="AV27" s="140"/>
      <c r="AW27" s="139"/>
      <c r="AX27" s="140"/>
      <c r="AY27" s="139"/>
      <c r="AZ27" s="140"/>
      <c r="BA27" s="139"/>
      <c r="BB27" s="140"/>
      <c r="BC27" s="139">
        <f>SUM(AQ27:BB27)</f>
        <v>3943</v>
      </c>
    </row>
    <row r="28" spans="1:96" s="2" customFormat="1" ht="15" thickTop="1" x14ac:dyDescent="0.3">
      <c r="A28" s="120"/>
      <c r="B28" s="19"/>
      <c r="AP28" s="141" t="s">
        <v>324</v>
      </c>
      <c r="AQ28" s="139">
        <v>3943</v>
      </c>
      <c r="AR28" s="140">
        <v>3943</v>
      </c>
      <c r="AS28" s="139">
        <v>3943</v>
      </c>
      <c r="AT28" s="140">
        <v>3943</v>
      </c>
      <c r="AU28" s="139">
        <v>3943</v>
      </c>
      <c r="AV28" s="140">
        <v>3943</v>
      </c>
      <c r="AW28" s="139">
        <v>3943</v>
      </c>
      <c r="AX28" s="140">
        <v>3943</v>
      </c>
      <c r="AY28" s="139">
        <v>3943</v>
      </c>
      <c r="AZ28" s="140">
        <v>3943</v>
      </c>
      <c r="BA28" s="139">
        <v>3943</v>
      </c>
      <c r="BB28" s="140">
        <v>2114</v>
      </c>
      <c r="BC28" s="139">
        <v>2114</v>
      </c>
      <c r="BF28" s="2" t="s">
        <v>348</v>
      </c>
      <c r="CM28" s="21" t="s">
        <v>200</v>
      </c>
      <c r="CN28" s="21"/>
      <c r="CO28" s="21"/>
      <c r="CP28" s="21"/>
      <c r="CQ28" s="158">
        <f>+CQ11+CQ26</f>
        <v>1070</v>
      </c>
      <c r="CR28" s="158">
        <f>+CR11+CR26</f>
        <v>1070</v>
      </c>
    </row>
    <row r="29" spans="1:96" s="2" customFormat="1" ht="16.2" thickBot="1" x14ac:dyDescent="0.35">
      <c r="A29" s="120"/>
      <c r="B29" s="19"/>
      <c r="D29" s="27" t="s">
        <v>219</v>
      </c>
      <c r="AG29" s="400" t="s">
        <v>50</v>
      </c>
      <c r="AH29" s="400"/>
      <c r="AJ29" s="400" t="s">
        <v>50</v>
      </c>
      <c r="AK29" s="400"/>
      <c r="AM29" s="400" t="s">
        <v>50</v>
      </c>
      <c r="AN29" s="400"/>
      <c r="AP29" s="138" t="s">
        <v>325</v>
      </c>
      <c r="AQ29" s="139"/>
      <c r="AR29" s="140"/>
      <c r="AS29" s="139"/>
      <c r="AT29" s="140"/>
      <c r="AU29" s="139"/>
      <c r="AV29" s="140"/>
      <c r="AW29" s="139"/>
      <c r="AX29" s="140"/>
      <c r="AY29" s="139"/>
      <c r="AZ29" s="140"/>
      <c r="BA29" s="139"/>
      <c r="BB29" s="140">
        <v>-1829</v>
      </c>
      <c r="BC29" s="139">
        <f>SUM(AQ29:BB29)</f>
        <v>-1829</v>
      </c>
      <c r="BF29" s="2" t="s">
        <v>349</v>
      </c>
    </row>
    <row r="30" spans="1:96" s="2" customFormat="1" x14ac:dyDescent="0.3">
      <c r="A30" s="120"/>
      <c r="B30" s="19"/>
      <c r="D30" s="27" t="s">
        <v>220</v>
      </c>
      <c r="AG30" s="6"/>
      <c r="AH30" s="7"/>
      <c r="AJ30" s="6"/>
      <c r="AK30" s="7"/>
      <c r="AM30" s="6"/>
      <c r="AN30" s="7"/>
      <c r="AP30" s="141" t="s">
        <v>326</v>
      </c>
      <c r="AQ30" s="139">
        <f>+AQ26+AQ28</f>
        <v>1765</v>
      </c>
      <c r="AR30" s="140">
        <v>-276</v>
      </c>
      <c r="AS30" s="139">
        <v>-989</v>
      </c>
      <c r="AT30" s="140">
        <v>114</v>
      </c>
      <c r="AU30" s="139">
        <v>944</v>
      </c>
      <c r="AV30" s="140">
        <v>570</v>
      </c>
      <c r="AW30" s="139">
        <v>1934</v>
      </c>
      <c r="AX30" s="140">
        <v>344</v>
      </c>
      <c r="AY30" s="139">
        <v>53</v>
      </c>
      <c r="AZ30" s="140">
        <v>-236</v>
      </c>
      <c r="BA30" s="139">
        <v>-726</v>
      </c>
      <c r="BB30" s="140">
        <v>-2997</v>
      </c>
      <c r="BC30" s="139">
        <f>SUM(AQ30:BB30)</f>
        <v>500</v>
      </c>
    </row>
    <row r="31" spans="1:96" s="2" customFormat="1" x14ac:dyDescent="0.3">
      <c r="A31" s="120"/>
      <c r="B31" s="19"/>
      <c r="AG31" s="6"/>
      <c r="AH31" s="8"/>
      <c r="AJ31" s="6"/>
      <c r="AK31" s="8"/>
      <c r="AM31" s="6"/>
      <c r="AN31" s="8"/>
      <c r="AP31" s="152" t="s">
        <v>327</v>
      </c>
      <c r="AQ31" s="153">
        <f>+AQ30</f>
        <v>1765</v>
      </c>
      <c r="AR31" s="154">
        <f>+AQ31+AR30</f>
        <v>1489</v>
      </c>
      <c r="AS31" s="153">
        <f t="shared" ref="AS31:BB31" si="35">+AR31+AS30</f>
        <v>500</v>
      </c>
      <c r="AT31" s="154">
        <f t="shared" si="35"/>
        <v>614</v>
      </c>
      <c r="AU31" s="153">
        <f t="shared" si="35"/>
        <v>1558</v>
      </c>
      <c r="AV31" s="154">
        <f t="shared" si="35"/>
        <v>2128</v>
      </c>
      <c r="AW31" s="153">
        <f t="shared" si="35"/>
        <v>4062</v>
      </c>
      <c r="AX31" s="154">
        <f t="shared" si="35"/>
        <v>4406</v>
      </c>
      <c r="AY31" s="153">
        <f t="shared" si="35"/>
        <v>4459</v>
      </c>
      <c r="AZ31" s="154">
        <f t="shared" si="35"/>
        <v>4223</v>
      </c>
      <c r="BA31" s="153">
        <f t="shared" si="35"/>
        <v>3497</v>
      </c>
      <c r="BB31" s="154">
        <f t="shared" si="35"/>
        <v>500</v>
      </c>
      <c r="BC31" s="153">
        <v>500</v>
      </c>
    </row>
    <row r="32" spans="1:96" s="2" customFormat="1" x14ac:dyDescent="0.3">
      <c r="A32" s="120"/>
      <c r="B32" s="19"/>
      <c r="AG32" s="6"/>
      <c r="AH32" s="8"/>
      <c r="AJ32" s="6"/>
      <c r="AK32" s="8"/>
      <c r="AM32" s="6"/>
      <c r="AN32" s="8"/>
    </row>
    <row r="33" spans="1:40" s="2" customFormat="1" x14ac:dyDescent="0.3">
      <c r="A33" s="120"/>
      <c r="B33" s="19"/>
      <c r="AG33" s="6"/>
      <c r="AH33" s="8"/>
      <c r="AJ33" s="6"/>
      <c r="AK33" s="8"/>
      <c r="AM33" s="6"/>
      <c r="AN33" s="8"/>
    </row>
    <row r="34" spans="1:40" s="2" customFormat="1" x14ac:dyDescent="0.3">
      <c r="A34" s="120"/>
      <c r="B34" s="19"/>
      <c r="AG34" s="6"/>
      <c r="AH34" s="8"/>
      <c r="AJ34" s="6"/>
      <c r="AK34" s="8"/>
      <c r="AM34" s="6"/>
      <c r="AN34" s="8"/>
    </row>
    <row r="35" spans="1:40" s="2" customFormat="1" ht="15" thickBot="1" x14ac:dyDescent="0.35">
      <c r="A35" s="120"/>
      <c r="B35" s="19"/>
      <c r="AG35" s="9"/>
      <c r="AH35" s="10"/>
      <c r="AJ35" s="9"/>
      <c r="AK35" s="10"/>
      <c r="AM35" s="9"/>
      <c r="AN35" s="10"/>
    </row>
    <row r="36" spans="1:40" s="2" customFormat="1" ht="15" thickBot="1" x14ac:dyDescent="0.35">
      <c r="A36" s="120"/>
      <c r="B36" s="19"/>
      <c r="AG36" s="11" t="str">
        <f>IF(SUM(AG30:AG35)&gt;SUM(AH30:AH35),SUM(AG30:AG35)-SUM(AH30:AH35),"")</f>
        <v/>
      </c>
      <c r="AH36" s="11" t="str">
        <f>IF(SUM(AH30:AH35)&gt;SUM(AG30:AG35),SUM(AH30:AH35)-SUM(AG30:AG35),"")</f>
        <v/>
      </c>
      <c r="AJ36" s="11" t="str">
        <f>IF(SUM(AJ30:AJ35)&gt;SUM(AK30:AK35),SUM(AJ30:AJ35)-SUM(AK30:AK35),"")</f>
        <v/>
      </c>
      <c r="AK36" s="11" t="str">
        <f>IF(SUM(AK30:AK35)&gt;SUM(AJ30:AJ35),SUM(AK30:AK35)-SUM(AJ30:AJ35),"")</f>
        <v/>
      </c>
      <c r="AM36" s="11" t="str">
        <f>IF(SUM(AM30:AM35)&gt;SUM(AN30:AN35),SUM(AM30:AM35)-SUM(AN30:AN35),"")</f>
        <v/>
      </c>
      <c r="AN36" s="11" t="str">
        <f>IF(SUM(AN30:AN35)&gt;SUM(AM30:AM35),SUM(AN30:AN35)-SUM(AM30:AM35),"")</f>
        <v/>
      </c>
    </row>
    <row r="37" spans="1:40" s="2" customFormat="1" ht="15" thickTop="1" x14ac:dyDescent="0.3">
      <c r="A37" s="120"/>
      <c r="B37" s="19"/>
    </row>
    <row r="38" spans="1:40" s="2" customFormat="1" x14ac:dyDescent="0.3">
      <c r="A38" s="120"/>
      <c r="B38" s="19"/>
    </row>
    <row r="39" spans="1:40" s="2" customFormat="1" x14ac:dyDescent="0.3">
      <c r="A39" s="120"/>
      <c r="B39" s="19"/>
    </row>
    <row r="40" spans="1:40" s="2" customFormat="1" ht="16.2" x14ac:dyDescent="0.45">
      <c r="A40" s="120"/>
      <c r="B40" s="19"/>
      <c r="AG40" s="5" t="s">
        <v>285</v>
      </c>
    </row>
    <row r="41" spans="1:40" s="2" customFormat="1" x14ac:dyDescent="0.3">
      <c r="A41" s="120"/>
      <c r="B41" s="19"/>
    </row>
    <row r="42" spans="1:40" s="2" customFormat="1" ht="16.2" thickBot="1" x14ac:dyDescent="0.35">
      <c r="A42" s="120"/>
      <c r="B42" s="19"/>
      <c r="AG42" s="400" t="s">
        <v>33</v>
      </c>
      <c r="AH42" s="400"/>
      <c r="AJ42" s="400" t="s">
        <v>271</v>
      </c>
      <c r="AK42" s="400"/>
      <c r="AM42" s="401" t="s">
        <v>286</v>
      </c>
      <c r="AN42" s="401"/>
    </row>
    <row r="43" spans="1:40" s="2" customFormat="1" x14ac:dyDescent="0.3">
      <c r="A43" s="120"/>
      <c r="B43" s="19"/>
      <c r="AG43" s="6">
        <v>1620</v>
      </c>
      <c r="AH43" s="7">
        <v>1620</v>
      </c>
      <c r="AJ43" s="6">
        <v>8780</v>
      </c>
      <c r="AK43" s="7">
        <v>780</v>
      </c>
      <c r="AM43" s="6">
        <v>646</v>
      </c>
      <c r="AN43" s="7">
        <v>646</v>
      </c>
    </row>
    <row r="44" spans="1:40" s="2" customFormat="1" x14ac:dyDescent="0.3">
      <c r="A44" s="120"/>
      <c r="B44" s="19"/>
      <c r="AG44" s="6">
        <v>1829</v>
      </c>
      <c r="AH44" s="8">
        <v>3943</v>
      </c>
      <c r="AJ44" s="6"/>
      <c r="AK44" s="8">
        <v>8750</v>
      </c>
      <c r="AM44" s="6">
        <v>302</v>
      </c>
      <c r="AN44" s="8">
        <v>1008</v>
      </c>
    </row>
    <row r="45" spans="1:40" s="2" customFormat="1" x14ac:dyDescent="0.3">
      <c r="A45" s="120"/>
      <c r="B45" s="19"/>
      <c r="AG45" s="6"/>
      <c r="AH45" s="8"/>
      <c r="AJ45" s="6"/>
      <c r="AK45" s="8"/>
      <c r="AM45" s="6"/>
      <c r="AN45" s="8"/>
    </row>
    <row r="46" spans="1:40" s="2" customFormat="1" x14ac:dyDescent="0.3">
      <c r="A46" s="120"/>
      <c r="B46" s="19"/>
      <c r="AG46" s="6"/>
      <c r="AH46" s="8"/>
      <c r="AJ46" s="6"/>
      <c r="AK46" s="8"/>
      <c r="AM46" s="6"/>
      <c r="AN46" s="8"/>
    </row>
    <row r="47" spans="1:40" s="2" customFormat="1" x14ac:dyDescent="0.3">
      <c r="A47" s="120"/>
      <c r="B47" s="19"/>
      <c r="AG47" s="6"/>
      <c r="AH47" s="8"/>
      <c r="AJ47" s="6"/>
      <c r="AK47" s="8"/>
      <c r="AM47" s="6"/>
      <c r="AN47" s="8"/>
    </row>
    <row r="48" spans="1:40" s="2" customFormat="1" ht="15" thickBot="1" x14ac:dyDescent="0.35">
      <c r="A48" s="120"/>
      <c r="B48" s="19"/>
      <c r="AG48" s="9"/>
      <c r="AH48" s="10"/>
      <c r="AJ48" s="9"/>
      <c r="AK48" s="10"/>
      <c r="AM48" s="9"/>
      <c r="AN48" s="10"/>
    </row>
    <row r="49" spans="1:40" s="2" customFormat="1" ht="15" thickBot="1" x14ac:dyDescent="0.35">
      <c r="A49" s="120"/>
      <c r="B49" s="19"/>
      <c r="AG49" s="11" t="str">
        <f>IF(SUM(AG43:AG48)&gt;SUM(AH43:AH48),SUM(AG43:AG48)-SUM(AH43:AH48),"")</f>
        <v/>
      </c>
      <c r="AH49" s="11">
        <f>IF(SUM(AH43:AH48)&gt;SUM(AG43:AG48),SUM(AH43:AH48)-SUM(AG43:AG48),"")</f>
        <v>2114</v>
      </c>
      <c r="AJ49" s="11" t="str">
        <f>IF(SUM(AJ43:AJ48)&gt;SUM(AK43:AK48),SUM(AJ43:AJ48)-SUM(AK43:AK48),"")</f>
        <v/>
      </c>
      <c r="AK49" s="11">
        <f>IF(SUM(AK43:AK48)&gt;SUM(AJ43:AJ48),SUM(AK43:AK48)-SUM(AJ43:AJ48),"")</f>
        <v>750</v>
      </c>
      <c r="AM49" s="11" t="str">
        <f>IF(SUM(AM43:AM48)&gt;SUM(AN43:AN48),SUM(AM43:AM48)-SUM(AN43:AN48),"")</f>
        <v/>
      </c>
      <c r="AN49" s="11">
        <f>IF(SUM(AN43:AN48)&gt;SUM(AM43:AM48),SUM(AN43:AN48)-SUM(AM43:AM48),"")</f>
        <v>706</v>
      </c>
    </row>
    <row r="50" spans="1:40" s="2" customFormat="1" ht="15" thickTop="1" x14ac:dyDescent="0.3">
      <c r="A50" s="120"/>
      <c r="B50" s="19"/>
    </row>
    <row r="51" spans="1:40" s="2" customFormat="1" ht="16.2" thickBot="1" x14ac:dyDescent="0.35">
      <c r="A51" s="120"/>
      <c r="B51" s="19"/>
      <c r="AG51" s="400" t="s">
        <v>287</v>
      </c>
      <c r="AH51" s="400"/>
      <c r="AJ51" s="400" t="s">
        <v>211</v>
      </c>
      <c r="AK51" s="400"/>
      <c r="AM51" s="400" t="s">
        <v>208</v>
      </c>
      <c r="AN51" s="400"/>
    </row>
    <row r="52" spans="1:40" s="2" customFormat="1" x14ac:dyDescent="0.3">
      <c r="A52" s="120"/>
      <c r="B52" s="19"/>
      <c r="AG52" s="6"/>
      <c r="AH52" s="7">
        <v>250</v>
      </c>
      <c r="AJ52" s="6">
        <v>250</v>
      </c>
      <c r="AK52" s="7">
        <v>3250</v>
      </c>
      <c r="AM52" s="6"/>
      <c r="AN52" s="7">
        <v>138</v>
      </c>
    </row>
    <row r="53" spans="1:40" s="2" customFormat="1" x14ac:dyDescent="0.3">
      <c r="A53" s="120"/>
      <c r="B53" s="19"/>
      <c r="AG53" s="6"/>
      <c r="AH53" s="8"/>
      <c r="AJ53" s="6"/>
      <c r="AK53" s="8"/>
      <c r="AM53" s="6"/>
      <c r="AN53" s="8"/>
    </row>
    <row r="54" spans="1:40" s="2" customFormat="1" x14ac:dyDescent="0.3">
      <c r="A54" s="120"/>
      <c r="B54" s="19"/>
      <c r="AG54" s="6"/>
      <c r="AH54" s="8"/>
      <c r="AJ54" s="6"/>
      <c r="AK54" s="8"/>
      <c r="AM54" s="6"/>
      <c r="AN54" s="8"/>
    </row>
    <row r="55" spans="1:40" s="2" customFormat="1" x14ac:dyDescent="0.3">
      <c r="A55" s="120"/>
      <c r="B55" s="19"/>
      <c r="AG55" s="6"/>
      <c r="AH55" s="8"/>
      <c r="AJ55" s="6"/>
      <c r="AK55" s="8"/>
      <c r="AM55" s="6"/>
      <c r="AN55" s="8"/>
    </row>
    <row r="56" spans="1:40" s="2" customFormat="1" x14ac:dyDescent="0.3">
      <c r="A56" s="120"/>
      <c r="B56" s="19"/>
      <c r="AG56" s="6"/>
      <c r="AH56" s="8"/>
      <c r="AJ56" s="6"/>
      <c r="AK56" s="8"/>
      <c r="AM56" s="6"/>
      <c r="AN56" s="8"/>
    </row>
    <row r="57" spans="1:40" s="2" customFormat="1" ht="15" thickBot="1" x14ac:dyDescent="0.35">
      <c r="A57" s="120"/>
      <c r="B57" s="19"/>
      <c r="AG57" s="9"/>
      <c r="AH57" s="10"/>
      <c r="AJ57" s="9"/>
      <c r="AK57" s="10"/>
      <c r="AM57" s="9"/>
      <c r="AN57" s="10"/>
    </row>
    <row r="58" spans="1:40" s="2" customFormat="1" ht="15" thickBot="1" x14ac:dyDescent="0.35">
      <c r="A58" s="120"/>
      <c r="B58" s="19"/>
      <c r="AG58" s="11" t="str">
        <f>IF(SUM(AG52:AG57)&gt;SUM(AH52:AH57),SUM(AG52:AG57)-SUM(AH52:AH57),"")</f>
        <v/>
      </c>
      <c r="AH58" s="11">
        <f>IF(SUM(AH52:AH57)&gt;SUM(AG52:AG57),SUM(AH52:AH57)-SUM(AG52:AG57),"")</f>
        <v>250</v>
      </c>
      <c r="AJ58" s="11" t="str">
        <f>IF(SUM(AJ52:AJ57)&gt;SUM(AK52:AK57),SUM(AJ52:AJ57)-SUM(AK52:AK57),"")</f>
        <v/>
      </c>
      <c r="AK58" s="11">
        <f>IF(SUM(AK52:AK57)&gt;SUM(AJ52:AJ57),SUM(AK52:AK57)-SUM(AJ52:AJ57),"")</f>
        <v>3000</v>
      </c>
      <c r="AM58" s="11" t="str">
        <f>IF(SUM(AM52:AM57)&gt;SUM(AN52:AN57),SUM(AM52:AM57)-SUM(AN52:AN57),"")</f>
        <v/>
      </c>
      <c r="AN58" s="11">
        <f>IF(SUM(AN52:AN57)&gt;SUM(AM52:AM57),SUM(AN52:AN57)-SUM(AM52:AM57),"")</f>
        <v>138</v>
      </c>
    </row>
    <row r="59" spans="1:40" s="2" customFormat="1" ht="15" thickTop="1" x14ac:dyDescent="0.3">
      <c r="A59" s="120"/>
      <c r="B59" s="19"/>
    </row>
    <row r="60" spans="1:40" s="2" customFormat="1" x14ac:dyDescent="0.3">
      <c r="A60" s="120"/>
      <c r="B60" s="19"/>
    </row>
    <row r="61" spans="1:40" s="2" customFormat="1" x14ac:dyDescent="0.3">
      <c r="A61" s="120"/>
      <c r="B61" s="19"/>
    </row>
    <row r="62" spans="1:40" s="2" customFormat="1" ht="16.2" x14ac:dyDescent="0.45">
      <c r="A62" s="120"/>
      <c r="B62" s="19"/>
      <c r="AG62" s="5" t="s">
        <v>288</v>
      </c>
    </row>
    <row r="63" spans="1:40" s="2" customFormat="1" x14ac:dyDescent="0.3">
      <c r="A63" s="120"/>
      <c r="B63" s="19"/>
    </row>
    <row r="64" spans="1:40" s="2" customFormat="1" ht="16.2" thickBot="1" x14ac:dyDescent="0.35">
      <c r="A64" s="120"/>
      <c r="B64" s="19"/>
      <c r="AG64" s="400" t="s">
        <v>289</v>
      </c>
      <c r="AH64" s="400"/>
      <c r="AJ64" s="400" t="s">
        <v>277</v>
      </c>
      <c r="AK64" s="400"/>
      <c r="AM64" s="401" t="s">
        <v>50</v>
      </c>
      <c r="AN64" s="401"/>
    </row>
    <row r="65" spans="1:40" s="2" customFormat="1" x14ac:dyDescent="0.3">
      <c r="A65" s="120"/>
      <c r="B65" s="19"/>
      <c r="AG65" s="6"/>
      <c r="AH65" s="7">
        <v>6000</v>
      </c>
      <c r="AJ65" s="6"/>
      <c r="AK65" s="7">
        <v>2273</v>
      </c>
      <c r="AM65" s="6"/>
      <c r="AN65" s="7"/>
    </row>
    <row r="66" spans="1:40" s="2" customFormat="1" x14ac:dyDescent="0.3">
      <c r="A66" s="120"/>
      <c r="B66" s="19"/>
      <c r="AG66" s="6"/>
      <c r="AH66" s="8"/>
      <c r="AJ66" s="6"/>
      <c r="AK66" s="8">
        <v>508</v>
      </c>
      <c r="AM66" s="6"/>
      <c r="AN66" s="8"/>
    </row>
    <row r="67" spans="1:40" s="2" customFormat="1" x14ac:dyDescent="0.3">
      <c r="A67" s="120"/>
      <c r="B67" s="19"/>
      <c r="AG67" s="6"/>
      <c r="AH67" s="8"/>
      <c r="AJ67" s="6"/>
      <c r="AK67" s="8"/>
      <c r="AM67" s="6"/>
      <c r="AN67" s="8"/>
    </row>
    <row r="68" spans="1:40" s="2" customFormat="1" x14ac:dyDescent="0.3">
      <c r="A68" s="120"/>
      <c r="B68" s="19"/>
      <c r="AG68" s="6"/>
      <c r="AH68" s="8"/>
      <c r="AJ68" s="6"/>
      <c r="AK68" s="8"/>
      <c r="AM68" s="6"/>
      <c r="AN68" s="8"/>
    </row>
    <row r="69" spans="1:40" s="2" customFormat="1" x14ac:dyDescent="0.3">
      <c r="A69" s="120"/>
      <c r="B69" s="19"/>
      <c r="AG69" s="6"/>
      <c r="AH69" s="8"/>
      <c r="AJ69" s="6"/>
      <c r="AK69" s="8"/>
      <c r="AM69" s="6"/>
      <c r="AN69" s="8"/>
    </row>
    <row r="70" spans="1:40" s="2" customFormat="1" ht="15" thickBot="1" x14ac:dyDescent="0.35">
      <c r="A70" s="120"/>
      <c r="B70" s="19"/>
      <c r="AG70" s="9"/>
      <c r="AH70" s="10"/>
      <c r="AJ70" s="9"/>
      <c r="AK70" s="10"/>
      <c r="AM70" s="9"/>
      <c r="AN70" s="10"/>
    </row>
    <row r="71" spans="1:40" s="2" customFormat="1" ht="15" thickBot="1" x14ac:dyDescent="0.35">
      <c r="A71" s="120"/>
      <c r="B71" s="19"/>
      <c r="AG71" s="11" t="str">
        <f>IF(SUM(AG65:AG70)&gt;SUM(AH65:AH70),SUM(AG65:AG70)-SUM(AH65:AH70),"")</f>
        <v/>
      </c>
      <c r="AH71" s="11">
        <f>IF(SUM(AH65:AH70)&gt;SUM(AG65:AG70),SUM(AH65:AH70)-SUM(AG65:AG70),"")</f>
        <v>6000</v>
      </c>
      <c r="AJ71" s="11" t="str">
        <f>IF(SUM(AJ65:AJ70)&gt;SUM(AK65:AK70),SUM(AJ65:AJ70)-SUM(AK65:AK70),"")</f>
        <v/>
      </c>
      <c r="AK71" s="11">
        <f>IF(SUM(AK65:AK70)&gt;SUM(AJ65:AJ70),SUM(AK65:AK70)-SUM(AJ65:AJ70),"")</f>
        <v>2781</v>
      </c>
      <c r="AM71" s="11" t="str">
        <f>IF(SUM(AM65:AM70)&gt;SUM(AN65:AN70),SUM(AM65:AM70)-SUM(AN65:AN70),"")</f>
        <v/>
      </c>
      <c r="AN71" s="11" t="str">
        <f>IF(SUM(AN65:AN70)&gt;SUM(AM65:AM70),SUM(AN65:AN70)-SUM(AM65:AM70),"")</f>
        <v/>
      </c>
    </row>
    <row r="72" spans="1:40" s="2" customFormat="1" ht="15" thickTop="1" x14ac:dyDescent="0.3">
      <c r="A72" s="120"/>
      <c r="B72" s="19"/>
    </row>
    <row r="73" spans="1:40" s="2" customFormat="1" ht="16.2" thickBot="1" x14ac:dyDescent="0.35">
      <c r="A73" s="120"/>
      <c r="B73" s="19"/>
      <c r="AG73" s="400" t="s">
        <v>50</v>
      </c>
      <c r="AH73" s="400"/>
      <c r="AJ73" s="400" t="s">
        <v>50</v>
      </c>
      <c r="AK73" s="400"/>
      <c r="AM73" s="400" t="s">
        <v>50</v>
      </c>
      <c r="AN73" s="400"/>
    </row>
    <row r="74" spans="1:40" s="2" customFormat="1" x14ac:dyDescent="0.3">
      <c r="A74" s="120"/>
      <c r="B74" s="19"/>
      <c r="AG74" s="6"/>
      <c r="AH74" s="7"/>
      <c r="AJ74" s="6"/>
      <c r="AK74" s="7"/>
      <c r="AM74" s="6"/>
      <c r="AN74" s="7"/>
    </row>
    <row r="75" spans="1:40" s="2" customFormat="1" x14ac:dyDescent="0.3">
      <c r="A75" s="120"/>
      <c r="B75" s="19"/>
      <c r="AG75" s="6"/>
      <c r="AH75" s="8"/>
      <c r="AJ75" s="6"/>
      <c r="AK75" s="8"/>
      <c r="AM75" s="6"/>
      <c r="AN75" s="8"/>
    </row>
    <row r="76" spans="1:40" s="2" customFormat="1" x14ac:dyDescent="0.3">
      <c r="A76" s="120"/>
      <c r="B76" s="19"/>
      <c r="AG76" s="6"/>
      <c r="AH76" s="8"/>
      <c r="AJ76" s="6"/>
      <c r="AK76" s="8"/>
      <c r="AM76" s="6"/>
      <c r="AN76" s="8"/>
    </row>
    <row r="77" spans="1:40" s="2" customFormat="1" x14ac:dyDescent="0.3">
      <c r="A77" s="120"/>
      <c r="B77" s="19"/>
      <c r="AG77" s="6"/>
      <c r="AH77" s="8"/>
      <c r="AJ77" s="6"/>
      <c r="AK77" s="8"/>
      <c r="AM77" s="6"/>
      <c r="AN77" s="8"/>
    </row>
    <row r="78" spans="1:40" s="2" customFormat="1" x14ac:dyDescent="0.3">
      <c r="A78" s="120"/>
      <c r="B78" s="19"/>
      <c r="AG78" s="6"/>
      <c r="AH78" s="8"/>
      <c r="AJ78" s="6"/>
      <c r="AK78" s="8"/>
      <c r="AM78" s="6"/>
      <c r="AN78" s="8"/>
    </row>
    <row r="79" spans="1:40" s="2" customFormat="1" ht="15" thickBot="1" x14ac:dyDescent="0.35">
      <c r="A79" s="120"/>
      <c r="B79" s="19"/>
      <c r="AG79" s="9"/>
      <c r="AH79" s="10"/>
      <c r="AJ79" s="9"/>
      <c r="AK79" s="10"/>
      <c r="AM79" s="9"/>
      <c r="AN79" s="10"/>
    </row>
    <row r="80" spans="1:40" s="2" customFormat="1" ht="15" thickBot="1" x14ac:dyDescent="0.35">
      <c r="A80" s="120"/>
      <c r="B80" s="19"/>
      <c r="AG80" s="11" t="str">
        <f>IF(SUM(AG74:AG79)&gt;SUM(AH74:AH79),SUM(AG74:AG79)-SUM(AH74:AH79),"")</f>
        <v/>
      </c>
      <c r="AH80" s="11" t="str">
        <f>IF(SUM(AH74:AH79)&gt;SUM(AG74:AG79),SUM(AH74:AH79)-SUM(AG74:AG79),"")</f>
        <v/>
      </c>
      <c r="AJ80" s="11" t="str">
        <f>IF(SUM(AJ74:AJ79)&gt;SUM(AK74:AK79),SUM(AJ74:AJ79)-SUM(AK74:AK79),"")</f>
        <v/>
      </c>
      <c r="AK80" s="11" t="str">
        <f>IF(SUM(AK74:AK79)&gt;SUM(AJ74:AJ79),SUM(AK74:AK79)-SUM(AJ74:AJ79),"")</f>
        <v/>
      </c>
      <c r="AM80" s="11" t="str">
        <f>IF(SUM(AM74:AM79)&gt;SUM(AN74:AN79),SUM(AM74:AM79)-SUM(AN74:AN79),"")</f>
        <v/>
      </c>
      <c r="AN80" s="11" t="str">
        <f>IF(SUM(AN74:AN79)&gt;SUM(AM74:AM79),SUM(AN74:AN79)-SUM(AM74:AM79),"")</f>
        <v/>
      </c>
    </row>
    <row r="81" spans="1:96" s="2" customFormat="1" ht="15" thickTop="1" x14ac:dyDescent="0.3">
      <c r="A81" s="120"/>
      <c r="B81" s="19"/>
    </row>
    <row r="82" spans="1:96" s="2" customFormat="1" x14ac:dyDescent="0.3">
      <c r="A82" s="120"/>
      <c r="B82" s="19"/>
    </row>
    <row r="83" spans="1:96" s="2" customFormat="1" x14ac:dyDescent="0.3">
      <c r="A83" s="120"/>
      <c r="B83" s="19"/>
    </row>
    <row r="84" spans="1:96" s="2" customFormat="1" x14ac:dyDescent="0.3">
      <c r="A84" s="120"/>
      <c r="B84" s="19"/>
    </row>
    <row r="85" spans="1:96" s="2" customFormat="1" x14ac:dyDescent="0.3">
      <c r="A85" s="120"/>
      <c r="B85" s="19"/>
    </row>
    <row r="86" spans="1:96" s="2" customFormat="1" x14ac:dyDescent="0.3">
      <c r="A86" s="120"/>
      <c r="B86" s="19"/>
    </row>
    <row r="87" spans="1:96" s="2" customFormat="1" x14ac:dyDescent="0.3">
      <c r="A87" s="120"/>
      <c r="B87" s="19"/>
    </row>
    <row r="88" spans="1:96" s="2" customFormat="1" x14ac:dyDescent="0.3">
      <c r="A88" s="120"/>
      <c r="B88" s="19"/>
    </row>
    <row r="89" spans="1:96" s="2" customFormat="1" x14ac:dyDescent="0.3">
      <c r="A89" s="120"/>
      <c r="B89" s="19"/>
    </row>
    <row r="90" spans="1:96" s="2" customFormat="1" x14ac:dyDescent="0.3">
      <c r="A90" s="120"/>
      <c r="B90" s="19"/>
    </row>
    <row r="91" spans="1:96" s="2" customFormat="1" x14ac:dyDescent="0.3">
      <c r="A91" s="120"/>
      <c r="B91" s="19"/>
    </row>
    <row r="92" spans="1:96" s="2" customFormat="1" x14ac:dyDescent="0.3">
      <c r="A92" s="120"/>
      <c r="B92" s="19"/>
      <c r="CM92"/>
      <c r="CN92"/>
      <c r="CO92"/>
      <c r="CP92"/>
      <c r="CQ92"/>
      <c r="CR92"/>
    </row>
    <row r="93" spans="1:96" s="2" customFormat="1" x14ac:dyDescent="0.3">
      <c r="A93" s="120"/>
      <c r="B93" s="19"/>
      <c r="CM93"/>
      <c r="CN93"/>
      <c r="CO93"/>
      <c r="CP93"/>
      <c r="CQ93"/>
      <c r="CR93"/>
    </row>
    <row r="94" spans="1:96" s="2" customFormat="1" x14ac:dyDescent="0.3">
      <c r="A94" s="120"/>
      <c r="B94" s="19"/>
      <c r="CM94"/>
      <c r="CN94"/>
      <c r="CO94"/>
      <c r="CP94"/>
      <c r="CQ94"/>
      <c r="CR94"/>
    </row>
    <row r="95" spans="1:96" s="2" customFormat="1" x14ac:dyDescent="0.3">
      <c r="A95" s="120"/>
      <c r="B95" s="19"/>
      <c r="CM95"/>
      <c r="CN95"/>
      <c r="CO95"/>
      <c r="CP95"/>
      <c r="CQ95"/>
      <c r="CR95"/>
    </row>
    <row r="96" spans="1:96" s="2" customFormat="1" x14ac:dyDescent="0.3">
      <c r="A96" s="120"/>
      <c r="B96" s="19"/>
      <c r="CM96"/>
      <c r="CN96"/>
      <c r="CO96"/>
      <c r="CP96"/>
      <c r="CQ96"/>
      <c r="CR96"/>
    </row>
    <row r="97" spans="1:96" s="2" customFormat="1" x14ac:dyDescent="0.3">
      <c r="A97" s="120"/>
      <c r="B97" s="19"/>
      <c r="CM97"/>
      <c r="CN97"/>
      <c r="CO97"/>
      <c r="CP97"/>
      <c r="CQ97"/>
      <c r="CR97"/>
    </row>
    <row r="98" spans="1:96" s="2" customFormat="1" x14ac:dyDescent="0.3">
      <c r="A98" s="120"/>
      <c r="B98" s="19"/>
      <c r="CM98"/>
      <c r="CN98"/>
      <c r="CO98"/>
      <c r="CP98"/>
      <c r="CQ98"/>
      <c r="CR98"/>
    </row>
    <row r="99" spans="1:96" s="2" customFormat="1" x14ac:dyDescent="0.3">
      <c r="A99" s="120"/>
      <c r="B99" s="19"/>
      <c r="CM99"/>
      <c r="CN99"/>
      <c r="CO99"/>
      <c r="CP99"/>
      <c r="CQ99"/>
      <c r="CR99"/>
    </row>
    <row r="100" spans="1:96" s="2" customFormat="1" x14ac:dyDescent="0.3">
      <c r="A100" s="120"/>
      <c r="B100" s="19"/>
      <c r="BL100"/>
      <c r="BM100"/>
      <c r="BN100"/>
      <c r="BO100"/>
      <c r="BP100"/>
      <c r="BQ100"/>
      <c r="CM100"/>
      <c r="CN100"/>
      <c r="CO100"/>
      <c r="CP100"/>
      <c r="CQ100"/>
      <c r="CR100"/>
    </row>
    <row r="101" spans="1:96" x14ac:dyDescent="0.3">
      <c r="AG101" s="2"/>
      <c r="AH101" s="2"/>
      <c r="AI101" s="2"/>
      <c r="AJ101" s="2"/>
      <c r="AK101" s="2"/>
      <c r="AL101" s="2"/>
      <c r="AM101" s="2"/>
      <c r="AN101" s="2"/>
      <c r="BF101" s="2"/>
      <c r="BG101" s="2"/>
      <c r="BH101" s="2"/>
    </row>
    <row r="102" spans="1:96" x14ac:dyDescent="0.3">
      <c r="AG102" s="2"/>
      <c r="AH102" s="2"/>
      <c r="AI102" s="2"/>
      <c r="AJ102" s="2"/>
      <c r="AK102" s="2"/>
      <c r="AL102" s="2"/>
      <c r="AM102" s="2"/>
      <c r="AN102" s="2"/>
      <c r="BF102" s="2"/>
      <c r="BG102" s="2"/>
      <c r="BH102" s="2"/>
    </row>
    <row r="103" spans="1:96" x14ac:dyDescent="0.3">
      <c r="AG103" s="2"/>
      <c r="AH103" s="2"/>
      <c r="AI103" s="2"/>
      <c r="AJ103" s="2"/>
      <c r="AK103" s="2"/>
      <c r="AL103" s="2"/>
      <c r="AM103" s="2"/>
      <c r="AN103" s="2"/>
      <c r="BF103" s="2"/>
      <c r="BG103" s="2"/>
      <c r="BH103" s="2"/>
    </row>
    <row r="104" spans="1:96" x14ac:dyDescent="0.3">
      <c r="AG104" s="2"/>
      <c r="AH104" s="2"/>
      <c r="AI104" s="2"/>
      <c r="AJ104" s="2"/>
      <c r="AK104" s="2"/>
      <c r="AL104" s="2"/>
      <c r="AM104" s="2"/>
      <c r="AN104" s="2"/>
      <c r="BF104" s="2"/>
      <c r="BG104" s="2"/>
      <c r="BH104" s="2"/>
    </row>
    <row r="105" spans="1:96" x14ac:dyDescent="0.3">
      <c r="AG105" s="2"/>
      <c r="AH105" s="2"/>
      <c r="AI105" s="2"/>
      <c r="AJ105" s="2"/>
      <c r="AK105" s="2"/>
      <c r="AL105" s="2"/>
      <c r="AM105" s="2"/>
      <c r="AN105" s="2"/>
      <c r="BF105" s="2"/>
      <c r="BG105" s="2"/>
      <c r="BH105" s="2"/>
    </row>
    <row r="106" spans="1:96" x14ac:dyDescent="0.3">
      <c r="AG106" s="2"/>
      <c r="AH106" s="2"/>
      <c r="AI106" s="2"/>
      <c r="AJ106" s="2"/>
      <c r="AK106" s="2"/>
      <c r="AL106" s="2"/>
      <c r="AM106" s="2"/>
      <c r="AN106" s="2"/>
      <c r="BF106" s="2"/>
      <c r="BG106" s="2"/>
      <c r="BH106" s="2"/>
    </row>
    <row r="107" spans="1:96" x14ac:dyDescent="0.3">
      <c r="BF107" s="2"/>
      <c r="BG107" s="2"/>
      <c r="BH107" s="2"/>
    </row>
  </sheetData>
  <mergeCells count="80">
    <mergeCell ref="P1:T1"/>
    <mergeCell ref="P2:T2"/>
    <mergeCell ref="P5:T5"/>
    <mergeCell ref="AD15:AE15"/>
    <mergeCell ref="Y8:Y9"/>
    <mergeCell ref="W8:W9"/>
    <mergeCell ref="Z8:Z9"/>
    <mergeCell ref="AB1:AE1"/>
    <mergeCell ref="AB2:AE2"/>
    <mergeCell ref="AB5:AC5"/>
    <mergeCell ref="AD5:AE5"/>
    <mergeCell ref="V1:Z1"/>
    <mergeCell ref="V2:Z2"/>
    <mergeCell ref="V3:Z4"/>
    <mergeCell ref="V5:Z5"/>
    <mergeCell ref="V8:V9"/>
    <mergeCell ref="A10:A26"/>
    <mergeCell ref="D11:E11"/>
    <mergeCell ref="D14:E14"/>
    <mergeCell ref="D16:E16"/>
    <mergeCell ref="D17:E17"/>
    <mergeCell ref="D23:E23"/>
    <mergeCell ref="AG29:AH29"/>
    <mergeCell ref="AJ29:AK29"/>
    <mergeCell ref="AM29:AN29"/>
    <mergeCell ref="J3:N3"/>
    <mergeCell ref="J4:N4"/>
    <mergeCell ref="J7:K7"/>
    <mergeCell ref="S8:S9"/>
    <mergeCell ref="R8:R9"/>
    <mergeCell ref="Q8:Q9"/>
    <mergeCell ref="P3:T4"/>
    <mergeCell ref="X8:X9"/>
    <mergeCell ref="D27:E27"/>
    <mergeCell ref="D6:E6"/>
    <mergeCell ref="D7:E7"/>
    <mergeCell ref="AG1:AN1"/>
    <mergeCell ref="AG5:AH5"/>
    <mergeCell ref="AJ5:AK5"/>
    <mergeCell ref="AM5:AN5"/>
    <mergeCell ref="AG20:AH20"/>
    <mergeCell ref="AJ20:AK20"/>
    <mergeCell ref="AM20:AN20"/>
    <mergeCell ref="J1:N1"/>
    <mergeCell ref="J2:N2"/>
    <mergeCell ref="D1:H1"/>
    <mergeCell ref="D2:H2"/>
    <mergeCell ref="D3:H3"/>
    <mergeCell ref="D4:H4"/>
    <mergeCell ref="AG42:AH42"/>
    <mergeCell ref="AJ42:AK42"/>
    <mergeCell ref="AM42:AN42"/>
    <mergeCell ref="AG51:AH51"/>
    <mergeCell ref="AJ51:AK51"/>
    <mergeCell ref="AM51:AN51"/>
    <mergeCell ref="AG64:AH64"/>
    <mergeCell ref="AJ64:AK64"/>
    <mergeCell ref="AM64:AN64"/>
    <mergeCell ref="AG73:AH73"/>
    <mergeCell ref="AJ73:AK73"/>
    <mergeCell ref="AM73:AN73"/>
    <mergeCell ref="BF24:BG24"/>
    <mergeCell ref="BF26:BG26"/>
    <mergeCell ref="AP1:BC1"/>
    <mergeCell ref="AP2:BC2"/>
    <mergeCell ref="BE1:BI1"/>
    <mergeCell ref="BE2:BI2"/>
    <mergeCell ref="BT13:BU13"/>
    <mergeCell ref="BK2:BO2"/>
    <mergeCell ref="BK4:BL4"/>
    <mergeCell ref="BK1:BP1"/>
    <mergeCell ref="BF5:BH5"/>
    <mergeCell ref="BF9:BG9"/>
    <mergeCell ref="BF11:BH11"/>
    <mergeCell ref="BW1:CB1"/>
    <mergeCell ref="CM1:CR1"/>
    <mergeCell ref="BR1:BU1"/>
    <mergeCell ref="BR2:BU2"/>
    <mergeCell ref="BR5:BS5"/>
    <mergeCell ref="BT5:BU5"/>
  </mergeCells>
  <conditionalFormatting sqref="L10 AE6:AE9 AC14:AC21 AC6:AC11 BH12:BH25 BU6:BU8 BU10 BS6:BS9 BS18 BS11:BS16 BU14 BU16">
    <cfRule type="cellIs" dxfId="29" priority="54" operator="lessThan">
      <formula>0</formula>
    </cfRule>
  </conditionalFormatting>
  <conditionalFormatting sqref="L16">
    <cfRule type="cellIs" dxfId="28" priority="53" operator="lessThan">
      <formula>0</formula>
    </cfRule>
  </conditionalFormatting>
  <conditionalFormatting sqref="M16:N16">
    <cfRule type="cellIs" dxfId="27" priority="48" operator="lessThan">
      <formula>0</formula>
    </cfRule>
  </conditionalFormatting>
  <conditionalFormatting sqref="L12">
    <cfRule type="cellIs" dxfId="26" priority="51" operator="lessThan">
      <formula>0</formula>
    </cfRule>
  </conditionalFormatting>
  <conditionalFormatting sqref="L14">
    <cfRule type="cellIs" dxfId="25" priority="50" operator="lessThan">
      <formula>0</formula>
    </cfRule>
  </conditionalFormatting>
  <conditionalFormatting sqref="M10:N10">
    <cfRule type="cellIs" dxfId="24" priority="49" operator="lessThan">
      <formula>0</formula>
    </cfRule>
  </conditionalFormatting>
  <conditionalFormatting sqref="M12:N12">
    <cfRule type="cellIs" dxfId="23" priority="47" operator="lessThan">
      <formula>0</formula>
    </cfRule>
  </conditionalFormatting>
  <conditionalFormatting sqref="M14:N14">
    <cfRule type="cellIs" dxfId="22" priority="46" operator="lessThan">
      <formula>0</formula>
    </cfRule>
  </conditionalFormatting>
  <conditionalFormatting sqref="AE16:AE17 AE19">
    <cfRule type="cellIs" dxfId="21" priority="45" operator="lessThan">
      <formula>0</formula>
    </cfRule>
  </conditionalFormatting>
  <conditionalFormatting sqref="AE11">
    <cfRule type="cellIs" dxfId="20" priority="44" operator="lessThan">
      <formula>0</formula>
    </cfRule>
  </conditionalFormatting>
  <conditionalFormatting sqref="AE10">
    <cfRule type="cellIs" dxfId="19" priority="43" operator="lessThan">
      <formula>0</formula>
    </cfRule>
  </conditionalFormatting>
  <conditionalFormatting sqref="BH6:BH10">
    <cfRule type="cellIs" dxfId="18" priority="42" operator="lessThan">
      <formula>0</formula>
    </cfRule>
  </conditionalFormatting>
  <conditionalFormatting sqref="BM7">
    <cfRule type="cellIs" dxfId="17" priority="40" operator="lessThan">
      <formula>0</formula>
    </cfRule>
  </conditionalFormatting>
  <conditionalFormatting sqref="BM12">
    <cfRule type="cellIs" dxfId="16" priority="39" operator="lessThan">
      <formula>0</formula>
    </cfRule>
  </conditionalFormatting>
  <conditionalFormatting sqref="BM10">
    <cfRule type="cellIs" dxfId="15" priority="34" operator="lessThan">
      <formula>0</formula>
    </cfRule>
  </conditionalFormatting>
  <conditionalFormatting sqref="BM14">
    <cfRule type="cellIs" dxfId="14" priority="33" operator="lessThan">
      <formula>0</formula>
    </cfRule>
  </conditionalFormatting>
  <conditionalFormatting sqref="BN7:BP7">
    <cfRule type="cellIs" dxfId="13" priority="31" operator="lessThan">
      <formula>0</formula>
    </cfRule>
  </conditionalFormatting>
  <conditionalFormatting sqref="BN10:BP10">
    <cfRule type="cellIs" dxfId="12" priority="30" operator="lessThan">
      <formula>0</formula>
    </cfRule>
  </conditionalFormatting>
  <conditionalFormatting sqref="BN12:BP12">
    <cfRule type="cellIs" dxfId="11" priority="29" operator="lessThan">
      <formula>0</formula>
    </cfRule>
  </conditionalFormatting>
  <conditionalFormatting sqref="BN14:BP14">
    <cfRule type="cellIs" dxfId="10" priority="28" operator="lessThan">
      <formula>0</formula>
    </cfRule>
  </conditionalFormatting>
  <conditionalFormatting sqref="BY6:CB6">
    <cfRule type="iconSet" priority="23">
      <iconSet>
        <cfvo type="percent" val="0"/>
        <cfvo type="num" val="2"/>
        <cfvo type="num" val="2.1" gte="0"/>
      </iconSet>
    </cfRule>
  </conditionalFormatting>
  <conditionalFormatting sqref="BY7:CB7">
    <cfRule type="iconSet" priority="22">
      <iconSet>
        <cfvo type="percent" val="0"/>
        <cfvo type="num" val="1"/>
        <cfvo type="num" val="1.1000000000000001" gte="0"/>
      </iconSet>
    </cfRule>
  </conditionalFormatting>
  <conditionalFormatting sqref="BY8:CB8">
    <cfRule type="iconSet" priority="21">
      <iconSet reverse="1">
        <cfvo type="percent" val="0"/>
        <cfvo type="num" val="75"/>
        <cfvo type="num" val="75.099999999999994" gte="0"/>
      </iconSet>
    </cfRule>
  </conditionalFormatting>
  <conditionalFormatting sqref="BY10:CB10">
    <cfRule type="iconSet" priority="20">
      <iconSet reverse="1">
        <cfvo type="percent" val="0"/>
        <cfvo type="num" val="55"/>
        <cfvo type="num" val="55.1" gte="0"/>
      </iconSet>
    </cfRule>
  </conditionalFormatting>
  <conditionalFormatting sqref="BY11:CB11">
    <cfRule type="iconSet" priority="19">
      <iconSet>
        <cfvo type="percent" val="0"/>
        <cfvo type="num" val="45"/>
        <cfvo type="num" val="45.1" gte="0"/>
      </iconSet>
    </cfRule>
  </conditionalFormatting>
  <conditionalFormatting sqref="BY12:CB12">
    <cfRule type="iconSet" priority="18">
      <iconSet reverse="1">
        <cfvo type="percent" val="0"/>
        <cfvo type="num" val="30"/>
        <cfvo type="num" val="30.1" gte="0"/>
      </iconSet>
    </cfRule>
  </conditionalFormatting>
  <conditionalFormatting sqref="BY13:CB13">
    <cfRule type="iconSet" priority="17">
      <iconSet>
        <cfvo type="percent" val="0"/>
        <cfvo type="num" val="75"/>
        <cfvo type="num" val="75.099999999999994" gte="0"/>
      </iconSet>
    </cfRule>
  </conditionalFormatting>
  <conditionalFormatting sqref="BY15:CB15">
    <cfRule type="iconSet" priority="16">
      <iconSet>
        <cfvo type="percent" val="0"/>
        <cfvo type="num" val="4"/>
        <cfvo type="num" val="4.0999999999999996" gte="0"/>
      </iconSet>
    </cfRule>
  </conditionalFormatting>
  <conditionalFormatting sqref="BY16:CB16">
    <cfRule type="iconSet" priority="15">
      <iconSet>
        <cfvo type="percent" val="0"/>
        <cfvo type="num" val="12"/>
        <cfvo type="num" val="12.1" gte="0"/>
      </iconSet>
    </cfRule>
  </conditionalFormatting>
  <conditionalFormatting sqref="BY18:CB18">
    <cfRule type="iconSet" priority="14">
      <iconSet>
        <cfvo type="percent" val="0"/>
        <cfvo type="num" val="50"/>
        <cfvo type="num" val="50.1" gte="0"/>
      </iconSet>
    </cfRule>
  </conditionalFormatting>
  <conditionalFormatting sqref="BY19:CB19">
    <cfRule type="iconSet" priority="13">
      <iconSet>
        <cfvo type="percent" val="0"/>
        <cfvo type="num" val="10"/>
        <cfvo type="num" val="10.1" gte="0"/>
      </iconSet>
    </cfRule>
  </conditionalFormatting>
  <conditionalFormatting sqref="BY20:CB20">
    <cfRule type="iconSet" priority="12">
      <iconSet>
        <cfvo type="percent" val="0"/>
        <cfvo type="num" val="5"/>
        <cfvo type="num" val="5.0999999999999996" gte="0"/>
      </iconSet>
    </cfRule>
  </conditionalFormatting>
  <conditionalFormatting sqref="BY21:CB21">
    <cfRule type="iconSet" priority="11">
      <iconSet>
        <cfvo type="percent" val="0"/>
        <cfvo type="num" val="8"/>
        <cfvo type="num" val="8.1" gte="0"/>
      </iconSet>
    </cfRule>
  </conditionalFormatting>
  <pageMargins left="0.7" right="0.7" top="0.75" bottom="0.75" header="0.3" footer="0.3"/>
  <pageSetup paperSize="9" orientation="portrait" horizontalDpi="720" verticalDpi="72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95073DB0-7448-44FE-8A4C-661776188BCF}">
            <x14:iconSet iconSet="3Triangles" showValue="0">
              <x14:cfvo type="percent">
                <xm:f>0</xm:f>
              </x14:cfvo>
              <x14:cfvo type="formula">
                <xm:f>0</xm:f>
              </x14:cfvo>
              <x14:cfvo type="formula">
                <xm:f>1</xm:f>
              </x14:cfvo>
            </x14:iconSet>
          </x14:cfRule>
          <xm:sqref>CP5:CP7</xm:sqref>
        </x14:conditionalFormatting>
        <x14:conditionalFormatting xmlns:xm="http://schemas.microsoft.com/office/excel/2006/main">
          <x14:cfRule type="iconSet" priority="6" id="{EAA9384F-7487-462A-ABC5-BC6E673BEFCF}">
            <x14:iconSet iconSet="3Triangles" showValue="0">
              <x14:cfvo type="percent">
                <xm:f>0</xm:f>
              </x14:cfvo>
              <x14:cfvo type="formula">
                <xm:f>0</xm:f>
              </x14:cfvo>
              <x14:cfvo type="formula">
                <xm:f>1</xm:f>
              </x14:cfvo>
            </x14:iconSet>
          </x14:cfRule>
          <xm:sqref>CP22:CP24</xm:sqref>
        </x14:conditionalFormatting>
        <x14:conditionalFormatting xmlns:xm="http://schemas.microsoft.com/office/excel/2006/main">
          <x14:cfRule type="iconSet" priority="2" id="{2FFB6747-E9A9-4934-BCF1-850F0C22AEF7}">
            <x14:iconSet iconSet="3Triangles" showValue="0">
              <x14:cfvo type="percent">
                <xm:f>0</xm:f>
              </x14:cfvo>
              <x14:cfvo type="formula">
                <xm:f>0</xm:f>
              </x14:cfvo>
              <x14:cfvo type="formula">
                <xm:f>1</xm:f>
              </x14:cfvo>
            </x14:iconSet>
          </x14:cfRule>
          <xm:sqref>CP8:CP9</xm:sqref>
        </x14:conditionalFormatting>
        <x14:conditionalFormatting xmlns:xm="http://schemas.microsoft.com/office/excel/2006/main">
          <x14:cfRule type="iconSet" priority="1" id="{BAF48AF5-DAEB-4776-8EDC-6994A680143A}">
            <x14:iconSet iconSet="3Triangles" showValue="0">
              <x14:cfvo type="percent">
                <xm:f>0</xm:f>
              </x14:cfvo>
              <x14:cfvo type="formula">
                <xm:f>0</xm:f>
              </x14:cfvo>
              <x14:cfvo type="formula">
                <xm:f>1</xm:f>
              </x14:cfvo>
            </x14:iconSet>
          </x14:cfRule>
          <xm:sqref>CP18:CP19</xm:sqref>
        </x14:conditionalFormatting>
        <x14:conditionalFormatting xmlns:xm="http://schemas.microsoft.com/office/excel/2006/main">
          <x14:cfRule type="iconSet" priority="57" id="{49DF53B7-8DAC-49A2-921E-D8FF5C93CEE7}">
            <x14:iconSet iconSet="3Triangles" showValue="0">
              <x14:cfvo type="percent">
                <xm:f>0</xm:f>
              </x14:cfvo>
              <x14:cfvo type="formula">
                <xm:f>0</xm:f>
              </x14:cfvo>
              <x14:cfvo type="formula">
                <xm:f>1</xm:f>
              </x14:cfvo>
            </x14:iconSet>
          </x14:cfRule>
          <xm:sqref>CP15:CP17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F554-7647-4C9C-B0BE-ACE891A2EE3E}">
  <dimension ref="A1:T100"/>
  <sheetViews>
    <sheetView showGridLines="0" zoomScaleNormal="100" workbookViewId="0">
      <pane xSplit="1" topLeftCell="L1" activePane="topRight" state="frozen"/>
      <selection pane="topRight"/>
    </sheetView>
  </sheetViews>
  <sheetFormatPr baseColWidth="10" defaultRowHeight="14.4" x14ac:dyDescent="0.3"/>
  <cols>
    <col min="1" max="1" width="10.109375" customWidth="1"/>
    <col min="2" max="2" width="0.5546875" customWidth="1"/>
    <col min="4" max="4" width="2" bestFit="1" customWidth="1"/>
    <col min="5" max="5" width="38" bestFit="1" customWidth="1"/>
    <col min="6" max="6" width="4.44140625" bestFit="1" customWidth="1"/>
    <col min="7" max="7" width="13.88671875" customWidth="1"/>
    <col min="8" max="8" width="13.21875" customWidth="1"/>
    <col min="9" max="9" width="6.5546875" customWidth="1"/>
    <col min="10" max="10" width="2" bestFit="1" customWidth="1"/>
    <col min="11" max="11" width="38" bestFit="1" customWidth="1"/>
    <col min="12" max="12" width="4.44140625" bestFit="1" customWidth="1"/>
    <col min="13" max="14" width="11.6640625" bestFit="1" customWidth="1"/>
    <col min="15" max="15" width="6.6640625" customWidth="1"/>
    <col min="16" max="16" width="2" bestFit="1" customWidth="1"/>
    <col min="17" max="17" width="38" bestFit="1" customWidth="1"/>
    <col min="18" max="18" width="4.44140625" bestFit="1" customWidth="1"/>
    <col min="19" max="19" width="11.6640625" bestFit="1" customWidth="1"/>
    <col min="20" max="20" width="11.109375" bestFit="1" customWidth="1"/>
  </cols>
  <sheetData>
    <row r="1" spans="1:20" x14ac:dyDescent="0.3">
      <c r="A1" s="120"/>
      <c r="B1" s="19"/>
      <c r="C1" s="2"/>
      <c r="D1" s="434" t="s">
        <v>385</v>
      </c>
      <c r="E1" s="434"/>
      <c r="F1" s="434"/>
      <c r="G1" s="434"/>
      <c r="H1" s="434"/>
      <c r="J1" s="434" t="s">
        <v>394</v>
      </c>
      <c r="K1" s="434"/>
      <c r="L1" s="434"/>
      <c r="M1" s="434"/>
      <c r="N1" s="434"/>
      <c r="P1" s="434" t="s">
        <v>396</v>
      </c>
      <c r="Q1" s="434"/>
      <c r="R1" s="434"/>
      <c r="S1" s="434"/>
      <c r="T1" s="434"/>
    </row>
    <row r="2" spans="1:20" x14ac:dyDescent="0.3">
      <c r="A2" s="120"/>
      <c r="B2" s="19"/>
      <c r="C2" s="2"/>
      <c r="J2" s="437" t="s">
        <v>393</v>
      </c>
      <c r="K2" s="437"/>
      <c r="L2" s="437"/>
      <c r="M2" s="437"/>
      <c r="N2" s="437"/>
      <c r="P2" s="437" t="s">
        <v>395</v>
      </c>
      <c r="Q2" s="437"/>
      <c r="R2" s="437"/>
      <c r="S2" s="437"/>
      <c r="T2" s="437"/>
    </row>
    <row r="3" spans="1:20" ht="41.4" x14ac:dyDescent="0.3">
      <c r="A3" s="120"/>
      <c r="B3" s="19"/>
      <c r="C3" s="2"/>
      <c r="D3" s="435" t="s">
        <v>172</v>
      </c>
      <c r="E3" s="436"/>
      <c r="F3" s="436"/>
      <c r="G3" s="175" t="s">
        <v>391</v>
      </c>
      <c r="H3" s="176" t="s">
        <v>392</v>
      </c>
      <c r="J3" s="435" t="s">
        <v>172</v>
      </c>
      <c r="K3" s="436"/>
      <c r="L3" s="436"/>
      <c r="M3" s="175" t="s">
        <v>391</v>
      </c>
      <c r="N3" s="176" t="s">
        <v>392</v>
      </c>
      <c r="P3" s="435" t="s">
        <v>172</v>
      </c>
      <c r="Q3" s="436"/>
      <c r="R3" s="436"/>
      <c r="S3" s="175" t="s">
        <v>391</v>
      </c>
      <c r="T3" s="176" t="s">
        <v>392</v>
      </c>
    </row>
    <row r="4" spans="1:20" x14ac:dyDescent="0.3">
      <c r="A4" s="120"/>
      <c r="B4" s="19"/>
      <c r="C4" s="2"/>
      <c r="D4" s="162" t="s">
        <v>15</v>
      </c>
      <c r="E4" t="s">
        <v>386</v>
      </c>
      <c r="F4" s="174"/>
      <c r="G4" s="166">
        <v>8000000</v>
      </c>
      <c r="H4" s="166">
        <v>8000000</v>
      </c>
      <c r="J4" s="162" t="s">
        <v>15</v>
      </c>
      <c r="K4" t="s">
        <v>386</v>
      </c>
      <c r="L4" s="174"/>
      <c r="M4" s="166">
        <v>4000000</v>
      </c>
      <c r="N4" s="166">
        <v>4000000</v>
      </c>
      <c r="P4" s="162" t="s">
        <v>15</v>
      </c>
      <c r="Q4" t="s">
        <v>386</v>
      </c>
      <c r="R4" s="174"/>
      <c r="S4" s="166">
        <v>2000000</v>
      </c>
      <c r="T4" s="166">
        <v>2000000</v>
      </c>
    </row>
    <row r="5" spans="1:20" x14ac:dyDescent="0.3">
      <c r="A5" s="120"/>
      <c r="B5" s="19"/>
      <c r="C5" s="2"/>
      <c r="D5" s="162" t="s">
        <v>50</v>
      </c>
      <c r="E5" t="s">
        <v>387</v>
      </c>
      <c r="F5" s="172">
        <v>0.08</v>
      </c>
      <c r="G5" s="166">
        <v>0</v>
      </c>
      <c r="H5" s="166">
        <v>800000</v>
      </c>
      <c r="J5" s="162" t="s">
        <v>50</v>
      </c>
      <c r="K5" t="s">
        <v>387</v>
      </c>
      <c r="L5" s="172">
        <v>0.08</v>
      </c>
      <c r="M5" s="166">
        <v>0</v>
      </c>
      <c r="N5" s="166">
        <v>800000</v>
      </c>
      <c r="P5" s="162" t="s">
        <v>50</v>
      </c>
      <c r="Q5" t="s">
        <v>387</v>
      </c>
      <c r="R5" s="172">
        <v>0.08</v>
      </c>
      <c r="S5" s="166">
        <v>0</v>
      </c>
      <c r="T5" s="166">
        <v>800000</v>
      </c>
    </row>
    <row r="6" spans="1:20" x14ac:dyDescent="0.3">
      <c r="A6" s="120"/>
      <c r="B6" s="19"/>
      <c r="C6" s="2"/>
      <c r="D6" s="169" t="s">
        <v>15</v>
      </c>
      <c r="E6" s="170" t="s">
        <v>192</v>
      </c>
      <c r="F6" s="173"/>
      <c r="G6" s="171">
        <f>+G4-G5</f>
        <v>8000000</v>
      </c>
      <c r="H6" s="171">
        <f>+H4-H5</f>
        <v>7200000</v>
      </c>
      <c r="J6" s="169" t="s">
        <v>15</v>
      </c>
      <c r="K6" s="170" t="s">
        <v>192</v>
      </c>
      <c r="L6" s="173"/>
      <c r="M6" s="171">
        <f>+M4-M5</f>
        <v>4000000</v>
      </c>
      <c r="N6" s="171">
        <f>+N4-N5</f>
        <v>3200000</v>
      </c>
      <c r="P6" s="169" t="s">
        <v>15</v>
      </c>
      <c r="Q6" s="170" t="s">
        <v>192</v>
      </c>
      <c r="R6" s="173"/>
      <c r="S6" s="171">
        <f>+S4-S5</f>
        <v>2000000</v>
      </c>
      <c r="T6" s="171">
        <f>+T4-T5</f>
        <v>1200000</v>
      </c>
    </row>
    <row r="7" spans="1:20" x14ac:dyDescent="0.3">
      <c r="A7" s="120"/>
      <c r="B7" s="19"/>
      <c r="C7" s="2"/>
      <c r="D7" s="162" t="s">
        <v>50</v>
      </c>
      <c r="E7" t="s">
        <v>388</v>
      </c>
      <c r="F7" s="172">
        <v>0.5</v>
      </c>
      <c r="G7" s="166">
        <f>-G6*F7</f>
        <v>-4000000</v>
      </c>
      <c r="H7" s="166">
        <f>-H6*F7</f>
        <v>-3600000</v>
      </c>
      <c r="J7" s="162" t="s">
        <v>50</v>
      </c>
      <c r="K7" t="s">
        <v>388</v>
      </c>
      <c r="L7" s="172">
        <v>0.5</v>
      </c>
      <c r="M7" s="166">
        <f>-M6*L7</f>
        <v>-2000000</v>
      </c>
      <c r="N7" s="166">
        <f>-N6*L7</f>
        <v>-1600000</v>
      </c>
      <c r="P7" s="162" t="s">
        <v>50</v>
      </c>
      <c r="Q7" t="s">
        <v>388</v>
      </c>
      <c r="R7" s="172">
        <v>0.5</v>
      </c>
      <c r="S7" s="166">
        <f>-S6*R7</f>
        <v>-1000000</v>
      </c>
      <c r="T7" s="166">
        <f>-T6*R7</f>
        <v>-600000</v>
      </c>
    </row>
    <row r="8" spans="1:20" x14ac:dyDescent="0.3">
      <c r="A8" s="120"/>
      <c r="B8" s="19"/>
      <c r="C8" s="2"/>
      <c r="D8" s="169" t="s">
        <v>15</v>
      </c>
      <c r="E8" s="170" t="s">
        <v>98</v>
      </c>
      <c r="F8" s="173"/>
      <c r="G8" s="171">
        <f>+G6+G7</f>
        <v>4000000</v>
      </c>
      <c r="H8" s="171">
        <f>+H6+H7</f>
        <v>3600000</v>
      </c>
      <c r="J8" s="169" t="s">
        <v>15</v>
      </c>
      <c r="K8" s="170" t="s">
        <v>98</v>
      </c>
      <c r="L8" s="173"/>
      <c r="M8" s="171">
        <f>+M6+M7</f>
        <v>2000000</v>
      </c>
      <c r="N8" s="171">
        <f>+N6+N7</f>
        <v>1600000</v>
      </c>
      <c r="P8" s="169" t="s">
        <v>15</v>
      </c>
      <c r="Q8" s="170" t="s">
        <v>98</v>
      </c>
      <c r="R8" s="173"/>
      <c r="S8" s="171">
        <f>+S6+S7</f>
        <v>1000000</v>
      </c>
      <c r="T8" s="171">
        <f>+T6+T7</f>
        <v>600000</v>
      </c>
    </row>
    <row r="9" spans="1:20" ht="15" thickBot="1" x14ac:dyDescent="0.35">
      <c r="A9" s="120"/>
      <c r="B9" s="19"/>
      <c r="C9" s="2"/>
      <c r="D9" s="162"/>
      <c r="E9" t="s">
        <v>389</v>
      </c>
      <c r="F9" s="174"/>
      <c r="G9" s="167">
        <v>1000000</v>
      </c>
      <c r="H9" s="167">
        <v>800000</v>
      </c>
      <c r="J9" s="162"/>
      <c r="K9" t="s">
        <v>389</v>
      </c>
      <c r="L9" s="174"/>
      <c r="M9" s="167">
        <v>1000000</v>
      </c>
      <c r="N9" s="167">
        <v>800000</v>
      </c>
      <c r="P9" s="162"/>
      <c r="Q9" t="s">
        <v>389</v>
      </c>
      <c r="R9" s="174"/>
      <c r="S9" s="167">
        <v>1000000</v>
      </c>
      <c r="T9" s="167">
        <v>800000</v>
      </c>
    </row>
    <row r="10" spans="1:20" ht="15.6" x14ac:dyDescent="0.3">
      <c r="A10" s="404" t="s">
        <v>384</v>
      </c>
      <c r="B10" s="19"/>
      <c r="C10" s="2"/>
      <c r="D10" s="164"/>
      <c r="E10" s="165" t="s">
        <v>390</v>
      </c>
      <c r="F10" s="70"/>
      <c r="G10" s="177">
        <f>+G8/G9</f>
        <v>4</v>
      </c>
      <c r="H10" s="168">
        <f>+H8/H9</f>
        <v>4.5</v>
      </c>
      <c r="J10" s="164"/>
      <c r="K10" s="165" t="s">
        <v>390</v>
      </c>
      <c r="L10" s="70"/>
      <c r="M10" s="177">
        <f>+M8/M9</f>
        <v>2</v>
      </c>
      <c r="N10" s="168">
        <f>+N8/N9</f>
        <v>2</v>
      </c>
      <c r="P10" s="164"/>
      <c r="Q10" s="165" t="s">
        <v>390</v>
      </c>
      <c r="R10" s="70"/>
      <c r="S10" s="177">
        <f>+S8/S9</f>
        <v>1</v>
      </c>
      <c r="T10" s="168">
        <f>+T8/T9</f>
        <v>0.75</v>
      </c>
    </row>
    <row r="11" spans="1:20" x14ac:dyDescent="0.3">
      <c r="A11" s="405"/>
      <c r="B11" s="19"/>
      <c r="C11" s="2"/>
    </row>
    <row r="12" spans="1:20" x14ac:dyDescent="0.3">
      <c r="A12" s="405"/>
      <c r="B12" s="19"/>
      <c r="C12" s="2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</row>
    <row r="13" spans="1:20" x14ac:dyDescent="0.3">
      <c r="A13" s="405"/>
      <c r="B13" s="19"/>
      <c r="C13" s="2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</row>
    <row r="14" spans="1:20" x14ac:dyDescent="0.3">
      <c r="A14" s="405"/>
      <c r="B14" s="19"/>
      <c r="C14" s="2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</row>
    <row r="15" spans="1:20" x14ac:dyDescent="0.3">
      <c r="A15" s="405"/>
      <c r="B15" s="19"/>
      <c r="C15" s="2"/>
      <c r="E15" s="178"/>
      <c r="F15" s="179"/>
      <c r="G15" t="s">
        <v>400</v>
      </c>
      <c r="H15" s="179" t="s">
        <v>391</v>
      </c>
      <c r="I15" s="179" t="s">
        <v>392</v>
      </c>
      <c r="J15" s="178"/>
      <c r="K15" s="178"/>
      <c r="L15" s="178"/>
      <c r="M15" s="178"/>
      <c r="N15" s="178"/>
      <c r="O15" s="178"/>
    </row>
    <row r="16" spans="1:20" x14ac:dyDescent="0.3">
      <c r="A16" s="405"/>
      <c r="B16" s="19"/>
      <c r="C16" s="2"/>
      <c r="E16" s="178"/>
      <c r="F16" s="179" t="s">
        <v>397</v>
      </c>
      <c r="G16">
        <v>8</v>
      </c>
      <c r="H16" s="180">
        <f>+G10</f>
        <v>4</v>
      </c>
      <c r="I16" s="181">
        <f>+H10</f>
        <v>4.5</v>
      </c>
      <c r="J16" s="178"/>
      <c r="K16" s="178"/>
      <c r="L16" s="178"/>
      <c r="M16" s="178"/>
      <c r="N16" s="178"/>
      <c r="O16" s="178"/>
    </row>
    <row r="17" spans="1:15" x14ac:dyDescent="0.3">
      <c r="A17" s="405"/>
      <c r="B17" s="19"/>
      <c r="C17" s="2"/>
      <c r="E17" s="178"/>
      <c r="F17" s="179" t="s">
        <v>398</v>
      </c>
      <c r="G17">
        <v>4</v>
      </c>
      <c r="H17" s="180">
        <f>+M10</f>
        <v>2</v>
      </c>
      <c r="I17" s="181">
        <f>+N10</f>
        <v>2</v>
      </c>
      <c r="J17" s="178"/>
      <c r="K17" s="178"/>
      <c r="L17" s="178"/>
      <c r="M17" s="178"/>
      <c r="N17" s="178"/>
      <c r="O17" s="178"/>
    </row>
    <row r="18" spans="1:15" x14ac:dyDescent="0.3">
      <c r="A18" s="405"/>
      <c r="B18" s="19"/>
      <c r="C18" s="2"/>
      <c r="E18" s="178"/>
      <c r="F18" s="179" t="s">
        <v>399</v>
      </c>
      <c r="G18">
        <v>2</v>
      </c>
      <c r="H18" s="180">
        <f>+S10</f>
        <v>1</v>
      </c>
      <c r="I18" s="181">
        <f>+T10</f>
        <v>0.75</v>
      </c>
      <c r="J18" s="178"/>
      <c r="K18" s="178"/>
      <c r="L18" s="178"/>
      <c r="M18" s="178"/>
      <c r="N18" s="178"/>
      <c r="O18" s="178"/>
    </row>
    <row r="19" spans="1:15" x14ac:dyDescent="0.3">
      <c r="A19" s="405"/>
      <c r="B19" s="19"/>
      <c r="C19" s="2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</row>
    <row r="20" spans="1:15" x14ac:dyDescent="0.3">
      <c r="A20" s="405"/>
      <c r="B20" s="19"/>
      <c r="C20" s="2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</row>
    <row r="21" spans="1:15" x14ac:dyDescent="0.3">
      <c r="A21" s="405"/>
      <c r="B21" s="19"/>
      <c r="C21" s="2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</row>
    <row r="22" spans="1:15" x14ac:dyDescent="0.3">
      <c r="A22" s="405"/>
      <c r="B22" s="19"/>
      <c r="C22" s="2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</row>
    <row r="23" spans="1:15" x14ac:dyDescent="0.3">
      <c r="A23" s="405"/>
      <c r="B23" s="19"/>
      <c r="C23" s="2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</row>
    <row r="24" spans="1:15" x14ac:dyDescent="0.3">
      <c r="A24" s="405"/>
      <c r="B24" s="19"/>
      <c r="C24" s="2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</row>
    <row r="25" spans="1:15" x14ac:dyDescent="0.3">
      <c r="A25" s="405"/>
      <c r="B25" s="19"/>
      <c r="C25" s="2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</row>
    <row r="26" spans="1:15" ht="15" thickBot="1" x14ac:dyDescent="0.35">
      <c r="A26" s="406"/>
      <c r="B26" s="19"/>
      <c r="C26" s="2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</row>
    <row r="27" spans="1:15" x14ac:dyDescent="0.3">
      <c r="A27" s="120"/>
      <c r="B27" s="19"/>
      <c r="C27" s="2"/>
    </row>
    <row r="28" spans="1:15" x14ac:dyDescent="0.3">
      <c r="A28" s="120"/>
      <c r="B28" s="19"/>
      <c r="C28" s="2"/>
    </row>
    <row r="29" spans="1:15" x14ac:dyDescent="0.3">
      <c r="A29" s="120"/>
      <c r="B29" s="19"/>
      <c r="C29" s="2"/>
    </row>
    <row r="30" spans="1:15" x14ac:dyDescent="0.3">
      <c r="A30" s="120"/>
      <c r="B30" s="19"/>
      <c r="C30" s="2"/>
    </row>
    <row r="31" spans="1:15" x14ac:dyDescent="0.3">
      <c r="A31" s="120"/>
      <c r="B31" s="19"/>
      <c r="C31" s="2"/>
    </row>
    <row r="32" spans="1:15" x14ac:dyDescent="0.3">
      <c r="A32" s="120"/>
      <c r="B32" s="19"/>
      <c r="C32" s="2"/>
    </row>
    <row r="33" spans="1:3" x14ac:dyDescent="0.3">
      <c r="A33" s="120"/>
      <c r="B33" s="19"/>
      <c r="C33" s="2"/>
    </row>
    <row r="34" spans="1:3" x14ac:dyDescent="0.3">
      <c r="A34" s="120"/>
      <c r="B34" s="19"/>
      <c r="C34" s="2"/>
    </row>
    <row r="35" spans="1:3" x14ac:dyDescent="0.3">
      <c r="A35" s="120"/>
      <c r="B35" s="19"/>
      <c r="C35" s="2"/>
    </row>
    <row r="36" spans="1:3" x14ac:dyDescent="0.3">
      <c r="A36" s="120"/>
      <c r="B36" s="19"/>
      <c r="C36" s="2"/>
    </row>
    <row r="37" spans="1:3" x14ac:dyDescent="0.3">
      <c r="A37" s="120"/>
      <c r="B37" s="19"/>
      <c r="C37" s="2"/>
    </row>
    <row r="38" spans="1:3" x14ac:dyDescent="0.3">
      <c r="A38" s="120"/>
      <c r="B38" s="19"/>
      <c r="C38" s="2"/>
    </row>
    <row r="39" spans="1:3" x14ac:dyDescent="0.3">
      <c r="A39" s="120"/>
      <c r="B39" s="19"/>
      <c r="C39" s="2"/>
    </row>
    <row r="40" spans="1:3" x14ac:dyDescent="0.3">
      <c r="A40" s="120"/>
      <c r="B40" s="19"/>
      <c r="C40" s="2"/>
    </row>
    <row r="41" spans="1:3" x14ac:dyDescent="0.3">
      <c r="A41" s="120"/>
      <c r="B41" s="19"/>
      <c r="C41" s="2"/>
    </row>
    <row r="42" spans="1:3" x14ac:dyDescent="0.3">
      <c r="A42" s="120"/>
      <c r="B42" s="19"/>
      <c r="C42" s="2"/>
    </row>
    <row r="43" spans="1:3" x14ac:dyDescent="0.3">
      <c r="A43" s="120"/>
      <c r="B43" s="19"/>
      <c r="C43" s="2"/>
    </row>
    <row r="44" spans="1:3" x14ac:dyDescent="0.3">
      <c r="A44" s="120"/>
      <c r="B44" s="19"/>
      <c r="C44" s="2"/>
    </row>
    <row r="45" spans="1:3" x14ac:dyDescent="0.3">
      <c r="A45" s="120"/>
      <c r="B45" s="19"/>
      <c r="C45" s="2"/>
    </row>
    <row r="46" spans="1:3" x14ac:dyDescent="0.3">
      <c r="A46" s="120"/>
      <c r="B46" s="19"/>
      <c r="C46" s="2"/>
    </row>
    <row r="47" spans="1:3" x14ac:dyDescent="0.3">
      <c r="A47" s="120"/>
      <c r="B47" s="19"/>
      <c r="C47" s="2"/>
    </row>
    <row r="48" spans="1:3" x14ac:dyDescent="0.3">
      <c r="A48" s="120"/>
      <c r="B48" s="19"/>
      <c r="C48" s="2"/>
    </row>
    <row r="49" spans="1:3" x14ac:dyDescent="0.3">
      <c r="A49" s="120"/>
      <c r="B49" s="19"/>
      <c r="C49" s="2"/>
    </row>
    <row r="50" spans="1:3" x14ac:dyDescent="0.3">
      <c r="A50" s="120"/>
      <c r="B50" s="19"/>
      <c r="C50" s="2"/>
    </row>
    <row r="51" spans="1:3" x14ac:dyDescent="0.3">
      <c r="A51" s="120"/>
      <c r="B51" s="19"/>
      <c r="C51" s="2"/>
    </row>
    <row r="52" spans="1:3" x14ac:dyDescent="0.3">
      <c r="A52" s="120"/>
      <c r="B52" s="19"/>
      <c r="C52" s="2"/>
    </row>
    <row r="53" spans="1:3" x14ac:dyDescent="0.3">
      <c r="A53" s="120"/>
      <c r="B53" s="19"/>
      <c r="C53" s="2"/>
    </row>
    <row r="54" spans="1:3" x14ac:dyDescent="0.3">
      <c r="A54" s="120"/>
      <c r="B54" s="19"/>
      <c r="C54" s="2"/>
    </row>
    <row r="55" spans="1:3" x14ac:dyDescent="0.3">
      <c r="A55" s="120"/>
      <c r="B55" s="19"/>
      <c r="C55" s="2"/>
    </row>
    <row r="56" spans="1:3" x14ac:dyDescent="0.3">
      <c r="A56" s="120"/>
      <c r="B56" s="19"/>
      <c r="C56" s="2"/>
    </row>
    <row r="57" spans="1:3" x14ac:dyDescent="0.3">
      <c r="A57" s="120"/>
      <c r="B57" s="19"/>
      <c r="C57" s="2"/>
    </row>
    <row r="58" spans="1:3" x14ac:dyDescent="0.3">
      <c r="A58" s="120"/>
      <c r="B58" s="19"/>
      <c r="C58" s="2"/>
    </row>
    <row r="59" spans="1:3" x14ac:dyDescent="0.3">
      <c r="A59" s="120"/>
      <c r="B59" s="19"/>
      <c r="C59" s="2"/>
    </row>
    <row r="60" spans="1:3" x14ac:dyDescent="0.3">
      <c r="A60" s="120"/>
      <c r="B60" s="19"/>
      <c r="C60" s="2"/>
    </row>
    <row r="61" spans="1:3" x14ac:dyDescent="0.3">
      <c r="A61" s="120"/>
      <c r="B61" s="19"/>
      <c r="C61" s="2"/>
    </row>
    <row r="62" spans="1:3" x14ac:dyDescent="0.3">
      <c r="A62" s="120"/>
      <c r="B62" s="19"/>
      <c r="C62" s="2"/>
    </row>
    <row r="63" spans="1:3" x14ac:dyDescent="0.3">
      <c r="A63" s="120"/>
      <c r="B63" s="19"/>
      <c r="C63" s="2"/>
    </row>
    <row r="64" spans="1:3" x14ac:dyDescent="0.3">
      <c r="A64" s="120"/>
      <c r="B64" s="19"/>
      <c r="C64" s="2"/>
    </row>
    <row r="65" spans="1:3" x14ac:dyDescent="0.3">
      <c r="A65" s="120"/>
      <c r="B65" s="19"/>
      <c r="C65" s="2"/>
    </row>
    <row r="66" spans="1:3" x14ac:dyDescent="0.3">
      <c r="A66" s="120"/>
      <c r="B66" s="19"/>
      <c r="C66" s="2"/>
    </row>
    <row r="67" spans="1:3" x14ac:dyDescent="0.3">
      <c r="A67" s="120"/>
      <c r="B67" s="19"/>
      <c r="C67" s="2"/>
    </row>
    <row r="68" spans="1:3" x14ac:dyDescent="0.3">
      <c r="A68" s="120"/>
      <c r="B68" s="19"/>
      <c r="C68" s="2"/>
    </row>
    <row r="69" spans="1:3" x14ac:dyDescent="0.3">
      <c r="A69" s="120"/>
      <c r="B69" s="19"/>
      <c r="C69" s="2"/>
    </row>
    <row r="70" spans="1:3" x14ac:dyDescent="0.3">
      <c r="A70" s="120"/>
      <c r="B70" s="19"/>
      <c r="C70" s="2"/>
    </row>
    <row r="71" spans="1:3" x14ac:dyDescent="0.3">
      <c r="A71" s="120"/>
      <c r="B71" s="19"/>
      <c r="C71" s="2"/>
    </row>
    <row r="72" spans="1:3" x14ac:dyDescent="0.3">
      <c r="A72" s="120"/>
      <c r="B72" s="19"/>
      <c r="C72" s="2"/>
    </row>
    <row r="73" spans="1:3" x14ac:dyDescent="0.3">
      <c r="A73" s="120"/>
      <c r="B73" s="19"/>
      <c r="C73" s="2"/>
    </row>
    <row r="74" spans="1:3" x14ac:dyDescent="0.3">
      <c r="A74" s="120"/>
      <c r="B74" s="19"/>
      <c r="C74" s="2"/>
    </row>
    <row r="75" spans="1:3" x14ac:dyDescent="0.3">
      <c r="A75" s="120"/>
      <c r="B75" s="19"/>
      <c r="C75" s="2"/>
    </row>
    <row r="76" spans="1:3" x14ac:dyDescent="0.3">
      <c r="A76" s="120"/>
      <c r="B76" s="19"/>
      <c r="C76" s="2"/>
    </row>
    <row r="77" spans="1:3" x14ac:dyDescent="0.3">
      <c r="A77" s="120"/>
      <c r="B77" s="19"/>
      <c r="C77" s="2"/>
    </row>
    <row r="78" spans="1:3" x14ac:dyDescent="0.3">
      <c r="A78" s="120"/>
      <c r="B78" s="19"/>
      <c r="C78" s="2"/>
    </row>
    <row r="79" spans="1:3" x14ac:dyDescent="0.3">
      <c r="A79" s="120"/>
      <c r="B79" s="19"/>
      <c r="C79" s="2"/>
    </row>
    <row r="80" spans="1:3" x14ac:dyDescent="0.3">
      <c r="A80" s="120"/>
      <c r="B80" s="19"/>
      <c r="C80" s="2"/>
    </row>
    <row r="81" spans="1:3" x14ac:dyDescent="0.3">
      <c r="A81" s="120"/>
      <c r="B81" s="19"/>
      <c r="C81" s="2"/>
    </row>
    <row r="82" spans="1:3" x14ac:dyDescent="0.3">
      <c r="A82" s="120"/>
      <c r="B82" s="19"/>
      <c r="C82" s="2"/>
    </row>
    <row r="83" spans="1:3" x14ac:dyDescent="0.3">
      <c r="A83" s="120"/>
      <c r="B83" s="19"/>
      <c r="C83" s="2"/>
    </row>
    <row r="84" spans="1:3" x14ac:dyDescent="0.3">
      <c r="A84" s="120"/>
      <c r="B84" s="19"/>
      <c r="C84" s="2"/>
    </row>
    <row r="85" spans="1:3" x14ac:dyDescent="0.3">
      <c r="A85" s="120"/>
      <c r="B85" s="19"/>
      <c r="C85" s="2"/>
    </row>
    <row r="86" spans="1:3" x14ac:dyDescent="0.3">
      <c r="A86" s="120"/>
      <c r="B86" s="19"/>
      <c r="C86" s="2"/>
    </row>
    <row r="87" spans="1:3" x14ac:dyDescent="0.3">
      <c r="A87" s="120"/>
      <c r="B87" s="19"/>
      <c r="C87" s="2"/>
    </row>
    <row r="88" spans="1:3" x14ac:dyDescent="0.3">
      <c r="A88" s="120"/>
      <c r="B88" s="19"/>
      <c r="C88" s="2"/>
    </row>
    <row r="89" spans="1:3" x14ac:dyDescent="0.3">
      <c r="A89" s="120"/>
      <c r="B89" s="19"/>
      <c r="C89" s="2"/>
    </row>
    <row r="90" spans="1:3" x14ac:dyDescent="0.3">
      <c r="A90" s="120"/>
      <c r="B90" s="19"/>
      <c r="C90" s="2"/>
    </row>
    <row r="91" spans="1:3" x14ac:dyDescent="0.3">
      <c r="A91" s="120"/>
      <c r="B91" s="19"/>
      <c r="C91" s="2"/>
    </row>
    <row r="92" spans="1:3" x14ac:dyDescent="0.3">
      <c r="A92" s="120"/>
      <c r="B92" s="19"/>
      <c r="C92" s="2"/>
    </row>
    <row r="93" spans="1:3" x14ac:dyDescent="0.3">
      <c r="A93" s="120"/>
      <c r="B93" s="19"/>
      <c r="C93" s="2"/>
    </row>
    <row r="94" spans="1:3" x14ac:dyDescent="0.3">
      <c r="A94" s="120"/>
      <c r="B94" s="19"/>
      <c r="C94" s="2"/>
    </row>
    <row r="95" spans="1:3" x14ac:dyDescent="0.3">
      <c r="A95" s="120"/>
      <c r="B95" s="19"/>
      <c r="C95" s="2"/>
    </row>
    <row r="96" spans="1:3" x14ac:dyDescent="0.3">
      <c r="A96" s="120"/>
      <c r="B96" s="19"/>
      <c r="C96" s="2"/>
    </row>
    <row r="97" spans="1:3" x14ac:dyDescent="0.3">
      <c r="A97" s="120"/>
      <c r="B97" s="19"/>
      <c r="C97" s="2"/>
    </row>
    <row r="98" spans="1:3" x14ac:dyDescent="0.3">
      <c r="A98" s="120"/>
      <c r="B98" s="19"/>
      <c r="C98" s="2"/>
    </row>
    <row r="99" spans="1:3" x14ac:dyDescent="0.3">
      <c r="A99" s="120"/>
      <c r="B99" s="19"/>
      <c r="C99" s="2"/>
    </row>
    <row r="100" spans="1:3" x14ac:dyDescent="0.3">
      <c r="A100" s="120"/>
      <c r="B100" s="19"/>
      <c r="C100" s="2"/>
    </row>
  </sheetData>
  <mergeCells count="9">
    <mergeCell ref="P1:T1"/>
    <mergeCell ref="P3:R3"/>
    <mergeCell ref="J2:N2"/>
    <mergeCell ref="P2:T2"/>
    <mergeCell ref="A10:A26"/>
    <mergeCell ref="D1:H1"/>
    <mergeCell ref="D3:F3"/>
    <mergeCell ref="J1:N1"/>
    <mergeCell ref="J3:L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8103-FB6A-4EA0-A32F-2D8DBE1B221E}">
  <dimension ref="A1:H100"/>
  <sheetViews>
    <sheetView showGridLines="0" workbookViewId="0"/>
  </sheetViews>
  <sheetFormatPr baseColWidth="10" defaultRowHeight="14.4" x14ac:dyDescent="0.3"/>
  <cols>
    <col min="1" max="1" width="10.109375" customWidth="1"/>
    <col min="2" max="2" width="0.5546875" customWidth="1"/>
    <col min="4" max="4" width="2.6640625" customWidth="1"/>
    <col min="5" max="5" width="20.21875" bestFit="1" customWidth="1"/>
    <col min="6" max="6" width="7.5546875" bestFit="1" customWidth="1"/>
    <col min="7" max="8" width="11.5546875" bestFit="1" customWidth="1"/>
  </cols>
  <sheetData>
    <row r="1" spans="1:8" x14ac:dyDescent="0.3">
      <c r="A1" s="120"/>
      <c r="B1" s="19"/>
      <c r="C1" s="2"/>
      <c r="D1" s="439" t="s">
        <v>401</v>
      </c>
      <c r="E1" s="439"/>
      <c r="F1" s="439"/>
      <c r="G1" s="439"/>
      <c r="H1" s="439"/>
    </row>
    <row r="2" spans="1:8" x14ac:dyDescent="0.3">
      <c r="A2" s="120"/>
      <c r="B2" s="19"/>
      <c r="C2" s="2"/>
      <c r="E2" t="s">
        <v>402</v>
      </c>
      <c r="F2" s="159">
        <v>0.25</v>
      </c>
      <c r="G2" s="439" t="s">
        <v>405</v>
      </c>
      <c r="H2" s="439"/>
    </row>
    <row r="3" spans="1:8" x14ac:dyDescent="0.3">
      <c r="A3" s="120"/>
      <c r="B3" s="19"/>
      <c r="C3" s="2"/>
      <c r="E3" t="s">
        <v>403</v>
      </c>
      <c r="F3" s="160">
        <v>1000</v>
      </c>
    </row>
    <row r="4" spans="1:8" x14ac:dyDescent="0.3">
      <c r="A4" s="120"/>
      <c r="B4" s="19"/>
      <c r="C4" s="2"/>
      <c r="E4" t="s">
        <v>404</v>
      </c>
      <c r="F4" s="159">
        <v>0.3</v>
      </c>
      <c r="G4" t="s">
        <v>406</v>
      </c>
    </row>
    <row r="5" spans="1:8" x14ac:dyDescent="0.3">
      <c r="A5" s="120"/>
      <c r="B5" s="19"/>
      <c r="C5" s="2"/>
    </row>
    <row r="6" spans="1:8" x14ac:dyDescent="0.3">
      <c r="A6" s="120"/>
      <c r="B6" s="19"/>
      <c r="C6" s="2"/>
      <c r="D6" s="434" t="s">
        <v>411</v>
      </c>
      <c r="E6" s="434"/>
      <c r="F6" s="434"/>
      <c r="G6" s="434"/>
      <c r="H6" s="434"/>
    </row>
    <row r="7" spans="1:8" ht="4.95" customHeight="1" x14ac:dyDescent="0.3">
      <c r="A7" s="120"/>
      <c r="B7" s="19"/>
      <c r="C7" s="2"/>
    </row>
    <row r="8" spans="1:8" x14ac:dyDescent="0.3">
      <c r="A8" s="120"/>
      <c r="B8" s="19"/>
      <c r="C8" s="2"/>
      <c r="D8" s="435" t="s">
        <v>172</v>
      </c>
      <c r="E8" s="436"/>
      <c r="F8" s="438"/>
      <c r="G8" s="175" t="s">
        <v>407</v>
      </c>
      <c r="H8" s="185" t="s">
        <v>408</v>
      </c>
    </row>
    <row r="9" spans="1:8" ht="15" thickBot="1" x14ac:dyDescent="0.35">
      <c r="A9" s="120"/>
      <c r="B9" s="19"/>
      <c r="C9" s="2"/>
      <c r="D9" s="162" t="s">
        <v>409</v>
      </c>
      <c r="F9" s="163"/>
      <c r="G9" s="160">
        <v>55000</v>
      </c>
      <c r="H9" s="166">
        <v>90000</v>
      </c>
    </row>
    <row r="10" spans="1:8" x14ac:dyDescent="0.3">
      <c r="A10" s="404" t="s">
        <v>604</v>
      </c>
      <c r="B10" s="19"/>
      <c r="C10" s="2"/>
      <c r="D10" s="162" t="s">
        <v>132</v>
      </c>
      <c r="F10" s="163"/>
      <c r="G10" s="160">
        <v>45000</v>
      </c>
      <c r="H10" s="166">
        <v>10000</v>
      </c>
    </row>
    <row r="11" spans="1:8" x14ac:dyDescent="0.3">
      <c r="A11" s="405"/>
      <c r="B11" s="19"/>
      <c r="C11" s="2"/>
      <c r="D11" s="188" t="s">
        <v>410</v>
      </c>
      <c r="E11" s="189"/>
      <c r="F11" s="190"/>
      <c r="G11" s="191">
        <f>+G9+G10</f>
        <v>100000</v>
      </c>
      <c r="H11" s="192">
        <f>+H9+H10</f>
        <v>100000</v>
      </c>
    </row>
    <row r="12" spans="1:8" x14ac:dyDescent="0.3">
      <c r="A12" s="405"/>
      <c r="B12" s="19"/>
      <c r="C12" s="2"/>
    </row>
    <row r="13" spans="1:8" x14ac:dyDescent="0.3">
      <c r="A13" s="405"/>
      <c r="B13" s="19"/>
      <c r="C13" s="2"/>
      <c r="D13" s="434" t="s">
        <v>415</v>
      </c>
      <c r="E13" s="434"/>
      <c r="F13" s="434"/>
      <c r="G13" s="434"/>
      <c r="H13" s="434"/>
    </row>
    <row r="14" spans="1:8" ht="4.95" customHeight="1" x14ac:dyDescent="0.3">
      <c r="A14" s="405"/>
      <c r="B14" s="19"/>
      <c r="C14" s="2"/>
    </row>
    <row r="15" spans="1:8" x14ac:dyDescent="0.3">
      <c r="A15" s="405"/>
      <c r="B15" s="19"/>
      <c r="C15" s="2"/>
      <c r="D15" s="435" t="s">
        <v>172</v>
      </c>
      <c r="E15" s="436"/>
      <c r="F15" s="438"/>
      <c r="G15" s="175" t="s">
        <v>407</v>
      </c>
      <c r="H15" s="185" t="s">
        <v>408</v>
      </c>
    </row>
    <row r="16" spans="1:8" x14ac:dyDescent="0.3">
      <c r="A16" s="405"/>
      <c r="B16" s="19"/>
      <c r="C16" s="2"/>
      <c r="D16" s="162" t="s">
        <v>15</v>
      </c>
      <c r="E16" t="s">
        <v>412</v>
      </c>
      <c r="F16" s="163"/>
      <c r="G16" s="160">
        <v>24000</v>
      </c>
      <c r="H16" s="166">
        <v>24000</v>
      </c>
    </row>
    <row r="17" spans="1:8" x14ac:dyDescent="0.3">
      <c r="A17" s="405"/>
      <c r="B17" s="19"/>
      <c r="C17" s="2"/>
      <c r="D17" s="162" t="s">
        <v>50</v>
      </c>
      <c r="E17" t="s">
        <v>413</v>
      </c>
      <c r="F17" s="163"/>
      <c r="G17" s="160">
        <v>13750</v>
      </c>
      <c r="H17" s="166">
        <v>22500</v>
      </c>
    </row>
    <row r="18" spans="1:8" x14ac:dyDescent="0.3">
      <c r="A18" s="405"/>
      <c r="B18" s="19"/>
      <c r="C18" s="2"/>
      <c r="D18" s="193" t="s">
        <v>15</v>
      </c>
      <c r="E18" s="86" t="s">
        <v>414</v>
      </c>
      <c r="F18" s="194"/>
      <c r="G18" s="161">
        <f>+G16-G17</f>
        <v>10250</v>
      </c>
      <c r="H18" s="195">
        <f>+H16-H17</f>
        <v>1500</v>
      </c>
    </row>
    <row r="19" spans="1:8" x14ac:dyDescent="0.3">
      <c r="A19" s="405"/>
      <c r="B19" s="19"/>
      <c r="C19" s="2"/>
      <c r="D19" s="182" t="s">
        <v>50</v>
      </c>
      <c r="E19" s="183" t="s">
        <v>416</v>
      </c>
      <c r="F19" s="184"/>
      <c r="G19" s="187">
        <f>+G18*0.3</f>
        <v>3075</v>
      </c>
      <c r="H19" s="186">
        <f>+H18*0.3</f>
        <v>450</v>
      </c>
    </row>
    <row r="20" spans="1:8" x14ac:dyDescent="0.3">
      <c r="A20" s="405"/>
      <c r="B20" s="19"/>
      <c r="C20" s="2"/>
    </row>
    <row r="21" spans="1:8" x14ac:dyDescent="0.3">
      <c r="A21" s="405"/>
      <c r="B21" s="19"/>
      <c r="C21" s="2"/>
    </row>
    <row r="22" spans="1:8" x14ac:dyDescent="0.3">
      <c r="A22" s="405"/>
      <c r="B22" s="19"/>
      <c r="C22" s="2"/>
    </row>
    <row r="23" spans="1:8" x14ac:dyDescent="0.3">
      <c r="A23" s="405"/>
      <c r="B23" s="19"/>
      <c r="C23" s="2"/>
    </row>
    <row r="24" spans="1:8" x14ac:dyDescent="0.3">
      <c r="A24" s="405"/>
      <c r="B24" s="19"/>
      <c r="C24" s="2"/>
    </row>
    <row r="25" spans="1:8" x14ac:dyDescent="0.3">
      <c r="A25" s="405"/>
      <c r="B25" s="19"/>
      <c r="C25" s="2"/>
    </row>
    <row r="26" spans="1:8" ht="15" thickBot="1" x14ac:dyDescent="0.35">
      <c r="A26" s="406"/>
      <c r="B26" s="19"/>
      <c r="C26" s="2"/>
    </row>
    <row r="27" spans="1:8" x14ac:dyDescent="0.3">
      <c r="A27" s="120"/>
      <c r="B27" s="19"/>
      <c r="C27" s="2"/>
    </row>
    <row r="28" spans="1:8" x14ac:dyDescent="0.3">
      <c r="A28" s="120"/>
      <c r="B28" s="19"/>
      <c r="C28" s="2"/>
    </row>
    <row r="29" spans="1:8" x14ac:dyDescent="0.3">
      <c r="A29" s="120"/>
      <c r="B29" s="19"/>
      <c r="C29" s="2"/>
    </row>
    <row r="30" spans="1:8" x14ac:dyDescent="0.3">
      <c r="A30" s="120"/>
      <c r="B30" s="19"/>
      <c r="C30" s="2"/>
    </row>
    <row r="31" spans="1:8" x14ac:dyDescent="0.3">
      <c r="A31" s="120"/>
      <c r="B31" s="19"/>
      <c r="C31" s="2"/>
    </row>
    <row r="32" spans="1:8" x14ac:dyDescent="0.3">
      <c r="A32" s="120"/>
      <c r="B32" s="19"/>
      <c r="C32" s="2"/>
    </row>
    <row r="33" spans="1:3" x14ac:dyDescent="0.3">
      <c r="A33" s="120"/>
      <c r="B33" s="19"/>
      <c r="C33" s="2"/>
    </row>
    <row r="34" spans="1:3" x14ac:dyDescent="0.3">
      <c r="A34" s="120"/>
      <c r="B34" s="19"/>
      <c r="C34" s="2"/>
    </row>
    <row r="35" spans="1:3" x14ac:dyDescent="0.3">
      <c r="A35" s="120"/>
      <c r="B35" s="19"/>
      <c r="C35" s="2"/>
    </row>
    <row r="36" spans="1:3" x14ac:dyDescent="0.3">
      <c r="A36" s="120"/>
      <c r="B36" s="19"/>
      <c r="C36" s="2"/>
    </row>
    <row r="37" spans="1:3" x14ac:dyDescent="0.3">
      <c r="A37" s="120"/>
      <c r="B37" s="19"/>
      <c r="C37" s="2"/>
    </row>
    <row r="38" spans="1:3" x14ac:dyDescent="0.3">
      <c r="A38" s="120"/>
      <c r="B38" s="19"/>
      <c r="C38" s="2"/>
    </row>
    <row r="39" spans="1:3" x14ac:dyDescent="0.3">
      <c r="A39" s="120"/>
      <c r="B39" s="19"/>
      <c r="C39" s="2"/>
    </row>
    <row r="40" spans="1:3" x14ac:dyDescent="0.3">
      <c r="A40" s="120"/>
      <c r="B40" s="19"/>
      <c r="C40" s="2"/>
    </row>
    <row r="41" spans="1:3" x14ac:dyDescent="0.3">
      <c r="A41" s="120"/>
      <c r="B41" s="19"/>
      <c r="C41" s="2"/>
    </row>
    <row r="42" spans="1:3" x14ac:dyDescent="0.3">
      <c r="A42" s="120"/>
      <c r="B42" s="19"/>
      <c r="C42" s="2"/>
    </row>
    <row r="43" spans="1:3" x14ac:dyDescent="0.3">
      <c r="A43" s="120"/>
      <c r="B43" s="19"/>
      <c r="C43" s="2"/>
    </row>
    <row r="44" spans="1:3" x14ac:dyDescent="0.3">
      <c r="A44" s="120"/>
      <c r="B44" s="19"/>
      <c r="C44" s="2"/>
    </row>
    <row r="45" spans="1:3" x14ac:dyDescent="0.3">
      <c r="A45" s="120"/>
      <c r="B45" s="19"/>
      <c r="C45" s="2"/>
    </row>
    <row r="46" spans="1:3" x14ac:dyDescent="0.3">
      <c r="A46" s="120"/>
      <c r="B46" s="19"/>
      <c r="C46" s="2"/>
    </row>
    <row r="47" spans="1:3" x14ac:dyDescent="0.3">
      <c r="A47" s="120"/>
      <c r="B47" s="19"/>
      <c r="C47" s="2"/>
    </row>
    <row r="48" spans="1:3" x14ac:dyDescent="0.3">
      <c r="A48" s="120"/>
      <c r="B48" s="19"/>
      <c r="C48" s="2"/>
    </row>
    <row r="49" spans="1:3" x14ac:dyDescent="0.3">
      <c r="A49" s="120"/>
      <c r="B49" s="19"/>
      <c r="C49" s="2"/>
    </row>
    <row r="50" spans="1:3" x14ac:dyDescent="0.3">
      <c r="A50" s="120"/>
      <c r="B50" s="19"/>
      <c r="C50" s="2"/>
    </row>
    <row r="51" spans="1:3" x14ac:dyDescent="0.3">
      <c r="A51" s="120"/>
      <c r="B51" s="19"/>
      <c r="C51" s="2"/>
    </row>
    <row r="52" spans="1:3" x14ac:dyDescent="0.3">
      <c r="A52" s="120"/>
      <c r="B52" s="19"/>
      <c r="C52" s="2"/>
    </row>
    <row r="53" spans="1:3" x14ac:dyDescent="0.3">
      <c r="A53" s="120"/>
      <c r="B53" s="19"/>
      <c r="C53" s="2"/>
    </row>
    <row r="54" spans="1:3" x14ac:dyDescent="0.3">
      <c r="A54" s="120"/>
      <c r="B54" s="19"/>
      <c r="C54" s="2"/>
    </row>
    <row r="55" spans="1:3" x14ac:dyDescent="0.3">
      <c r="A55" s="120"/>
      <c r="B55" s="19"/>
      <c r="C55" s="2"/>
    </row>
    <row r="56" spans="1:3" x14ac:dyDescent="0.3">
      <c r="A56" s="120"/>
      <c r="B56" s="19"/>
      <c r="C56" s="2"/>
    </row>
    <row r="57" spans="1:3" x14ac:dyDescent="0.3">
      <c r="A57" s="120"/>
      <c r="B57" s="19"/>
      <c r="C57" s="2"/>
    </row>
    <row r="58" spans="1:3" x14ac:dyDescent="0.3">
      <c r="A58" s="120"/>
      <c r="B58" s="19"/>
      <c r="C58" s="2"/>
    </row>
    <row r="59" spans="1:3" x14ac:dyDescent="0.3">
      <c r="A59" s="120"/>
      <c r="B59" s="19"/>
      <c r="C59" s="2"/>
    </row>
    <row r="60" spans="1:3" x14ac:dyDescent="0.3">
      <c r="A60" s="120"/>
      <c r="B60" s="19"/>
      <c r="C60" s="2"/>
    </row>
    <row r="61" spans="1:3" x14ac:dyDescent="0.3">
      <c r="A61" s="120"/>
      <c r="B61" s="19"/>
      <c r="C61" s="2"/>
    </row>
    <row r="62" spans="1:3" x14ac:dyDescent="0.3">
      <c r="A62" s="120"/>
      <c r="B62" s="19"/>
      <c r="C62" s="2"/>
    </row>
    <row r="63" spans="1:3" x14ac:dyDescent="0.3">
      <c r="A63" s="120"/>
      <c r="B63" s="19"/>
      <c r="C63" s="2"/>
    </row>
    <row r="64" spans="1:3" x14ac:dyDescent="0.3">
      <c r="A64" s="120"/>
      <c r="B64" s="19"/>
      <c r="C64" s="2"/>
    </row>
    <row r="65" spans="1:3" x14ac:dyDescent="0.3">
      <c r="A65" s="120"/>
      <c r="B65" s="19"/>
      <c r="C65" s="2"/>
    </row>
    <row r="66" spans="1:3" x14ac:dyDescent="0.3">
      <c r="A66" s="120"/>
      <c r="B66" s="19"/>
      <c r="C66" s="2"/>
    </row>
    <row r="67" spans="1:3" x14ac:dyDescent="0.3">
      <c r="A67" s="120"/>
      <c r="B67" s="19"/>
      <c r="C67" s="2"/>
    </row>
    <row r="68" spans="1:3" x14ac:dyDescent="0.3">
      <c r="A68" s="120"/>
      <c r="B68" s="19"/>
      <c r="C68" s="2"/>
    </row>
    <row r="69" spans="1:3" x14ac:dyDescent="0.3">
      <c r="A69" s="120"/>
      <c r="B69" s="19"/>
      <c r="C69" s="2"/>
    </row>
    <row r="70" spans="1:3" x14ac:dyDescent="0.3">
      <c r="A70" s="120"/>
      <c r="B70" s="19"/>
      <c r="C70" s="2"/>
    </row>
    <row r="71" spans="1:3" x14ac:dyDescent="0.3">
      <c r="A71" s="120"/>
      <c r="B71" s="19"/>
      <c r="C71" s="2"/>
    </row>
    <row r="72" spans="1:3" x14ac:dyDescent="0.3">
      <c r="A72" s="120"/>
      <c r="B72" s="19"/>
      <c r="C72" s="2"/>
    </row>
    <row r="73" spans="1:3" x14ac:dyDescent="0.3">
      <c r="A73" s="120"/>
      <c r="B73" s="19"/>
      <c r="C73" s="2"/>
    </row>
    <row r="74" spans="1:3" x14ac:dyDescent="0.3">
      <c r="A74" s="120"/>
      <c r="B74" s="19"/>
      <c r="C74" s="2"/>
    </row>
    <row r="75" spans="1:3" x14ac:dyDescent="0.3">
      <c r="A75" s="120"/>
      <c r="B75" s="19"/>
      <c r="C75" s="2"/>
    </row>
    <row r="76" spans="1:3" x14ac:dyDescent="0.3">
      <c r="A76" s="120"/>
      <c r="B76" s="19"/>
      <c r="C76" s="2"/>
    </row>
    <row r="77" spans="1:3" x14ac:dyDescent="0.3">
      <c r="A77" s="120"/>
      <c r="B77" s="19"/>
      <c r="C77" s="2"/>
    </row>
    <row r="78" spans="1:3" x14ac:dyDescent="0.3">
      <c r="A78" s="120"/>
      <c r="B78" s="19"/>
      <c r="C78" s="2"/>
    </row>
    <row r="79" spans="1:3" x14ac:dyDescent="0.3">
      <c r="A79" s="120"/>
      <c r="B79" s="19"/>
      <c r="C79" s="2"/>
    </row>
    <row r="80" spans="1:3" x14ac:dyDescent="0.3">
      <c r="A80" s="120"/>
      <c r="B80" s="19"/>
      <c r="C80" s="2"/>
    </row>
    <row r="81" spans="1:3" x14ac:dyDescent="0.3">
      <c r="A81" s="120"/>
      <c r="B81" s="19"/>
      <c r="C81" s="2"/>
    </row>
    <row r="82" spans="1:3" x14ac:dyDescent="0.3">
      <c r="A82" s="120"/>
      <c r="B82" s="19"/>
      <c r="C82" s="2"/>
    </row>
    <row r="83" spans="1:3" x14ac:dyDescent="0.3">
      <c r="A83" s="120"/>
      <c r="B83" s="19"/>
      <c r="C83" s="2"/>
    </row>
    <row r="84" spans="1:3" x14ac:dyDescent="0.3">
      <c r="A84" s="120"/>
      <c r="B84" s="19"/>
      <c r="C84" s="2"/>
    </row>
    <row r="85" spans="1:3" x14ac:dyDescent="0.3">
      <c r="A85" s="120"/>
      <c r="B85" s="19"/>
      <c r="C85" s="2"/>
    </row>
    <row r="86" spans="1:3" x14ac:dyDescent="0.3">
      <c r="A86" s="120"/>
      <c r="B86" s="19"/>
      <c r="C86" s="2"/>
    </row>
    <row r="87" spans="1:3" x14ac:dyDescent="0.3">
      <c r="A87" s="120"/>
      <c r="B87" s="19"/>
      <c r="C87" s="2"/>
    </row>
    <row r="88" spans="1:3" x14ac:dyDescent="0.3">
      <c r="A88" s="120"/>
      <c r="B88" s="19"/>
      <c r="C88" s="2"/>
    </row>
    <row r="89" spans="1:3" x14ac:dyDescent="0.3">
      <c r="A89" s="120"/>
      <c r="B89" s="19"/>
      <c r="C89" s="2"/>
    </row>
    <row r="90" spans="1:3" x14ac:dyDescent="0.3">
      <c r="A90" s="120"/>
      <c r="B90" s="19"/>
      <c r="C90" s="2"/>
    </row>
    <row r="91" spans="1:3" x14ac:dyDescent="0.3">
      <c r="A91" s="120"/>
      <c r="B91" s="19"/>
      <c r="C91" s="2"/>
    </row>
    <row r="92" spans="1:3" x14ac:dyDescent="0.3">
      <c r="A92" s="120"/>
      <c r="B92" s="19"/>
      <c r="C92" s="2"/>
    </row>
    <row r="93" spans="1:3" x14ac:dyDescent="0.3">
      <c r="A93" s="120"/>
      <c r="B93" s="19"/>
      <c r="C93" s="2"/>
    </row>
    <row r="94" spans="1:3" x14ac:dyDescent="0.3">
      <c r="A94" s="120"/>
      <c r="B94" s="19"/>
      <c r="C94" s="2"/>
    </row>
    <row r="95" spans="1:3" x14ac:dyDescent="0.3">
      <c r="A95" s="120"/>
      <c r="B95" s="19"/>
      <c r="C95" s="2"/>
    </row>
    <row r="96" spans="1:3" x14ac:dyDescent="0.3">
      <c r="A96" s="120"/>
      <c r="B96" s="19"/>
      <c r="C96" s="2"/>
    </row>
    <row r="97" spans="1:3" x14ac:dyDescent="0.3">
      <c r="A97" s="120"/>
      <c r="B97" s="19"/>
      <c r="C97" s="2"/>
    </row>
    <row r="98" spans="1:3" x14ac:dyDescent="0.3">
      <c r="A98" s="120"/>
      <c r="B98" s="19"/>
      <c r="C98" s="2"/>
    </row>
    <row r="99" spans="1:3" x14ac:dyDescent="0.3">
      <c r="A99" s="120"/>
      <c r="B99" s="19"/>
      <c r="C99" s="2"/>
    </row>
    <row r="100" spans="1:3" x14ac:dyDescent="0.3">
      <c r="A100" s="120"/>
      <c r="B100" s="19"/>
      <c r="C100" s="2"/>
    </row>
  </sheetData>
  <mergeCells count="7">
    <mergeCell ref="A10:A26"/>
    <mergeCell ref="D6:H6"/>
    <mergeCell ref="D8:F8"/>
    <mergeCell ref="G2:H2"/>
    <mergeCell ref="D1:H1"/>
    <mergeCell ref="D13:H13"/>
    <mergeCell ref="D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Inicio</vt:lpstr>
      <vt:lpstr>caso de estudio 1</vt:lpstr>
      <vt:lpstr>caso de estudio 2</vt:lpstr>
      <vt:lpstr>caso de estudio 3</vt:lpstr>
      <vt:lpstr>caso de estudio 4</vt:lpstr>
      <vt:lpstr>caso de estudio 5</vt:lpstr>
      <vt:lpstr>caso de estudio 6</vt:lpstr>
      <vt:lpstr>caso de estudio 7</vt:lpstr>
      <vt:lpstr>caso de estudio 8</vt:lpstr>
      <vt:lpstr>caso de estudio 9</vt:lpstr>
      <vt:lpstr>caso de estudio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2019-04-05T14:01:07Z</dcterms:modified>
</cp:coreProperties>
</file>