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s\Programming\MinidimSharp\assets\xlsx\"/>
    </mc:Choice>
  </mc:AlternateContent>
  <bookViews>
    <workbookView xWindow="-105" yWindow="0" windowWidth="14610" windowHeight="15585"/>
  </bookViews>
  <sheets>
    <sheet name="IM. Linje" sheetId="1" r:id="rId1"/>
    <sheet name="L.relæ" sheetId="7" r:id="rId2"/>
    <sheet name="Trafo." sheetId="5" r:id="rId3"/>
    <sheet name="IM. Trafo." sheetId="12" r:id="rId4"/>
    <sheet name="KT.relæ" sheetId="10" r:id="rId5"/>
    <sheet name="SM" sheetId="8" r:id="rId6"/>
    <sheet name="Interne" sheetId="9" r:id="rId7"/>
    <sheet name="Jord" sheetId="6" r:id="rId8"/>
    <sheet name="IM. sat." sheetId="19" r:id="rId9"/>
    <sheet name="Sat." sheetId="20" r:id="rId10"/>
    <sheet name="KT.relæ sat." sheetId="17" r:id="rId11"/>
    <sheet name="SM sat" sheetId="18" r:id="rId12"/>
  </sheets>
  <externalReferences>
    <externalReference r:id="rId13"/>
    <externalReference r:id="rId14"/>
    <externalReference r:id="rId1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7" i="1" l="1"/>
  <c r="J97" i="1"/>
  <c r="B6" i="6"/>
  <c r="B4" i="6"/>
  <c r="B65" i="9"/>
  <c r="C4" i="9"/>
  <c r="B23" i="10"/>
  <c r="B28" i="10" s="1"/>
  <c r="B13" i="10"/>
  <c r="B12" i="10"/>
  <c r="B6" i="10"/>
  <c r="B7" i="10"/>
  <c r="B8" i="10"/>
  <c r="B9" i="10"/>
  <c r="B5" i="10"/>
  <c r="B100" i="7"/>
  <c r="B35" i="7"/>
  <c r="B106" i="7" s="1"/>
  <c r="C33" i="10"/>
  <c r="B29" i="10"/>
  <c r="B16" i="10"/>
  <c r="C3" i="8"/>
  <c r="C3" i="10"/>
  <c r="C16" i="10" s="1"/>
  <c r="C26" i="10" s="1"/>
  <c r="B57" i="12"/>
  <c r="B63" i="12" s="1"/>
  <c r="E65" i="12"/>
  <c r="E66" i="12" s="1"/>
  <c r="E59" i="12"/>
  <c r="E60" i="12" s="1"/>
  <c r="B69" i="12"/>
  <c r="B75" i="12" s="1"/>
  <c r="B128" i="7" l="1"/>
  <c r="B129" i="7" s="1"/>
  <c r="B107" i="7"/>
  <c r="C3" i="12"/>
  <c r="B116" i="7"/>
  <c r="B108" i="7"/>
  <c r="B37" i="7"/>
  <c r="C81" i="9"/>
  <c r="C64" i="9"/>
  <c r="B67" i="9"/>
  <c r="B68" i="9"/>
  <c r="B59" i="9"/>
  <c r="B55" i="9"/>
  <c r="B51" i="9"/>
  <c r="C16" i="9"/>
  <c r="C38" i="9" s="1"/>
  <c r="B41" i="9"/>
  <c r="B33" i="9"/>
  <c r="B29" i="9"/>
  <c r="B22" i="6"/>
  <c r="B23" i="6"/>
  <c r="B21" i="6"/>
  <c r="B20" i="6"/>
  <c r="B84" i="7"/>
  <c r="B86" i="7" s="1"/>
  <c r="B41" i="7"/>
  <c r="B39" i="7"/>
  <c r="B36" i="7"/>
  <c r="B29" i="7"/>
  <c r="B23" i="7"/>
  <c r="B28" i="7" s="1"/>
  <c r="B142" i="7"/>
  <c r="B138" i="7"/>
  <c r="B131" i="7"/>
  <c r="B109" i="7"/>
  <c r="B120" i="7"/>
  <c r="B146" i="9"/>
  <c r="B32" i="8"/>
  <c r="B40" i="7" l="1"/>
  <c r="B130" i="7"/>
  <c r="B85" i="7"/>
  <c r="B90" i="7" s="1"/>
  <c r="B91" i="7"/>
  <c r="B42" i="7"/>
  <c r="B97" i="7" s="1"/>
  <c r="B38" i="1"/>
  <c r="I37" i="1"/>
  <c r="G37" i="1"/>
  <c r="E38" i="1" s="1"/>
  <c r="B32" i="1"/>
  <c r="B31" i="1"/>
  <c r="I30" i="1"/>
  <c r="G30" i="1"/>
  <c r="E32" i="1" s="1"/>
  <c r="I29" i="1"/>
  <c r="G29" i="1"/>
  <c r="E31" i="1" s="1"/>
  <c r="B24" i="1"/>
  <c r="B23" i="1"/>
  <c r="I22" i="1"/>
  <c r="G22" i="1"/>
  <c r="E24" i="1" s="1"/>
  <c r="I21" i="1"/>
  <c r="G21" i="1"/>
  <c r="E23" i="1" s="1"/>
  <c r="B16" i="1"/>
  <c r="B15" i="1"/>
  <c r="I14" i="1"/>
  <c r="G14" i="1"/>
  <c r="E16" i="1" s="1"/>
  <c r="I13" i="1"/>
  <c r="G13" i="1"/>
  <c r="E15" i="1" s="1"/>
  <c r="B8" i="1"/>
  <c r="B7" i="1"/>
  <c r="I6" i="1"/>
  <c r="G6" i="1"/>
  <c r="E8" i="1" s="1"/>
  <c r="I5" i="1"/>
  <c r="I7" i="1" s="1"/>
  <c r="G5" i="1"/>
  <c r="E7" i="1" s="1"/>
  <c r="C14" i="5"/>
  <c r="B10" i="5"/>
  <c r="B9" i="5"/>
  <c r="B6" i="5"/>
  <c r="B34" i="10" l="1"/>
  <c r="B35" i="10" s="1"/>
  <c r="B110" i="7"/>
  <c r="I15" i="1"/>
  <c r="I23" i="1"/>
  <c r="I31" i="1"/>
  <c r="E42" i="1" a="1"/>
  <c r="E42" i="1" s="1"/>
  <c r="B42" i="1" a="1"/>
  <c r="B42" i="1" s="1"/>
  <c r="E41" i="1" a="1"/>
  <c r="E41" i="1" s="1"/>
  <c r="B41" i="1" a="1"/>
  <c r="B41" i="1" s="1"/>
  <c r="C71" i="1"/>
  <c r="B68" i="1"/>
  <c r="B60" i="1"/>
  <c r="B79" i="1" s="1"/>
  <c r="B49" i="1"/>
  <c r="C52" i="1"/>
  <c r="B89" i="1"/>
  <c r="B121" i="7" l="1"/>
  <c r="B117" i="7"/>
  <c r="C31" i="5"/>
  <c r="B17" i="8"/>
  <c r="B21" i="8" s="1"/>
  <c r="B84" i="1"/>
  <c r="B4" i="12"/>
  <c r="B41" i="12" s="1"/>
  <c r="B4" i="19"/>
  <c r="B95" i="1"/>
  <c r="B15" i="12"/>
  <c r="B51" i="12" s="1"/>
  <c r="B15" i="19"/>
  <c r="E95" i="1"/>
  <c r="E15" i="12"/>
  <c r="E51" i="12" s="1"/>
  <c r="E15" i="19"/>
  <c r="E84" i="1"/>
  <c r="E4" i="12"/>
  <c r="E41" i="12" s="1"/>
  <c r="E4" i="19"/>
  <c r="B58" i="1"/>
  <c r="B61" i="1" s="1"/>
  <c r="B53" i="1"/>
  <c r="B77" i="1"/>
  <c r="B80" i="1" s="1"/>
  <c r="B72" i="1"/>
  <c r="B45" i="8" l="1"/>
  <c r="B75" i="7"/>
  <c r="B56" i="10"/>
  <c r="B82" i="10" s="1"/>
  <c r="B78" i="18"/>
  <c r="B85" i="18"/>
  <c r="B108" i="20"/>
  <c r="B112" i="20" s="1"/>
  <c r="G82" i="20"/>
  <c r="B90" i="20" s="1"/>
  <c r="F82" i="20"/>
  <c r="B89" i="20" s="1"/>
  <c r="E82" i="20"/>
  <c r="B88" i="20" s="1"/>
  <c r="D82" i="20"/>
  <c r="B87" i="20" s="1"/>
  <c r="C82" i="20"/>
  <c r="B86" i="20" s="1"/>
  <c r="B91" i="20" s="1"/>
  <c r="B92" i="20" s="1"/>
  <c r="B82" i="20"/>
  <c r="B72" i="20"/>
  <c r="B73" i="20" s="1"/>
  <c r="B66" i="20"/>
  <c r="B67" i="20" s="1"/>
  <c r="B52" i="20"/>
  <c r="C49" i="20"/>
  <c r="C54" i="20" s="1"/>
  <c r="B42" i="20"/>
  <c r="B34" i="20"/>
  <c r="B35" i="20" s="1"/>
  <c r="C20" i="20"/>
  <c r="C15" i="20"/>
  <c r="C26" i="20" s="1"/>
  <c r="C32" i="20" s="1"/>
  <c r="C39" i="20" s="1"/>
  <c r="C44" i="20" s="1"/>
  <c r="C63" i="20" s="1"/>
  <c r="C69" i="20" s="1"/>
  <c r="B6" i="20"/>
  <c r="C17" i="20" s="1"/>
  <c r="B5" i="20"/>
  <c r="C16" i="20" s="1"/>
  <c r="B16" i="19"/>
  <c r="B5" i="19"/>
  <c r="J41" i="19"/>
  <c r="J40" i="19"/>
  <c r="C36" i="19"/>
  <c r="C47" i="19" s="1"/>
  <c r="J30" i="19"/>
  <c r="B30" i="19"/>
  <c r="B32" i="19" s="1"/>
  <c r="J29" i="19"/>
  <c r="B29" i="19"/>
  <c r="B28" i="19"/>
  <c r="B39" i="19" s="1"/>
  <c r="C3" i="19"/>
  <c r="B72" i="19"/>
  <c r="B62" i="19"/>
  <c r="B51" i="19"/>
  <c r="B50" i="19"/>
  <c r="B49" i="19"/>
  <c r="J19" i="19"/>
  <c r="J18" i="19"/>
  <c r="J8" i="19"/>
  <c r="J7" i="19"/>
  <c r="B13" i="8"/>
  <c r="B57" i="8" s="1"/>
  <c r="B12" i="8"/>
  <c r="B53" i="8" s="1"/>
  <c r="B7" i="8"/>
  <c r="B8" i="8"/>
  <c r="B9" i="8"/>
  <c r="B6" i="8"/>
  <c r="B5" i="8"/>
  <c r="B96" i="10"/>
  <c r="B92" i="10"/>
  <c r="B27" i="12"/>
  <c r="B28" i="12"/>
  <c r="B29" i="12"/>
  <c r="B8" i="12"/>
  <c r="B8" i="19" s="1"/>
  <c r="B7" i="12"/>
  <c r="B149" i="9"/>
  <c r="B154" i="9"/>
  <c r="B156" i="9"/>
  <c r="B139" i="9"/>
  <c r="B138" i="9"/>
  <c r="C135" i="9"/>
  <c r="C144" i="9" s="1"/>
  <c r="B87" i="9"/>
  <c r="B136" i="9" s="1"/>
  <c r="B75" i="9"/>
  <c r="B77" i="9" s="1"/>
  <c r="B78" i="9" s="1"/>
  <c r="C73" i="9"/>
  <c r="C16" i="8"/>
  <c r="C36" i="8" s="1"/>
  <c r="B4" i="8"/>
  <c r="C170" i="9"/>
  <c r="C38" i="10"/>
  <c r="C45" i="10" s="1"/>
  <c r="B205" i="7"/>
  <c r="B206" i="7" s="1"/>
  <c r="B207" i="7" s="1"/>
  <c r="B204" i="7"/>
  <c r="B85" i="10"/>
  <c r="B104" i="10"/>
  <c r="B74" i="8"/>
  <c r="D33" i="8"/>
  <c r="B49" i="8" s="1"/>
  <c r="B76" i="7" l="1"/>
  <c r="B7" i="19"/>
  <c r="B55" i="5"/>
  <c r="C55" i="5" s="1"/>
  <c r="D55" i="5" s="1"/>
  <c r="E55" i="5" s="1"/>
  <c r="F55" i="5" s="1"/>
  <c r="G55" i="5" s="1"/>
  <c r="C22" i="20"/>
  <c r="B41" i="19"/>
  <c r="B43" i="19" s="1"/>
  <c r="C18" i="20"/>
  <c r="B46" i="20"/>
  <c r="B55" i="20"/>
  <c r="B56" i="20"/>
  <c r="B12" i="20"/>
  <c r="C23" i="20" s="1"/>
  <c r="B40" i="19"/>
  <c r="B42" i="19" s="1"/>
  <c r="B52" i="19"/>
  <c r="B56" i="19" s="1"/>
  <c r="B74" i="19" s="1"/>
  <c r="B53" i="19"/>
  <c r="B31" i="19"/>
  <c r="K29" i="19" s="1"/>
  <c r="C59" i="19"/>
  <c r="C69" i="19" s="1"/>
  <c r="K30" i="19"/>
  <c r="L30" i="19"/>
  <c r="B10" i="8"/>
  <c r="B50" i="8" s="1"/>
  <c r="B51" i="8" s="1"/>
  <c r="B44" i="8"/>
  <c r="B46" i="9" s="1"/>
  <c r="B72" i="8"/>
  <c r="B26" i="8"/>
  <c r="C80" i="5"/>
  <c r="C85" i="5" s="1"/>
  <c r="B50" i="12"/>
  <c r="B19" i="12"/>
  <c r="B19" i="19" s="1"/>
  <c r="B18" i="12"/>
  <c r="B18" i="19" s="1"/>
  <c r="J19" i="12"/>
  <c r="J18" i="12"/>
  <c r="B6" i="12"/>
  <c r="J8" i="12"/>
  <c r="J7" i="12"/>
  <c r="B10" i="12"/>
  <c r="B10" i="19" s="1"/>
  <c r="L8" i="19" s="1"/>
  <c r="B4" i="7"/>
  <c r="B38" i="7" s="1"/>
  <c r="J99" i="1"/>
  <c r="B99" i="1"/>
  <c r="J98" i="1"/>
  <c r="B98" i="1"/>
  <c r="B96" i="1"/>
  <c r="B90" i="1"/>
  <c r="J88" i="1"/>
  <c r="J87" i="1"/>
  <c r="B65" i="17"/>
  <c r="B64" i="17"/>
  <c r="B172" i="9"/>
  <c r="B212" i="7"/>
  <c r="B66" i="7"/>
  <c r="B27" i="18"/>
  <c r="B65" i="18"/>
  <c r="B19" i="18"/>
  <c r="B20" i="18" s="1"/>
  <c r="B21" i="18" s="1"/>
  <c r="B5" i="17"/>
  <c r="B6" i="17" s="1"/>
  <c r="B7" i="17" s="1"/>
  <c r="B38" i="17" s="1"/>
  <c r="B4" i="18"/>
  <c r="B8" i="18" s="1"/>
  <c r="B11" i="18" s="1"/>
  <c r="L94" i="18"/>
  <c r="J94" i="18"/>
  <c r="K94" i="18" s="1"/>
  <c r="B67" i="18"/>
  <c r="B68" i="18" s="1"/>
  <c r="B69" i="18" s="1"/>
  <c r="B63" i="18"/>
  <c r="C60" i="18"/>
  <c r="B50" i="18"/>
  <c r="B48" i="18"/>
  <c r="B56" i="18" s="1"/>
  <c r="B57" i="18" s="1"/>
  <c r="B42" i="18"/>
  <c r="B23" i="18"/>
  <c r="C17" i="18"/>
  <c r="C31" i="18" s="1"/>
  <c r="D14" i="18"/>
  <c r="B13" i="18"/>
  <c r="B7" i="18"/>
  <c r="B84" i="17"/>
  <c r="B85" i="17" s="1"/>
  <c r="B82" i="17"/>
  <c r="B62" i="17"/>
  <c r="B25" i="17"/>
  <c r="B26" i="17" s="1"/>
  <c r="J32" i="17" s="1"/>
  <c r="B32" i="17" s="1"/>
  <c r="B22" i="17"/>
  <c r="B23" i="17" s="1"/>
  <c r="B27" i="17" s="1"/>
  <c r="J30" i="17" s="1"/>
  <c r="B30" i="17" s="1"/>
  <c r="J113" i="17"/>
  <c r="L113" i="17" s="1"/>
  <c r="B88" i="17"/>
  <c r="B80" i="17"/>
  <c r="B67" i="17"/>
  <c r="B60" i="17"/>
  <c r="C49" i="17"/>
  <c r="C77" i="17" s="1"/>
  <c r="B41" i="17"/>
  <c r="B40" i="17"/>
  <c r="B18" i="17"/>
  <c r="C15" i="17"/>
  <c r="C37" i="17" s="1"/>
  <c r="C44" i="17" s="1"/>
  <c r="J236" i="7"/>
  <c r="L236" i="7" s="1"/>
  <c r="J98" i="8"/>
  <c r="K98" i="8" s="1"/>
  <c r="C50" i="10"/>
  <c r="C72" i="10" s="1"/>
  <c r="C79" i="10"/>
  <c r="C101" i="10" s="1"/>
  <c r="J136" i="10"/>
  <c r="B112" i="10"/>
  <c r="B53" i="10"/>
  <c r="C14" i="12"/>
  <c r="B40" i="12"/>
  <c r="B39" i="8"/>
  <c r="C25" i="12" l="1"/>
  <c r="C37" i="12" s="1"/>
  <c r="C47" i="12" s="1"/>
  <c r="C14" i="19"/>
  <c r="B77" i="7"/>
  <c r="B78" i="7" s="1"/>
  <c r="B98" i="7" s="1"/>
  <c r="K40" i="19"/>
  <c r="L40" i="19"/>
  <c r="B17" i="12"/>
  <c r="B17" i="19" s="1"/>
  <c r="B4" i="10"/>
  <c r="B6" i="19"/>
  <c r="L87" i="1"/>
  <c r="K88" i="1"/>
  <c r="B94" i="18"/>
  <c r="B95" i="18" s="1"/>
  <c r="B19" i="17"/>
  <c r="B20" i="17" s="1"/>
  <c r="B28" i="17" s="1"/>
  <c r="J31" i="17" s="1"/>
  <c r="B31" i="17" s="1"/>
  <c r="L29" i="19"/>
  <c r="K8" i="19"/>
  <c r="B54" i="19"/>
  <c r="B55" i="19" s="1"/>
  <c r="E56" i="19" s="1"/>
  <c r="E64" i="19" s="1"/>
  <c r="J65" i="19" s="1"/>
  <c r="B64" i="19"/>
  <c r="K41" i="19"/>
  <c r="L41" i="19"/>
  <c r="B101" i="1"/>
  <c r="L99" i="1" s="1"/>
  <c r="B40" i="10"/>
  <c r="B54" i="10" s="1"/>
  <c r="B55" i="10" s="1"/>
  <c r="B63" i="10" s="1"/>
  <c r="B21" i="12"/>
  <c r="B20" i="12"/>
  <c r="L8" i="12"/>
  <c r="K8" i="12"/>
  <c r="B9" i="12"/>
  <c r="B9" i="19" s="1"/>
  <c r="L7" i="19" s="1"/>
  <c r="B100" i="1"/>
  <c r="L98" i="1" s="1"/>
  <c r="L88" i="1"/>
  <c r="K87" i="1"/>
  <c r="B70" i="17"/>
  <c r="B71" i="17" s="1"/>
  <c r="K51" i="18"/>
  <c r="B44" i="18"/>
  <c r="B46" i="18" s="1"/>
  <c r="B47" i="18" s="1"/>
  <c r="B53" i="18" s="1"/>
  <c r="B54" i="18" s="1"/>
  <c r="B70" i="18"/>
  <c r="J51" i="18"/>
  <c r="C26" i="18"/>
  <c r="B10" i="18"/>
  <c r="K68" i="17"/>
  <c r="B86" i="17"/>
  <c r="B63" i="17"/>
  <c r="B73" i="17" s="1"/>
  <c r="B74" i="17" s="1"/>
  <c r="J68" i="17"/>
  <c r="K113" i="17"/>
  <c r="B113" i="17" s="1"/>
  <c r="B114" i="17" s="1"/>
  <c r="B31" i="12"/>
  <c r="B30" i="12"/>
  <c r="B34" i="12" s="1"/>
  <c r="K236" i="7"/>
  <c r="B236" i="7" s="1"/>
  <c r="B237" i="7" s="1"/>
  <c r="L98" i="8"/>
  <c r="B98" i="8" s="1"/>
  <c r="B99" i="8" s="1"/>
  <c r="B160" i="7"/>
  <c r="C69" i="12" l="1"/>
  <c r="C75" i="12" s="1"/>
  <c r="C57" i="12"/>
  <c r="C63" i="12" s="1"/>
  <c r="L65" i="19"/>
  <c r="E74" i="19"/>
  <c r="J75" i="19" s="1"/>
  <c r="K75" i="19" s="1"/>
  <c r="K19" i="12"/>
  <c r="B21" i="19"/>
  <c r="L18" i="12"/>
  <c r="B20" i="19"/>
  <c r="K7" i="19"/>
  <c r="K18" i="12"/>
  <c r="B45" i="18"/>
  <c r="K65" i="19"/>
  <c r="K99" i="1"/>
  <c r="B41" i="10"/>
  <c r="B42" i="12"/>
  <c r="B52" i="12"/>
  <c r="L19" i="12"/>
  <c r="L7" i="12"/>
  <c r="K7" i="12"/>
  <c r="K98" i="1"/>
  <c r="B32" i="12"/>
  <c r="B33" i="12" s="1"/>
  <c r="E34" i="12" s="1"/>
  <c r="B51" i="18"/>
  <c r="B68" i="17"/>
  <c r="L75" i="19" l="1"/>
  <c r="L18" i="19"/>
  <c r="K18" i="19"/>
  <c r="K19" i="19"/>
  <c r="L19" i="19"/>
  <c r="E42" i="12"/>
  <c r="J43" i="12" s="1"/>
  <c r="K43" i="12" s="1"/>
  <c r="E52" i="12"/>
  <c r="J53" i="12" s="1"/>
  <c r="L53" i="12" s="1"/>
  <c r="C62" i="8"/>
  <c r="B65" i="8"/>
  <c r="L43" i="12" l="1"/>
  <c r="K53" i="12"/>
  <c r="B20" i="8"/>
  <c r="B24" i="8" l="1"/>
  <c r="B23" i="8"/>
  <c r="C26" i="5"/>
  <c r="C37" i="5" s="1"/>
  <c r="F54" i="5"/>
  <c r="G54" i="5"/>
  <c r="B62" i="5" s="1"/>
  <c r="D54" i="5"/>
  <c r="C54" i="5"/>
  <c r="B54" i="5"/>
  <c r="E54" i="5"/>
  <c r="B87" i="7"/>
  <c r="B68" i="7"/>
  <c r="B69" i="7"/>
  <c r="B89" i="7"/>
  <c r="B88" i="7"/>
  <c r="B67" i="7"/>
  <c r="B157" i="7"/>
  <c r="B184" i="7" s="1"/>
  <c r="B187" i="7"/>
  <c r="B169" i="7"/>
  <c r="B165" i="7"/>
  <c r="B196" i="7"/>
  <c r="B192" i="7"/>
  <c r="B159" i="7"/>
  <c r="B186" i="7" s="1"/>
  <c r="B158" i="7"/>
  <c r="B185" i="7" s="1"/>
  <c r="B189" i="7" l="1"/>
  <c r="B190" i="7" s="1"/>
  <c r="B60" i="5"/>
  <c r="C42" i="5"/>
  <c r="B70" i="7"/>
  <c r="B61" i="5"/>
  <c r="B59" i="5"/>
  <c r="B58" i="5"/>
  <c r="B162" i="7"/>
  <c r="C70" i="5" l="1"/>
  <c r="C75" i="5" s="1"/>
  <c r="B63" i="5"/>
  <c r="B64" i="5" s="1"/>
  <c r="C94" i="5" l="1"/>
  <c r="C100" i="5" s="1"/>
  <c r="L136" i="10"/>
  <c r="J10" i="6"/>
  <c r="B175" i="7"/>
  <c r="B163" i="7"/>
  <c r="B76" i="10"/>
  <c r="B75" i="10"/>
  <c r="B86" i="10" l="1"/>
  <c r="B23" i="9"/>
  <c r="B22" i="9"/>
  <c r="K90" i="10"/>
  <c r="K136" i="10"/>
  <c r="B136" i="10" s="1"/>
  <c r="B137" i="10" s="1"/>
  <c r="B10" i="7"/>
  <c r="B12" i="6"/>
  <c r="B24" i="6" s="1"/>
  <c r="B26" i="6" s="1"/>
  <c r="K10" i="6"/>
  <c r="B17" i="7" l="1"/>
  <c r="B19" i="7" s="1"/>
  <c r="B27" i="7" s="1"/>
  <c r="B30" i="7" s="1"/>
  <c r="B46" i="7" s="1"/>
  <c r="B10" i="10"/>
  <c r="B89" i="10" s="1"/>
  <c r="B52" i="7"/>
  <c r="B53" i="7" s="1"/>
  <c r="B135" i="7"/>
  <c r="B113" i="7"/>
  <c r="B47" i="7"/>
  <c r="B59" i="7"/>
  <c r="B96" i="7" s="1"/>
  <c r="B148" i="7" s="1"/>
  <c r="L10" i="6"/>
  <c r="B10" i="6" s="1"/>
  <c r="E48" i="7" l="1"/>
  <c r="B61" i="7"/>
  <c r="B60" i="7"/>
  <c r="J17" i="19"/>
  <c r="J6" i="19"/>
  <c r="B17" i="5"/>
  <c r="C28" i="5" s="1"/>
  <c r="B16" i="5"/>
  <c r="C27" i="5" s="1"/>
  <c r="C29" i="5" s="1"/>
  <c r="B177" i="9"/>
  <c r="B118" i="7" l="1"/>
  <c r="B122" i="7"/>
  <c r="B73" i="8"/>
  <c r="B161" i="7"/>
  <c r="B211" i="7"/>
  <c r="B220" i="7" s="1"/>
  <c r="B46" i="10"/>
  <c r="B47" i="10" s="1"/>
  <c r="B74" i="10" s="1"/>
  <c r="B11" i="17"/>
  <c r="B12" i="17" s="1"/>
  <c r="B39" i="17" s="1"/>
  <c r="B89" i="17" s="1"/>
  <c r="B104" i="17" s="1"/>
  <c r="C33" i="5"/>
  <c r="B17" i="10" s="1"/>
  <c r="B19" i="10" s="1"/>
  <c r="B27" i="10" s="1"/>
  <c r="B30" i="10" s="1"/>
  <c r="B23" i="5"/>
  <c r="L97" i="1"/>
  <c r="L100" i="1" s="1"/>
  <c r="J17" i="12"/>
  <c r="J86" i="1"/>
  <c r="K86" i="1" s="1"/>
  <c r="K89" i="1" s="1"/>
  <c r="J6" i="12"/>
  <c r="B42" i="10"/>
  <c r="B92" i="7"/>
  <c r="B99" i="7" s="1"/>
  <c r="B132" i="7" s="1"/>
  <c r="B178" i="9"/>
  <c r="B10" i="9"/>
  <c r="B231" i="9"/>
  <c r="B226" i="9"/>
  <c r="E229" i="9" s="1"/>
  <c r="B230" i="9" s="1"/>
  <c r="K224" i="9"/>
  <c r="B229" i="9" s="1"/>
  <c r="J224" i="9"/>
  <c r="L224" i="9" s="1"/>
  <c r="B224" i="9"/>
  <c r="F196" i="9"/>
  <c r="F210" i="9"/>
  <c r="F200" i="9"/>
  <c r="B217" i="9"/>
  <c r="B215" i="9"/>
  <c r="B214" i="9"/>
  <c r="B213" i="9"/>
  <c r="B206" i="9"/>
  <c r="B207" i="9" s="1"/>
  <c r="B193" i="9"/>
  <c r="B197" i="9" s="1"/>
  <c r="B174" i="9"/>
  <c r="B173" i="9"/>
  <c r="B139" i="5"/>
  <c r="B143" i="5" s="1"/>
  <c r="B8" i="6"/>
  <c r="B139" i="7" l="1"/>
  <c r="B140" i="7" s="1"/>
  <c r="B143" i="7"/>
  <c r="B144" i="7" s="1"/>
  <c r="B52" i="9"/>
  <c r="B53" i="9" s="1"/>
  <c r="B26" i="9"/>
  <c r="K6" i="12"/>
  <c r="K9" i="12" s="1"/>
  <c r="B38" i="5"/>
  <c r="B5" i="9"/>
  <c r="B66" i="9" s="1"/>
  <c r="B69" i="9" s="1"/>
  <c r="C34" i="5"/>
  <c r="B82" i="9" s="1"/>
  <c r="B137" i="9" s="1"/>
  <c r="B140" i="9" s="1"/>
  <c r="B166" i="7"/>
  <c r="E167" i="7" s="1"/>
  <c r="B170" i="7"/>
  <c r="E171" i="7" s="1"/>
  <c r="K17" i="12"/>
  <c r="K20" i="12" s="1"/>
  <c r="L86" i="1"/>
  <c r="L89" i="1" s="1"/>
  <c r="B91" i="1" s="1"/>
  <c r="L6" i="12"/>
  <c r="L9" i="12" s="1"/>
  <c r="L17" i="12"/>
  <c r="L20" i="12" s="1"/>
  <c r="K6" i="19"/>
  <c r="K9" i="19" s="1"/>
  <c r="L6" i="19"/>
  <c r="L9" i="19" s="1"/>
  <c r="K17" i="19"/>
  <c r="K20" i="19" s="1"/>
  <c r="L17" i="19"/>
  <c r="L20" i="19" s="1"/>
  <c r="B188" i="7"/>
  <c r="B197" i="7" s="1"/>
  <c r="E198" i="7" s="1"/>
  <c r="B87" i="17"/>
  <c r="B97" i="17" s="1"/>
  <c r="K97" i="1"/>
  <c r="K100" i="1" s="1"/>
  <c r="B102" i="1" s="1"/>
  <c r="B150" i="7" s="1"/>
  <c r="B177" i="7" s="1"/>
  <c r="B45" i="17"/>
  <c r="B73" i="10"/>
  <c r="J66" i="10"/>
  <c r="B183" i="9"/>
  <c r="B218" i="9"/>
  <c r="B219" i="9" s="1"/>
  <c r="M224" i="9"/>
  <c r="N224" i="9" s="1"/>
  <c r="B227" i="9" s="1"/>
  <c r="B228" i="9"/>
  <c r="B13" i="6"/>
  <c r="B14" i="6" s="1"/>
  <c r="B15" i="6" s="1"/>
  <c r="B16" i="6" s="1"/>
  <c r="B88" i="10" l="1"/>
  <c r="B90" i="10" s="1"/>
  <c r="B25" i="9"/>
  <c r="B27" i="9" s="1"/>
  <c r="B70" i="9"/>
  <c r="E11" i="12"/>
  <c r="J42" i="12" s="1"/>
  <c r="E91" i="1"/>
  <c r="B141" i="9"/>
  <c r="B22" i="12"/>
  <c r="B11" i="12"/>
  <c r="E22" i="12"/>
  <c r="J52" i="12" s="1"/>
  <c r="E22" i="19"/>
  <c r="B22" i="19"/>
  <c r="B193" i="7"/>
  <c r="E194" i="7" s="1"/>
  <c r="B11" i="19"/>
  <c r="B26" i="19" s="1"/>
  <c r="E11" i="19"/>
  <c r="E102" i="1"/>
  <c r="B151" i="7"/>
  <c r="B152" i="7" s="1"/>
  <c r="J153" i="7" s="1"/>
  <c r="D153" i="7" s="1"/>
  <c r="B178" i="7"/>
  <c r="B179" i="7" s="1"/>
  <c r="J180" i="7" s="1"/>
  <c r="D180" i="7" s="1"/>
  <c r="B19" i="9" l="1"/>
  <c r="B20" i="9" s="1"/>
  <c r="B47" i="9"/>
  <c r="B48" i="9" s="1"/>
  <c r="B49" i="9" s="1"/>
  <c r="B60" i="9" s="1"/>
  <c r="B61" i="9" s="1"/>
  <c r="B66" i="8"/>
  <c r="B67" i="8" s="1"/>
  <c r="B82" i="8" s="1"/>
  <c r="B105" i="10"/>
  <c r="B106" i="10" s="1"/>
  <c r="B120" i="10" s="1"/>
  <c r="B46" i="8"/>
  <c r="B47" i="8" s="1"/>
  <c r="B58" i="8" s="1"/>
  <c r="B59" i="8" s="1"/>
  <c r="L52" i="12"/>
  <c r="L54" i="12" s="1"/>
  <c r="B57" i="10"/>
  <c r="B58" i="10" s="1"/>
  <c r="B62" i="10" s="1"/>
  <c r="J65" i="10" s="1"/>
  <c r="B65" i="10" s="1"/>
  <c r="B83" i="10"/>
  <c r="B93" i="10" s="1"/>
  <c r="B94" i="10" s="1"/>
  <c r="B37" i="19"/>
  <c r="B63" i="19"/>
  <c r="B73" i="19"/>
  <c r="E63" i="19"/>
  <c r="J64" i="19" s="1"/>
  <c r="E26" i="19"/>
  <c r="J28" i="19" s="1"/>
  <c r="L28" i="19" s="1"/>
  <c r="L31" i="19" s="1"/>
  <c r="E73" i="19"/>
  <c r="J74" i="19" s="1"/>
  <c r="E37" i="19"/>
  <c r="J39" i="19" s="1"/>
  <c r="L42" i="12"/>
  <c r="L44" i="12" s="1"/>
  <c r="K42" i="12"/>
  <c r="K44" i="12" s="1"/>
  <c r="B180" i="9"/>
  <c r="B181" i="9" s="1"/>
  <c r="B30" i="9" l="1"/>
  <c r="B31" i="9" s="1"/>
  <c r="B21" i="9"/>
  <c r="B34" i="9" s="1"/>
  <c r="B35" i="9" s="1"/>
  <c r="B84" i="10"/>
  <c r="B97" i="10" s="1"/>
  <c r="B98" i="10" s="1"/>
  <c r="K52" i="12"/>
  <c r="K54" i="12" s="1"/>
  <c r="E53" i="12" s="1"/>
  <c r="K39" i="19"/>
  <c r="K42" i="19" s="1"/>
  <c r="L74" i="19"/>
  <c r="L76" i="19" s="1"/>
  <c r="K74" i="19"/>
  <c r="K76" i="19" s="1"/>
  <c r="L64" i="19"/>
  <c r="L66" i="19" s="1"/>
  <c r="K64" i="19"/>
  <c r="K66" i="19" s="1"/>
  <c r="L39" i="19"/>
  <c r="L42" i="19" s="1"/>
  <c r="K28" i="19"/>
  <c r="K31" i="19" s="1"/>
  <c r="B43" i="12"/>
  <c r="E43" i="12"/>
  <c r="B188" i="9"/>
  <c r="B184" i="9"/>
  <c r="B44" i="12" l="1"/>
  <c r="B71" i="12" s="1"/>
  <c r="B72" i="12" s="1"/>
  <c r="B59" i="12"/>
  <c r="B60" i="12" s="1"/>
  <c r="B53" i="12"/>
  <c r="E44" i="19"/>
  <c r="B65" i="19"/>
  <c r="B66" i="19" s="1"/>
  <c r="E65" i="19"/>
  <c r="B75" i="19"/>
  <c r="B76" i="19" s="1"/>
  <c r="E75" i="19"/>
  <c r="E33" i="19"/>
  <c r="B33" i="19"/>
  <c r="B44" i="19"/>
  <c r="B66" i="10"/>
  <c r="B72" i="5" l="1"/>
  <c r="B73" i="5" s="1"/>
  <c r="B77" i="5" s="1"/>
  <c r="B96" i="5"/>
  <c r="B97" i="5" s="1"/>
  <c r="B98" i="5" s="1"/>
  <c r="B54" i="12"/>
  <c r="B77" i="12" s="1"/>
  <c r="B78" i="12" s="1"/>
  <c r="B65" i="12"/>
  <c r="B66" i="12" s="1"/>
  <c r="B68" i="8"/>
  <c r="B69" i="8" s="1"/>
  <c r="B70" i="8" s="1"/>
  <c r="B107" i="10"/>
  <c r="B108" i="10" s="1"/>
  <c r="B109" i="10" s="1"/>
  <c r="B127" i="10" s="1"/>
  <c r="B40" i="8" l="1"/>
  <c r="B41" i="8" s="1"/>
  <c r="B42" i="8" s="1"/>
  <c r="B43" i="8" s="1"/>
  <c r="B54" i="8" s="1"/>
  <c r="B55" i="8" s="1"/>
  <c r="B102" i="5"/>
  <c r="B103" i="5" s="1"/>
  <c r="B104" i="5" s="1"/>
  <c r="B82" i="5"/>
  <c r="B83" i="5" s="1"/>
  <c r="B86" i="5" s="1"/>
  <c r="B76" i="5"/>
  <c r="B150" i="9"/>
  <c r="B151" i="9" s="1"/>
  <c r="B152" i="9" s="1"/>
  <c r="B153" i="9" s="1"/>
  <c r="B42" i="9"/>
  <c r="B43" i="9" s="1"/>
  <c r="B44" i="9" s="1"/>
  <c r="B45" i="9" s="1"/>
  <c r="B56" i="9" s="1"/>
  <c r="B57" i="9" s="1"/>
  <c r="B208" i="7"/>
  <c r="B209" i="7" s="1"/>
  <c r="B210" i="7" s="1"/>
  <c r="B27" i="8"/>
  <c r="B28" i="8" s="1"/>
  <c r="B29" i="8" s="1"/>
  <c r="B30" i="8" s="1"/>
  <c r="B59" i="10"/>
  <c r="B60" i="10" s="1"/>
  <c r="B61" i="10" s="1"/>
  <c r="J67" i="10" s="1"/>
  <c r="B67" i="10" s="1"/>
  <c r="B89" i="8"/>
  <c r="B71" i="8"/>
  <c r="B110" i="10"/>
  <c r="B227" i="7" l="1"/>
  <c r="B87" i="5"/>
  <c r="B157" i="9"/>
  <c r="B158" i="9" s="1"/>
  <c r="B112" i="7"/>
  <c r="B114" i="7" s="1"/>
  <c r="B134" i="7"/>
  <c r="B136" i="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<sst xmlns="http://schemas.openxmlformats.org/spreadsheetml/2006/main" count="2257" uniqueCount="521">
  <si>
    <t>Data</t>
  </si>
  <si>
    <t>R/X</t>
  </si>
  <si>
    <t>°</t>
  </si>
  <si>
    <t>n</t>
  </si>
  <si>
    <t xml:space="preserve">cos φ </t>
  </si>
  <si>
    <t>Ω</t>
  </si>
  <si>
    <t>∠</t>
  </si>
  <si>
    <t>kVA</t>
  </si>
  <si>
    <t>kV</t>
  </si>
  <si>
    <t>MVA</t>
  </si>
  <si>
    <r>
      <t>cos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=∠φ</t>
    </r>
  </si>
  <si>
    <t xml:space="preserve">tan=φ∠ </t>
  </si>
  <si>
    <t>r</t>
  </si>
  <si>
    <t>Ω/km</t>
  </si>
  <si>
    <t>x</t>
  </si>
  <si>
    <t>L</t>
  </si>
  <si>
    <t>km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</si>
  <si>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</si>
  <si>
    <t>A</t>
  </si>
  <si>
    <t>Valg af transformer</t>
  </si>
  <si>
    <r>
      <t>U</t>
    </r>
    <r>
      <rPr>
        <vertAlign val="subscript"/>
        <sz val="11"/>
        <color theme="1"/>
        <rFont val="Calibri"/>
        <family val="2"/>
        <scheme val="minor"/>
      </rPr>
      <t>N1</t>
    </r>
  </si>
  <si>
    <r>
      <t>U</t>
    </r>
    <r>
      <rPr>
        <vertAlign val="subscript"/>
        <sz val="11"/>
        <color theme="1"/>
        <rFont val="Calibri"/>
        <family val="2"/>
        <scheme val="minor"/>
      </rPr>
      <t>N2</t>
    </r>
  </si>
  <si>
    <r>
      <t>e</t>
    </r>
    <r>
      <rPr>
        <vertAlign val="subscript"/>
        <sz val="11"/>
        <color theme="1"/>
        <rFont val="Calibri"/>
        <family val="2"/>
        <scheme val="minor"/>
      </rPr>
      <t>k</t>
    </r>
  </si>
  <si>
    <t>%</t>
  </si>
  <si>
    <r>
      <t>e</t>
    </r>
    <r>
      <rPr>
        <vertAlign val="subscript"/>
        <sz val="11"/>
        <color theme="1"/>
        <rFont val="Calibri"/>
        <family val="2"/>
        <scheme val="minor"/>
      </rPr>
      <t>r</t>
    </r>
  </si>
  <si>
    <r>
      <t>P</t>
    </r>
    <r>
      <rPr>
        <vertAlign val="subscript"/>
        <sz val="11"/>
        <color theme="1"/>
        <rFont val="Calibri"/>
        <family val="2"/>
        <scheme val="minor"/>
      </rPr>
      <t>cu1/1</t>
    </r>
  </si>
  <si>
    <t>W</t>
  </si>
  <si>
    <r>
      <t>I</t>
    </r>
    <r>
      <rPr>
        <vertAlign val="subscript"/>
        <sz val="11"/>
        <color theme="1"/>
        <rFont val="Calibri"/>
        <family val="2"/>
        <scheme val="minor"/>
      </rPr>
      <t>cu1/1</t>
    </r>
  </si>
  <si>
    <r>
      <t>S</t>
    </r>
    <r>
      <rPr>
        <vertAlign val="subscript"/>
        <sz val="11"/>
        <color theme="1"/>
        <rFont val="Calibri"/>
        <family val="2"/>
        <scheme val="minor"/>
      </rPr>
      <t xml:space="preserve">N </t>
    </r>
    <r>
      <rPr>
        <sz val="11"/>
        <color theme="1"/>
        <rFont val="Calibri"/>
        <family val="2"/>
        <scheme val="minor"/>
      </rPr>
      <t>oprundet til nærmeste</t>
    </r>
  </si>
  <si>
    <t xml:space="preserve">Transformer data </t>
  </si>
  <si>
    <r>
      <t>e</t>
    </r>
    <r>
      <rPr>
        <vertAlign val="subscript"/>
        <sz val="11"/>
        <color theme="1"/>
        <rFont val="Calibri"/>
        <family val="2"/>
        <scheme val="minor"/>
      </rPr>
      <t>x</t>
    </r>
  </si>
  <si>
    <t>Valg af kabel</t>
  </si>
  <si>
    <r>
      <t>I</t>
    </r>
    <r>
      <rPr>
        <vertAlign val="subscript"/>
        <sz val="11"/>
        <color theme="1"/>
        <rFont val="Calibri"/>
        <family val="2"/>
        <scheme val="minor"/>
      </rPr>
      <t>K3Fmax0,4kV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Tmin0,4kV</t>
    </r>
  </si>
  <si>
    <t>I&gt;</t>
  </si>
  <si>
    <t>t&gt;</t>
  </si>
  <si>
    <t>Kabel type</t>
  </si>
  <si>
    <r>
      <t>t</t>
    </r>
    <r>
      <rPr>
        <vertAlign val="subscript"/>
        <sz val="11"/>
        <color theme="1"/>
        <rFont val="Calibri"/>
        <family val="2"/>
        <scheme val="minor"/>
      </rPr>
      <t>e</t>
    </r>
  </si>
  <si>
    <t>s</t>
  </si>
  <si>
    <r>
      <t>t&gt;</t>
    </r>
    <r>
      <rPr>
        <vertAlign val="subscript"/>
        <sz val="11"/>
        <color theme="1"/>
        <rFont val="Calibri"/>
        <family val="2"/>
        <scheme val="minor"/>
      </rPr>
      <t>linje</t>
    </r>
  </si>
  <si>
    <t>I&gt;&gt;</t>
  </si>
  <si>
    <t>t&gt;&gt;</t>
  </si>
  <si>
    <t>Smeltesikring (SIBA)</t>
  </si>
  <si>
    <r>
      <t>n=U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/U</t>
    </r>
    <r>
      <rPr>
        <vertAlign val="subscript"/>
        <sz val="11"/>
        <color theme="1"/>
        <rFont val="Calibri"/>
        <family val="2"/>
        <scheme val="minor"/>
      </rPr>
      <t>N2</t>
    </r>
  </si>
  <si>
    <t>Overbelastning %</t>
  </si>
  <si>
    <t>Brydning på sekundær siden</t>
  </si>
  <si>
    <t>Oprundet</t>
  </si>
  <si>
    <t>SIBA</t>
  </si>
  <si>
    <r>
      <t>t ved I</t>
    </r>
    <r>
      <rPr>
        <vertAlign val="subscript"/>
        <sz val="11"/>
        <color theme="1"/>
        <rFont val="Calibri"/>
        <family val="2"/>
        <scheme val="minor"/>
      </rPr>
      <t>start</t>
    </r>
  </si>
  <si>
    <t>t &gt; 0,1 s</t>
  </si>
  <si>
    <t xml:space="preserve">Aflæses </t>
  </si>
  <si>
    <t>Aflæses</t>
  </si>
  <si>
    <t>K</t>
  </si>
  <si>
    <t>β</t>
  </si>
  <si>
    <r>
      <t>mm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</si>
  <si>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A*</t>
    </r>
    <r>
      <rPr>
        <sz val="11"/>
        <color theme="1"/>
        <rFont val="Calibri"/>
        <family val="2"/>
      </rPr>
      <t>√s/mm</t>
    </r>
    <r>
      <rPr>
        <vertAlign val="superscript"/>
        <sz val="11"/>
        <color theme="1"/>
        <rFont val="Calibri"/>
        <family val="2"/>
      </rPr>
      <t>2</t>
    </r>
  </si>
  <si>
    <t>C°</t>
  </si>
  <si>
    <r>
      <t>S</t>
    </r>
    <r>
      <rPr>
        <vertAlign val="subscript"/>
        <sz val="11"/>
        <color theme="1"/>
        <rFont val="Calibri"/>
        <family val="2"/>
        <scheme val="minor"/>
      </rPr>
      <t>kmin4,0kV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k3Fmin4,0kV</t>
    </r>
  </si>
  <si>
    <t>Driftjord</t>
  </si>
  <si>
    <t>Jord ved konstantstidsrelæ</t>
  </si>
  <si>
    <t xml:space="preserve">Jord ved sikring </t>
  </si>
  <si>
    <t>Beskyttelses jord</t>
  </si>
  <si>
    <t xml:space="preserve">Vælg den støste </t>
  </si>
  <si>
    <r>
      <t>t</t>
    </r>
    <r>
      <rPr>
        <vertAlign val="subscript"/>
        <sz val="11"/>
        <rFont val="Calibri"/>
        <family val="2"/>
        <scheme val="minor"/>
      </rPr>
      <t>e</t>
    </r>
  </si>
  <si>
    <r>
      <t>Θ</t>
    </r>
    <r>
      <rPr>
        <vertAlign val="subscript"/>
        <sz val="11"/>
        <rFont val="Calibri"/>
        <family val="2"/>
        <scheme val="minor"/>
      </rPr>
      <t>start</t>
    </r>
  </si>
  <si>
    <r>
      <t>Θ</t>
    </r>
    <r>
      <rPr>
        <vertAlign val="subscript"/>
        <sz val="11"/>
        <rFont val="Calibri"/>
        <family val="2"/>
        <scheme val="minor"/>
      </rPr>
      <t>slut</t>
    </r>
  </si>
  <si>
    <t>Overgangsmodstand i jord</t>
  </si>
  <si>
    <t xml:space="preserve">Kabel type </t>
  </si>
  <si>
    <t xml:space="preserve">μF pr. km. </t>
  </si>
  <si>
    <t>μF</t>
  </si>
  <si>
    <t>f</t>
  </si>
  <si>
    <t>Hz</t>
  </si>
  <si>
    <t>Ω</t>
  </si>
  <si>
    <t>V</t>
  </si>
  <si>
    <r>
      <t>R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=U</t>
    </r>
    <r>
      <rPr>
        <vertAlign val="subscript"/>
        <sz val="11"/>
        <color theme="1"/>
        <rFont val="Calibri"/>
        <family val="2"/>
      </rPr>
      <t>TP</t>
    </r>
    <r>
      <rPr>
        <sz val="11"/>
        <color theme="1"/>
        <rFont val="Calibri"/>
        <family val="2"/>
      </rPr>
      <t>/I</t>
    </r>
    <r>
      <rPr>
        <vertAlign val="subscript"/>
        <sz val="11"/>
        <color theme="1"/>
        <rFont val="Calibri"/>
        <family val="2"/>
      </rPr>
      <t>j</t>
    </r>
  </si>
  <si>
    <t>Slukkespole</t>
  </si>
  <si>
    <t>c</t>
  </si>
  <si>
    <t>∑C=c*L</t>
  </si>
  <si>
    <r>
      <t>X</t>
    </r>
    <r>
      <rPr>
        <vertAlign val="subscript"/>
        <sz val="11"/>
        <color theme="1"/>
        <rFont val="Calibri"/>
        <family val="2"/>
      </rPr>
      <t>C</t>
    </r>
    <r>
      <rPr>
        <sz val="11"/>
        <color theme="1"/>
        <rFont val="Calibri"/>
        <family val="2"/>
      </rPr>
      <t>=10</t>
    </r>
    <r>
      <rPr>
        <vertAlign val="superscript"/>
        <sz val="11"/>
        <color theme="1"/>
        <rFont val="Calibri"/>
        <family val="2"/>
      </rPr>
      <t>6</t>
    </r>
    <r>
      <rPr>
        <sz val="11"/>
        <color theme="1"/>
        <rFont val="Calibri"/>
        <family val="2"/>
      </rPr>
      <t>/(2*∏*f*∑C)</t>
    </r>
  </si>
  <si>
    <r>
      <t>I</t>
    </r>
    <r>
      <rPr>
        <vertAlign val="subscript"/>
        <sz val="11"/>
        <color theme="1"/>
        <rFont val="Calibri"/>
        <family val="2"/>
      </rPr>
      <t>C</t>
    </r>
    <r>
      <rPr>
        <sz val="11"/>
        <color theme="1"/>
        <rFont val="Calibri"/>
        <family val="2"/>
      </rPr>
      <t>=U</t>
    </r>
    <r>
      <rPr>
        <vertAlign val="subscript"/>
        <sz val="11"/>
        <color theme="1"/>
        <rFont val="Calibri"/>
        <family val="2"/>
      </rPr>
      <t>N1</t>
    </r>
    <r>
      <rPr>
        <sz val="11"/>
        <color theme="1"/>
        <rFont val="Calibri"/>
        <family val="2"/>
      </rPr>
      <t>/(√3*X</t>
    </r>
    <r>
      <rPr>
        <vertAlign val="subscript"/>
        <sz val="11"/>
        <color theme="1"/>
        <rFont val="Calibri"/>
        <family val="2"/>
      </rPr>
      <t>C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</si>
  <si>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</rPr>
      <t>j</t>
    </r>
    <r>
      <rPr>
        <sz val="11"/>
        <color theme="1"/>
        <rFont val="Calibri"/>
        <family val="2"/>
      </rPr>
      <t>=3*I</t>
    </r>
    <r>
      <rPr>
        <vertAlign val="subscript"/>
        <sz val="11"/>
        <color theme="1"/>
        <rFont val="Calibri"/>
        <family val="2"/>
      </rPr>
      <t>C</t>
    </r>
  </si>
  <si>
    <r>
      <t>L=1/((2*</t>
    </r>
    <r>
      <rPr>
        <sz val="11"/>
        <color theme="1"/>
        <rFont val="Calibri"/>
        <family val="2"/>
      </rPr>
      <t>∏*f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)*∑C*3)</t>
    </r>
  </si>
  <si>
    <t>H</t>
  </si>
  <si>
    <t>kA</t>
  </si>
  <si>
    <r>
      <t>t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</si>
  <si>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k1Sleder</t>
    </r>
  </si>
  <si>
    <r>
      <t>I</t>
    </r>
    <r>
      <rPr>
        <vertAlign val="subscript"/>
        <sz val="11"/>
        <color theme="1"/>
        <rFont val="Calibri"/>
        <family val="2"/>
        <scheme val="minor"/>
      </rPr>
      <t>k1Sskærm</t>
    </r>
  </si>
  <si>
    <t>Tjek for OB</t>
  </si>
  <si>
    <t>Tjek for KB Leder</t>
  </si>
  <si>
    <t>Tjek for KB skærm</t>
  </si>
  <si>
    <r>
      <t>I</t>
    </r>
    <r>
      <rPr>
        <vertAlign val="subscript"/>
        <sz val="11"/>
        <color theme="1"/>
        <rFont val="Calibri"/>
        <family val="2"/>
        <scheme val="minor"/>
      </rPr>
      <t>bTrafo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</si>
  <si>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zkabel </t>
    </r>
  </si>
  <si>
    <r>
      <t>K</t>
    </r>
    <r>
      <rPr>
        <vertAlign val="subscript"/>
        <sz val="11"/>
        <color theme="1"/>
        <rFont val="Calibri"/>
        <family val="2"/>
        <scheme val="minor"/>
      </rPr>
      <t>T</t>
    </r>
  </si>
  <si>
    <r>
      <t>K</t>
    </r>
    <r>
      <rPr>
        <vertAlign val="subscript"/>
        <sz val="11"/>
        <color theme="1"/>
        <rFont val="Calibri"/>
        <family val="2"/>
        <scheme val="minor"/>
      </rPr>
      <t>s</t>
    </r>
  </si>
  <si>
    <t xml:space="preserve">Vælg selv </t>
  </si>
  <si>
    <r>
      <t>I</t>
    </r>
    <r>
      <rPr>
        <vertAlign val="subscript"/>
        <sz val="11"/>
        <color theme="1"/>
        <rFont val="Calibri"/>
        <family val="2"/>
        <scheme val="minor"/>
      </rPr>
      <t>zkabel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</si>
  <si>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t>Vælg selv kabel. SE HVAD DER STÅR I OPGAVEN</t>
  </si>
  <si>
    <t>Se side 291 i bog 5</t>
  </si>
  <si>
    <t>Skærm</t>
  </si>
  <si>
    <t>Leder</t>
  </si>
  <si>
    <t>Beregning af overgangsmodstand/jordstrømsfejl</t>
  </si>
  <si>
    <t xml:space="preserve">Valg af strømtransformer </t>
  </si>
  <si>
    <t>S</t>
  </si>
  <si>
    <r>
      <t>t&gt;</t>
    </r>
    <r>
      <rPr>
        <vertAlign val="subscript"/>
        <sz val="11"/>
        <color theme="1"/>
        <rFont val="Calibri"/>
        <family val="2"/>
        <scheme val="minor"/>
      </rPr>
      <t>max</t>
    </r>
  </si>
  <si>
    <t>T2</t>
  </si>
  <si>
    <t>Belastning</t>
  </si>
  <si>
    <r>
      <t>S</t>
    </r>
    <r>
      <rPr>
        <vertAlign val="subscript"/>
        <sz val="11"/>
        <color theme="1"/>
        <rFont val="Calibri"/>
        <family val="2"/>
        <scheme val="minor"/>
      </rPr>
      <t>N%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*Belastning</t>
    </r>
  </si>
  <si>
    <t>Belastningsligning</t>
  </si>
  <si>
    <t xml:space="preserve">Beregninger </t>
  </si>
  <si>
    <r>
      <t>I</t>
    </r>
    <r>
      <rPr>
        <vertAlign val="subscript"/>
        <sz val="11"/>
        <color theme="1"/>
        <rFont val="Calibri"/>
        <family val="2"/>
        <scheme val="minor"/>
      </rPr>
      <t>z</t>
    </r>
  </si>
  <si>
    <t>Tjek af OB</t>
  </si>
  <si>
    <r>
      <t>I</t>
    </r>
    <r>
      <rPr>
        <vertAlign val="subscript"/>
        <sz val="11"/>
        <color theme="1"/>
        <rFont val="Calibri"/>
        <family val="2"/>
        <scheme val="minor"/>
      </rPr>
      <t>zhøj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b</t>
    </r>
    <r>
      <rPr>
        <vertAlign val="subscript"/>
        <sz val="11"/>
        <color theme="1"/>
        <rFont val="Calibri"/>
        <family val="2"/>
        <scheme val="minor"/>
      </rPr>
      <t>Trafo</t>
    </r>
  </si>
  <si>
    <t>Tjek af KB</t>
  </si>
  <si>
    <r>
      <t>I</t>
    </r>
    <r>
      <rPr>
        <vertAlign val="subscript"/>
        <sz val="11"/>
        <color theme="1"/>
        <rFont val="Calibri"/>
        <family val="2"/>
        <scheme val="minor"/>
      </rPr>
      <t>k1sleder</t>
    </r>
  </si>
  <si>
    <r>
      <t>I</t>
    </r>
    <r>
      <rPr>
        <vertAlign val="subscript"/>
        <sz val="11"/>
        <color theme="1"/>
        <rFont val="Calibri"/>
        <family val="2"/>
        <scheme val="minor"/>
      </rPr>
      <t>k1sSkærm</t>
    </r>
  </si>
  <si>
    <r>
      <t>K</t>
    </r>
    <r>
      <rPr>
        <vertAlign val="subscript"/>
        <sz val="12"/>
        <color theme="1"/>
        <rFont val="Calibri"/>
        <family val="2"/>
        <scheme val="minor"/>
      </rPr>
      <t>bLeder</t>
    </r>
  </si>
  <si>
    <r>
      <t>K</t>
    </r>
    <r>
      <rPr>
        <vertAlign val="subscript"/>
        <sz val="12"/>
        <color theme="1"/>
        <rFont val="Calibri"/>
        <family val="2"/>
        <scheme val="minor"/>
      </rPr>
      <t>bSkærm</t>
    </r>
  </si>
  <si>
    <r>
      <t>I</t>
    </r>
    <r>
      <rPr>
        <vertAlign val="subscript"/>
        <sz val="11"/>
        <color theme="1"/>
        <rFont val="Calibri"/>
        <family val="2"/>
        <scheme val="minor"/>
      </rPr>
      <t>bTrafo0,4kV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bTrafo10kV</t>
    </r>
    <r>
      <rPr>
        <sz val="11"/>
        <color theme="1"/>
        <rFont val="Calibri"/>
        <family val="2"/>
        <scheme val="minor"/>
      </rPr>
      <t>*n</t>
    </r>
  </si>
  <si>
    <t>Dim af interne kabler ved relæ</t>
  </si>
  <si>
    <r>
      <t>I</t>
    </r>
    <r>
      <rPr>
        <vertAlign val="subscript"/>
        <sz val="11"/>
        <color theme="1"/>
        <rFont val="Calibri"/>
        <family val="2"/>
        <scheme val="minor"/>
      </rPr>
      <t>bTrafo0,4kV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</si>
  <si>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zKabel</t>
    </r>
  </si>
  <si>
    <t>Se bog 5 s. 304</t>
  </si>
  <si>
    <r>
      <t>k</t>
    </r>
    <r>
      <rPr>
        <vertAlign val="subscript"/>
        <sz val="11"/>
        <color theme="1"/>
        <rFont val="Calibri"/>
        <family val="2"/>
        <scheme val="minor"/>
      </rPr>
      <t>t</t>
    </r>
  </si>
  <si>
    <r>
      <t>k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</si>
  <si>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z0,4kV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zKabel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</si>
  <si>
    <r>
      <t>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</si>
  <si>
    <r>
      <t>A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S</t>
    </r>
  </si>
  <si>
    <t>Dim af interne kable</t>
  </si>
  <si>
    <r>
      <t>I</t>
    </r>
    <r>
      <rPr>
        <vertAlign val="subscript"/>
        <sz val="11"/>
        <color theme="1"/>
        <rFont val="Calibri"/>
        <family val="2"/>
        <scheme val="minor"/>
      </rPr>
      <t>zKabel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Z0,4kV</t>
    </r>
  </si>
  <si>
    <t>KB ved relæ</t>
  </si>
  <si>
    <t xml:space="preserve">Energi gennemslip </t>
  </si>
  <si>
    <t xml:space="preserve">Findes ved aflæsning på graf ved MCCB'en </t>
  </si>
  <si>
    <r>
      <t>K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</rPr>
      <t>≥Energi gennemslip</t>
    </r>
  </si>
  <si>
    <t>KB ved sikring</t>
  </si>
  <si>
    <r>
      <t>I'</t>
    </r>
    <r>
      <rPr>
        <vertAlign val="subscript"/>
        <sz val="11"/>
        <color theme="1"/>
        <rFont val="Calibri"/>
        <family val="2"/>
        <scheme val="minor"/>
      </rPr>
      <t>KFNmin0,4kV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</si>
  <si>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KFNmin0,4kV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</si>
  <si>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KFNmin0,4kV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*t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</si>
  <si>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k2Fmin0,4kV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</si>
  <si>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kFNmin0,4kV</t>
    </r>
  </si>
  <si>
    <r>
      <t xml:space="preserve">0,1s </t>
    </r>
    <r>
      <rPr>
        <sz val="11"/>
        <color theme="1"/>
        <rFont val="Calibri"/>
        <family val="2"/>
      </rPr>
      <t>≥ t</t>
    </r>
    <r>
      <rPr>
        <vertAlign val="subscript"/>
        <sz val="11"/>
        <color theme="1"/>
        <rFont val="Calibri"/>
        <family val="2"/>
      </rPr>
      <t xml:space="preserve">s </t>
    </r>
    <r>
      <rPr>
        <sz val="11"/>
        <color theme="1"/>
        <rFont val="Calibri"/>
        <family val="2"/>
      </rPr>
      <t>&gt; 1ms</t>
    </r>
  </si>
  <si>
    <t>Aflæs tabel/graf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</si>
  <si>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</rPr>
      <t>≤ 1ms</t>
    </r>
  </si>
  <si>
    <t>Aflæs tabel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</si>
  <si>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>&gt; 0,1s</t>
    </r>
  </si>
  <si>
    <r>
      <t>I</t>
    </r>
    <r>
      <rPr>
        <vertAlign val="subscript"/>
        <sz val="11"/>
        <color theme="1"/>
        <rFont val="Calibri"/>
        <family val="2"/>
        <scheme val="minor"/>
      </rPr>
      <t>kFNmin0,4kV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*t</t>
    </r>
    <r>
      <rPr>
        <vertAlign val="subscript"/>
        <sz val="11"/>
        <color theme="1"/>
        <rFont val="Calibri"/>
        <family val="2"/>
        <scheme val="minor"/>
      </rPr>
      <t>S</t>
    </r>
  </si>
  <si>
    <t>Beregn</t>
  </si>
  <si>
    <t xml:space="preserve">Energiudslip </t>
  </si>
  <si>
    <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s</t>
    </r>
  </si>
  <si>
    <t xml:space="preserve">HUSK at linjerelæ også kan være for selve transformeren. </t>
  </si>
  <si>
    <t>Derfor er det vigtigt at læse hvor tingene sidder søde skat!!!</t>
  </si>
  <si>
    <t xml:space="preserve">Bruges ved mindste kortslutning på ringen </t>
  </si>
  <si>
    <t>Hvis ikke opgiver normalt 0,04 S</t>
  </si>
  <si>
    <t>Opsummering</t>
  </si>
  <si>
    <t>Sæt til 10 % hvis ikke andet er givet</t>
  </si>
  <si>
    <t xml:space="preserve">Sikkerheds faktor </t>
  </si>
  <si>
    <t>R=r*L</t>
  </si>
  <si>
    <t>X=x*L</t>
  </si>
  <si>
    <t>Krav</t>
  </si>
  <si>
    <r>
      <t>I</t>
    </r>
    <r>
      <rPr>
        <vertAlign val="subscript"/>
        <sz val="11"/>
        <color theme="1"/>
        <rFont val="Calibri"/>
        <family val="2"/>
        <scheme val="minor"/>
      </rPr>
      <t>k3Fmax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√(t&gt;&gt;+t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</si>
  <si>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k1sLeder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k3Fmax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√(t&gt;&gt;+t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</si>
  <si>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k2Fmax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√(t&gt;&gt;+t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</si>
  <si>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k1sSkærm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k2Fmax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√(t&gt;&gt;+t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</si>
  <si>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0,75*I</t>
    </r>
    <r>
      <rPr>
        <vertAlign val="subscript"/>
        <sz val="11"/>
        <color theme="1"/>
        <rFont val="Calibri"/>
        <family val="2"/>
        <scheme val="minor"/>
      </rPr>
      <t>k2Fmin10kV</t>
    </r>
  </si>
  <si>
    <r>
      <t>I&gt;&gt; &lt; 0,75*I</t>
    </r>
    <r>
      <rPr>
        <vertAlign val="subscript"/>
        <sz val="11"/>
        <color theme="1"/>
        <rFont val="Calibri"/>
        <family val="2"/>
        <scheme val="minor"/>
      </rPr>
      <t>k2Fmin10kV</t>
    </r>
  </si>
  <si>
    <r>
      <t>I&gt;&gt; &gt; I'</t>
    </r>
    <r>
      <rPr>
        <vertAlign val="subscript"/>
        <sz val="11"/>
        <color theme="1"/>
        <rFont val="Calibri"/>
        <family val="2"/>
        <scheme val="minor"/>
      </rPr>
      <t>K3Fmax0,4kV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</si>
  <si>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k2Fmax0,4kV</t>
    </r>
    <r>
      <rPr>
        <sz val="11"/>
        <color theme="1"/>
        <rFont val="Calibri"/>
        <family val="2"/>
        <scheme val="minor"/>
      </rPr>
      <t>=(√3/2)*I</t>
    </r>
    <r>
      <rPr>
        <vertAlign val="subscript"/>
        <sz val="11"/>
        <color theme="1"/>
        <rFont val="Calibri"/>
        <family val="2"/>
        <scheme val="minor"/>
      </rPr>
      <t>k3Fmax0,4kV</t>
    </r>
  </si>
  <si>
    <r>
      <t>cosφ=R</t>
    </r>
    <r>
      <rPr>
        <vertAlign val="subscript"/>
        <sz val="11"/>
        <color theme="1"/>
        <rFont val="Calibri"/>
        <family val="2"/>
      </rPr>
      <t>T</t>
    </r>
    <r>
      <rPr>
        <sz val="11"/>
        <color theme="1"/>
        <rFont val="Calibri"/>
        <family val="2"/>
      </rPr>
      <t>/Z</t>
    </r>
    <r>
      <rPr>
        <vertAlign val="subscript"/>
        <sz val="11"/>
        <color theme="1"/>
        <rFont val="Calibri"/>
        <family val="2"/>
      </rPr>
      <t>T</t>
    </r>
  </si>
  <si>
    <r>
      <t>∠φ=cos</t>
    </r>
    <r>
      <rPr>
        <vertAlign val="superscript"/>
        <sz val="11"/>
        <color theme="1"/>
        <rFont val="Calibri"/>
        <family val="2"/>
      </rPr>
      <t>-1</t>
    </r>
    <r>
      <rPr>
        <sz val="11"/>
        <color theme="1"/>
        <rFont val="Calibri"/>
        <family val="2"/>
      </rPr>
      <t>(φ)</t>
    </r>
  </si>
  <si>
    <r>
      <t>k</t>
    </r>
    <r>
      <rPr>
        <vertAlign val="subscript"/>
        <sz val="11"/>
        <color theme="1"/>
        <rFont val="Calibri"/>
        <family val="2"/>
        <scheme val="minor"/>
      </rPr>
      <t>d</t>
    </r>
  </si>
  <si>
    <r>
      <t>k</t>
    </r>
    <r>
      <rPr>
        <vertAlign val="subscript"/>
        <sz val="11"/>
        <color theme="1"/>
        <rFont val="Calibri"/>
        <family val="2"/>
        <scheme val="minor"/>
      </rPr>
      <t>j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</si>
  <si>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z,korr.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*(k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)</t>
    </r>
  </si>
  <si>
    <t xml:space="preserve">Datablad for kabel </t>
  </si>
  <si>
    <t>fig. 7.4.3</t>
  </si>
  <si>
    <t>Bog 5</t>
  </si>
  <si>
    <t>fig. 7.4.4</t>
  </si>
  <si>
    <t>fig. 7.4.5</t>
  </si>
  <si>
    <t>fig. 7.4.6</t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</si>
  <si>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 xml:space="preserve">z </t>
    </r>
    <r>
      <rPr>
        <b/>
        <sz val="11"/>
        <color theme="1"/>
        <rFont val="Calibri"/>
        <family val="2"/>
        <scheme val="minor"/>
      </rPr>
      <t>kabel</t>
    </r>
  </si>
  <si>
    <t>LS</t>
  </si>
  <si>
    <t>Jordtype</t>
  </si>
  <si>
    <r>
      <t>U</t>
    </r>
    <r>
      <rPr>
        <vertAlign val="subscript"/>
        <sz val="11"/>
        <color theme="1"/>
        <rFont val="Calibri"/>
        <family val="2"/>
        <scheme val="minor"/>
      </rPr>
      <t>TP</t>
    </r>
    <r>
      <rPr>
        <sz val="11"/>
        <color theme="1"/>
        <rFont val="Calibri"/>
        <family val="2"/>
        <scheme val="minor"/>
      </rPr>
      <t xml:space="preserve"> </t>
    </r>
  </si>
  <si>
    <r>
      <t>I&gt;=I</t>
    </r>
    <r>
      <rPr>
        <vertAlign val="subscript"/>
        <sz val="11"/>
        <color theme="1"/>
        <rFont val="Calibri"/>
        <family val="2"/>
        <scheme val="minor"/>
      </rPr>
      <t>z,korr</t>
    </r>
  </si>
  <si>
    <t>Data på kabel</t>
  </si>
  <si>
    <r>
      <t>t&gt;</t>
    </r>
    <r>
      <rPr>
        <vertAlign val="subscript"/>
        <sz val="11"/>
        <color theme="1"/>
        <rFont val="Calibri"/>
        <family val="2"/>
        <scheme val="minor"/>
      </rPr>
      <t>korr</t>
    </r>
    <r>
      <rPr>
        <sz val="11"/>
        <color theme="1"/>
        <rFont val="Calibri"/>
        <family val="2"/>
        <scheme val="minor"/>
      </rPr>
      <t>=(I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</si>
  <si>
    <t xml:space="preserve">Beregn Iz korrektion først </t>
  </si>
  <si>
    <t>Beregn Ikmin10kV først</t>
  </si>
  <si>
    <t>kort</t>
  </si>
  <si>
    <t>lang</t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</si>
  <si>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b,trafo,10kV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</si>
  <si>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b,trafo,10kV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</t>
    </r>
    <r>
      <rPr>
        <sz val="11"/>
        <color theme="1"/>
        <rFont val="Calibri"/>
        <family val="2"/>
        <scheme val="minor"/>
      </rPr>
      <t>)*sikkerheds faktor</t>
    </r>
  </si>
  <si>
    <t>Bruges også til valg af strømtransformer</t>
  </si>
  <si>
    <t xml:space="preserve">vælges oprundet nærmest </t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</si>
  <si>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Rated primary currents 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</si>
  <si>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N2 </t>
    </r>
    <r>
      <rPr>
        <sz val="11"/>
        <color theme="1"/>
        <rFont val="Calibri"/>
        <family val="2"/>
        <scheme val="minor"/>
      </rPr>
      <t xml:space="preserve">Rated secondary current </t>
    </r>
  </si>
  <si>
    <r>
      <t>I&gt;</t>
    </r>
    <r>
      <rPr>
        <vertAlign val="subscript"/>
        <sz val="11"/>
        <color theme="1"/>
        <rFont val="Calibri"/>
        <family val="2"/>
        <scheme val="minor"/>
      </rPr>
      <t>linje</t>
    </r>
  </si>
  <si>
    <r>
      <t>I&gt;&gt;</t>
    </r>
    <r>
      <rPr>
        <vertAlign val="subscript"/>
        <sz val="11"/>
        <color theme="1"/>
        <rFont val="Calibri"/>
        <family val="2"/>
        <scheme val="minor"/>
      </rPr>
      <t>linje</t>
    </r>
  </si>
  <si>
    <r>
      <t>t&gt;&gt;</t>
    </r>
    <r>
      <rPr>
        <vertAlign val="subscript"/>
        <sz val="11"/>
        <color theme="1"/>
        <rFont val="Calibri"/>
        <family val="2"/>
        <scheme val="minor"/>
      </rPr>
      <t>linje</t>
    </r>
  </si>
  <si>
    <r>
      <t>t&gt;=t&gt;</t>
    </r>
    <r>
      <rPr>
        <vertAlign val="subscript"/>
        <sz val="11"/>
        <color theme="1"/>
        <rFont val="Calibri"/>
        <family val="2"/>
        <scheme val="minor"/>
      </rPr>
      <t>linje</t>
    </r>
    <r>
      <rPr>
        <sz val="11"/>
        <color theme="1"/>
        <rFont val="Calibri"/>
        <family val="2"/>
        <scheme val="minor"/>
      </rPr>
      <t>*0,5</t>
    </r>
  </si>
  <si>
    <r>
      <t>Beregning S</t>
    </r>
    <r>
      <rPr>
        <b/>
        <vertAlign val="subscript"/>
        <sz val="10"/>
        <color theme="1"/>
        <rFont val="Calibri"/>
        <family val="2"/>
        <scheme val="minor"/>
      </rPr>
      <t>kmin4,0kV</t>
    </r>
  </si>
  <si>
    <r>
      <t>Beregning S</t>
    </r>
    <r>
      <rPr>
        <b/>
        <vertAlign val="subscript"/>
        <sz val="10"/>
        <color theme="1"/>
        <rFont val="Calibri"/>
        <family val="2"/>
        <scheme val="minor"/>
      </rPr>
      <t>kmax4,0kV</t>
    </r>
  </si>
  <si>
    <r>
      <t>S</t>
    </r>
    <r>
      <rPr>
        <vertAlign val="subscript"/>
        <sz val="11"/>
        <color theme="1"/>
        <rFont val="Calibri"/>
        <family val="2"/>
        <scheme val="minor"/>
      </rPr>
      <t>kmax4,0kV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k3Fmax4,0kV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</si>
  <si>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z,korr</t>
    </r>
  </si>
  <si>
    <r>
      <t>I&gt;</t>
    </r>
    <r>
      <rPr>
        <vertAlign val="subscript"/>
        <sz val="11"/>
        <color theme="1"/>
        <rFont val="Calibri"/>
        <family val="2"/>
        <scheme val="minor"/>
      </rPr>
      <t>linje</t>
    </r>
    <r>
      <rPr>
        <sz val="11"/>
        <color theme="1"/>
        <rFont val="Calibri"/>
        <family val="2"/>
        <scheme val="minor"/>
      </rPr>
      <t>&lt;I</t>
    </r>
    <r>
      <rPr>
        <vertAlign val="subscript"/>
        <sz val="11"/>
        <color theme="1"/>
        <rFont val="Calibri"/>
        <family val="2"/>
        <scheme val="minor"/>
      </rPr>
      <t>z,korr</t>
    </r>
  </si>
  <si>
    <t>Overbelastningsbeskyttelse</t>
  </si>
  <si>
    <t xml:space="preserve">Største og mindste kortslutningsstrøm på sekundærsiden </t>
  </si>
  <si>
    <t>Stk.</t>
  </si>
  <si>
    <r>
      <t>Beregn I</t>
    </r>
    <r>
      <rPr>
        <b/>
        <vertAlign val="subscript"/>
        <sz val="11"/>
        <color theme="1"/>
        <rFont val="Calibri"/>
        <family val="2"/>
        <scheme val="minor"/>
      </rPr>
      <t>k,T,3F,max,0,4kV</t>
    </r>
  </si>
  <si>
    <r>
      <t>Beregn I</t>
    </r>
    <r>
      <rPr>
        <b/>
        <vertAlign val="subscript"/>
        <sz val="11"/>
        <color theme="1"/>
        <rFont val="Calibri"/>
        <family val="2"/>
        <scheme val="minor"/>
      </rPr>
      <t>k,T,2F,min,0,4kV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</si>
  <si>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T,min,0,4kV</t>
    </r>
    <r>
      <rPr>
        <sz val="11"/>
        <color theme="1"/>
        <rFont val="Calibri"/>
        <family val="2"/>
        <scheme val="minor"/>
      </rPr>
      <t>)</t>
    </r>
  </si>
  <si>
    <t>Indstilling t&gt;&gt;</t>
  </si>
  <si>
    <r>
      <t>I</t>
    </r>
    <r>
      <rPr>
        <vertAlign val="subscript"/>
        <sz val="11"/>
        <color theme="1"/>
        <rFont val="Calibri"/>
        <family val="2"/>
        <scheme val="minor"/>
      </rPr>
      <t>k,3F,min,10kV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</t>
    </r>
    <r>
      <rPr>
        <sz val="11"/>
        <color theme="1"/>
        <rFont val="Calibri"/>
        <family val="2"/>
        <scheme val="minor"/>
      </rPr>
      <t>∑Z</t>
    </r>
    <r>
      <rPr>
        <vertAlign val="subscript"/>
        <sz val="11"/>
        <color theme="1"/>
        <rFont val="Calibri"/>
        <family val="2"/>
        <scheme val="minor"/>
      </rPr>
      <t>N,max,10kV</t>
    </r>
    <r>
      <rPr>
        <sz val="11"/>
        <color theme="1"/>
        <rFont val="Calibri"/>
        <family val="2"/>
        <scheme val="minor"/>
      </rPr>
      <t>)</t>
    </r>
  </si>
  <si>
    <r>
      <t>I'</t>
    </r>
    <r>
      <rPr>
        <vertAlign val="subscript"/>
        <sz val="11"/>
        <color theme="1"/>
        <rFont val="Calibri"/>
        <family val="2"/>
        <scheme val="minor"/>
      </rPr>
      <t>k,T,3F,max,0,4kV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k,T,3F,max,0,4kV</t>
    </r>
    <r>
      <rPr>
        <sz val="11"/>
        <color theme="1"/>
        <rFont val="Calibri"/>
        <family val="2"/>
        <scheme val="minor"/>
      </rPr>
      <t>/n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</si>
  <si>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k,2F,min10kV</t>
    </r>
    <r>
      <rPr>
        <sz val="11"/>
        <color theme="1"/>
        <rFont val="Calibri"/>
        <family val="2"/>
        <scheme val="minor"/>
      </rPr>
      <t>=(√3/2)*I</t>
    </r>
    <r>
      <rPr>
        <vertAlign val="subscript"/>
        <sz val="11"/>
        <color theme="1"/>
        <rFont val="Calibri"/>
        <family val="2"/>
        <scheme val="minor"/>
      </rPr>
      <t>k,3F,min,10kV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</si>
  <si>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j</t>
    </r>
  </si>
  <si>
    <t>Overgangsmodstand</t>
  </si>
  <si>
    <t>Kortslutningsbeskyttelse</t>
  </si>
  <si>
    <r>
      <t>Tjek kortslutningsudløser I&gt;&gt;</t>
    </r>
    <r>
      <rPr>
        <b/>
        <vertAlign val="subscript"/>
        <sz val="11"/>
        <color theme="1"/>
        <rFont val="Calibri"/>
        <family val="2"/>
        <scheme val="minor"/>
      </rPr>
      <t>Linje</t>
    </r>
  </si>
  <si>
    <r>
      <t>Tjek KB for linje t&gt;&gt;</t>
    </r>
    <r>
      <rPr>
        <b/>
        <vertAlign val="subscript"/>
        <sz val="11"/>
        <color theme="1"/>
        <rFont val="Calibri"/>
        <family val="2"/>
        <scheme val="minor"/>
      </rPr>
      <t>Linje</t>
    </r>
  </si>
  <si>
    <r>
      <t>Tjek KB for linje t&gt;</t>
    </r>
    <r>
      <rPr>
        <b/>
        <vertAlign val="subscript"/>
        <sz val="11"/>
        <color theme="1"/>
        <rFont val="Calibri"/>
        <family val="2"/>
        <scheme val="minor"/>
      </rPr>
      <t>Linje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</si>
  <si>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k,2F,min,10kV</t>
    </r>
    <r>
      <rPr>
        <sz val="11"/>
        <color theme="1"/>
        <rFont val="Calibri"/>
        <family val="2"/>
        <scheme val="minor"/>
      </rPr>
      <t>*0,75</t>
    </r>
  </si>
  <si>
    <t>Kortslutningsudløser</t>
  </si>
  <si>
    <r>
      <t>Tjek kortslutningsudløser I&gt;</t>
    </r>
    <r>
      <rPr>
        <b/>
        <vertAlign val="subscript"/>
        <sz val="11"/>
        <color theme="1"/>
        <rFont val="Calibri"/>
        <family val="2"/>
        <scheme val="minor"/>
      </rPr>
      <t>Linje</t>
    </r>
  </si>
  <si>
    <r>
      <t>Z</t>
    </r>
    <r>
      <rPr>
        <vertAlign val="subscript"/>
        <sz val="11"/>
        <rFont val="Calibri"/>
        <family val="2"/>
        <scheme val="minor"/>
      </rPr>
      <t>T,min,0,4kV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</si>
  <si>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k,T,3F,max,0,4kV</t>
    </r>
  </si>
  <si>
    <r>
      <t>Z</t>
    </r>
    <r>
      <rPr>
        <vertAlign val="subscript"/>
        <sz val="11"/>
        <color theme="1"/>
        <rFont val="Calibri"/>
        <family val="2"/>
      </rPr>
      <t>T,10kV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</si>
  <si>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T,min,0,4kV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</si>
  <si>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√3*ZT</t>
    </r>
    <r>
      <rPr>
        <vertAlign val="subscript"/>
        <sz val="11"/>
        <color theme="1"/>
        <rFont val="Calibri"/>
        <family val="2"/>
      </rPr>
      <t>,min,0,4kV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</si>
  <si>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√3*ZT</t>
    </r>
    <r>
      <rPr>
        <vertAlign val="subscript"/>
        <sz val="11"/>
        <color theme="1"/>
        <rFont val="Calibri"/>
        <family val="2"/>
      </rPr>
      <t>,max,0,4kV</t>
    </r>
    <r>
      <rPr>
        <sz val="11"/>
        <color theme="1"/>
        <rFont val="Calibri"/>
        <family val="2"/>
        <scheme val="minor"/>
      </rPr>
      <t>)</t>
    </r>
  </si>
  <si>
    <r>
      <t>Z</t>
    </r>
    <r>
      <rPr>
        <vertAlign val="subscript"/>
        <sz val="11"/>
        <rFont val="Calibri"/>
        <family val="2"/>
        <scheme val="minor"/>
      </rPr>
      <t>Tmax0,4kV</t>
    </r>
  </si>
  <si>
    <t>Beregn energitab</t>
  </si>
  <si>
    <t>Trafo</t>
  </si>
  <si>
    <t>Punkt</t>
  </si>
  <si>
    <t>C-D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</si>
  <si>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[A]</t>
    </r>
  </si>
  <si>
    <t>B-C</t>
  </si>
  <si>
    <t>A-B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</si>
  <si>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</t>
    </r>
    <r>
      <rPr>
        <sz val="11"/>
        <color theme="1"/>
        <rFont val="Calibri"/>
        <family val="2"/>
        <scheme val="minor"/>
      </rPr>
      <t>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) [A]</t>
    </r>
  </si>
  <si>
    <t>E</t>
  </si>
  <si>
    <t>F</t>
  </si>
  <si>
    <t>B</t>
  </si>
  <si>
    <t>C</t>
  </si>
  <si>
    <t>D</t>
  </si>
  <si>
    <t>faser</t>
  </si>
  <si>
    <t>L [Km]</t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</si>
  <si>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[kVA]</t>
    </r>
  </si>
  <si>
    <t>R [Ω]</t>
  </si>
  <si>
    <r>
      <t>∆P=faser*I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*R*L [W]</t>
    </r>
  </si>
  <si>
    <t>D-E</t>
  </si>
  <si>
    <t>E-F</t>
  </si>
  <si>
    <r>
      <t>∆P</t>
    </r>
    <r>
      <rPr>
        <vertAlign val="subscript"/>
        <sz val="11"/>
        <color theme="1"/>
        <rFont val="Calibri"/>
        <family val="2"/>
      </rPr>
      <t>tot</t>
    </r>
  </si>
  <si>
    <r>
      <t>∆P</t>
    </r>
    <r>
      <rPr>
        <vertAlign val="subscript"/>
        <sz val="11"/>
        <color theme="1"/>
        <rFont val="Calibri"/>
        <family val="2"/>
      </rPr>
      <t>tot,dag</t>
    </r>
    <r>
      <rPr>
        <sz val="11"/>
        <color theme="1"/>
        <rFont val="Calibri"/>
        <family val="2"/>
      </rPr>
      <t>=24*∆P</t>
    </r>
    <r>
      <rPr>
        <vertAlign val="subscript"/>
        <sz val="11"/>
        <color theme="1"/>
        <rFont val="Calibri"/>
        <family val="2"/>
      </rPr>
      <t>tot</t>
    </r>
  </si>
  <si>
    <t>Wh</t>
  </si>
  <si>
    <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*(</t>
    </r>
    <r>
      <rPr>
        <sz val="11"/>
        <color theme="1"/>
        <rFont val="Calibri"/>
        <family val="2"/>
      </rPr>
      <t>√t&gt;+t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</si>
  <si>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*(√t&gt;+t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</si>
  <si>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</si>
  <si>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=(</t>
    </r>
    <r>
      <rPr>
        <sz val="11"/>
        <color theme="1"/>
        <rFont val="Calibri"/>
        <family val="2"/>
      </rPr>
      <t>√3/2</t>
    </r>
    <r>
      <rPr>
        <sz val="11"/>
        <color theme="1"/>
        <rFont val="Calibri"/>
        <family val="2"/>
        <scheme val="minor"/>
      </rPr>
      <t>)*I</t>
    </r>
    <r>
      <rPr>
        <vertAlign val="subscript"/>
        <sz val="11"/>
        <color theme="1"/>
        <rFont val="Calibri"/>
        <family val="2"/>
        <scheme val="minor"/>
      </rPr>
      <t>k,3F,max</t>
    </r>
  </si>
  <si>
    <t>T201</t>
  </si>
  <si>
    <t xml:space="preserve">Valg af sikring </t>
  </si>
  <si>
    <t>1 stk.</t>
  </si>
  <si>
    <t>Trafo.</t>
  </si>
  <si>
    <r>
      <t>I'</t>
    </r>
    <r>
      <rPr>
        <vertAlign val="subscript"/>
        <sz val="11"/>
        <color theme="1"/>
        <rFont val="Calibri"/>
        <family val="2"/>
        <scheme val="minor"/>
      </rPr>
      <t>k,FN,min,10kV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k,FN,min,4,0kV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</t>
    </r>
    <r>
      <rPr>
        <sz val="11"/>
        <color theme="1"/>
        <rFont val="Calibri"/>
        <family val="2"/>
        <scheme val="minor"/>
      </rPr>
      <t>n)</t>
    </r>
  </si>
  <si>
    <t>Bryder inden for 2 sekunder</t>
  </si>
  <si>
    <t xml:space="preserve">Aflæst på kurve i datablad for sikring. </t>
  </si>
  <si>
    <t xml:space="preserve">Trafo. </t>
  </si>
  <si>
    <r>
      <t>I</t>
    </r>
    <r>
      <rPr>
        <vertAlign val="subscript"/>
        <sz val="11"/>
        <color theme="1"/>
        <rFont val="Calibri"/>
        <family val="2"/>
        <scheme val="minor"/>
      </rPr>
      <t>k,FN,min,0,4kV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k,3F,min,10kV</t>
    </r>
    <r>
      <rPr>
        <sz val="11"/>
        <color theme="1"/>
        <rFont val="Calibri"/>
        <family val="2"/>
        <scheme val="minor"/>
      </rPr>
      <t>*n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</si>
  <si>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k,3F,min,10kV</t>
    </r>
    <r>
      <rPr>
        <sz val="11"/>
        <color theme="1"/>
        <rFont val="Calibri"/>
        <family val="2"/>
        <scheme val="minor"/>
      </rPr>
      <t>*n</t>
    </r>
  </si>
  <si>
    <r>
      <t>I'</t>
    </r>
    <r>
      <rPr>
        <vertAlign val="subscript"/>
        <sz val="11"/>
        <color theme="1"/>
        <rFont val="Calibri"/>
        <family val="2"/>
        <scheme val="minor"/>
      </rPr>
      <t>k,T,FN,min,10kV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k,FN,min,4,0kV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</t>
    </r>
    <r>
      <rPr>
        <sz val="11"/>
        <color theme="1"/>
        <rFont val="Calibri"/>
        <family val="2"/>
        <scheme val="minor"/>
      </rPr>
      <t>n)</t>
    </r>
  </si>
  <si>
    <r>
      <t>Z</t>
    </r>
    <r>
      <rPr>
        <vertAlign val="subscript"/>
        <sz val="11"/>
        <rFont val="Calibri"/>
        <family val="2"/>
        <scheme val="minor"/>
      </rPr>
      <t>N,max,10kV</t>
    </r>
  </si>
  <si>
    <r>
      <t>Z</t>
    </r>
    <r>
      <rPr>
        <vertAlign val="subscript"/>
        <sz val="11"/>
        <rFont val="Calibri"/>
        <family val="2"/>
        <scheme val="minor"/>
      </rPr>
      <t>Tmin0,4kV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</si>
  <si>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k,T,2F,min,10kV</t>
    </r>
    <r>
      <rPr>
        <sz val="11"/>
        <color theme="1"/>
        <rFont val="Calibri"/>
        <family val="2"/>
        <scheme val="minor"/>
      </rPr>
      <t>=(√3/2)*I</t>
    </r>
    <r>
      <rPr>
        <vertAlign val="subscript"/>
        <sz val="11"/>
        <color theme="1"/>
        <rFont val="Calibri"/>
        <family val="2"/>
        <scheme val="minor"/>
      </rPr>
      <t>k,T,3F,min,10kV</t>
    </r>
  </si>
  <si>
    <t xml:space="preserve">Tjek af kabler </t>
  </si>
  <si>
    <t xml:space="preserve">Trafo </t>
  </si>
  <si>
    <r>
      <t>t&gt;</t>
    </r>
    <r>
      <rPr>
        <vertAlign val="subscript"/>
        <sz val="11"/>
        <rFont val="Calibri"/>
        <family val="2"/>
        <scheme val="minor"/>
      </rPr>
      <t>Linje</t>
    </r>
  </si>
  <si>
    <t>KT.relæ Indstilling I&gt;&gt; og t&gt;&gt;</t>
  </si>
  <si>
    <t>KT.relæ Indstilling t&gt;</t>
  </si>
  <si>
    <t>KT.relæ Indstilling I&gt;</t>
  </si>
  <si>
    <r>
      <t>I</t>
    </r>
    <r>
      <rPr>
        <vertAlign val="subscript"/>
        <sz val="11"/>
        <color theme="1"/>
        <rFont val="Calibri"/>
        <family val="2"/>
        <scheme val="minor"/>
      </rPr>
      <t>bTrafo</t>
    </r>
    <r>
      <rPr>
        <sz val="11"/>
        <color theme="1"/>
        <rFont val="Calibri"/>
        <family val="2"/>
      </rPr>
      <t>≥I&gt;&gt;≥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zkabel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</si>
  <si>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k,T,2F,max,10kV</t>
    </r>
    <r>
      <rPr>
        <sz val="11"/>
        <color theme="1"/>
        <rFont val="Calibri"/>
        <family val="2"/>
        <scheme val="minor"/>
      </rPr>
      <t>=(√3/2)*I</t>
    </r>
    <r>
      <rPr>
        <vertAlign val="subscript"/>
        <sz val="11"/>
        <color theme="1"/>
        <rFont val="Calibri"/>
        <family val="2"/>
        <scheme val="minor"/>
      </rPr>
      <t>k,T,3F,max,10kV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</si>
  <si>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k,T,3F,max,10kV*</t>
    </r>
    <r>
      <rPr>
        <sz val="11"/>
        <color theme="1"/>
        <rFont val="Calibri"/>
        <family val="2"/>
        <scheme val="minor"/>
      </rPr>
      <t>√t&gt;&gt;+t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</si>
  <si>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k,T,2F,max,10kV*</t>
    </r>
    <r>
      <rPr>
        <sz val="11"/>
        <color theme="1"/>
        <rFont val="Calibri"/>
        <family val="2"/>
        <scheme val="minor"/>
      </rPr>
      <t>√t&gt;&gt;+t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</si>
  <si>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cu1/1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/√3*U</t>
    </r>
    <r>
      <rPr>
        <vertAlign val="subscript"/>
        <sz val="11"/>
        <color theme="1"/>
        <rFont val="Calibri"/>
        <family val="2"/>
        <scheme val="minor"/>
      </rPr>
      <t>N1</t>
    </r>
  </si>
  <si>
    <r>
      <rPr>
        <sz val="11"/>
        <color theme="1"/>
        <rFont val="Calibri"/>
        <family val="2"/>
        <scheme val="minor"/>
      </rPr>
      <t>I&gt;=I</t>
    </r>
    <r>
      <rPr>
        <vertAlign val="subscript"/>
        <sz val="11"/>
        <color theme="1"/>
        <rFont val="Calibri"/>
        <family val="2"/>
        <scheme val="minor"/>
      </rPr>
      <t>dim</t>
    </r>
    <r>
      <rPr>
        <sz val="11"/>
        <color theme="1"/>
        <rFont val="Calibri"/>
        <family val="2"/>
        <scheme val="minor"/>
      </rPr>
      <t>=1,5*I</t>
    </r>
    <r>
      <rPr>
        <vertAlign val="subscript"/>
        <sz val="11"/>
        <color theme="1"/>
        <rFont val="Calibri"/>
        <family val="2"/>
        <scheme val="minor"/>
      </rPr>
      <t>cu1/1</t>
    </r>
  </si>
  <si>
    <r>
      <t>12*I</t>
    </r>
    <r>
      <rPr>
        <vertAlign val="subscript"/>
        <sz val="11"/>
        <color theme="1"/>
        <rFont val="Calibri"/>
        <family val="2"/>
        <scheme val="minor"/>
      </rPr>
      <t>cu1/1</t>
    </r>
  </si>
  <si>
    <r>
      <t>I&gt;&gt; &gt; 12*I</t>
    </r>
    <r>
      <rPr>
        <vertAlign val="subscript"/>
        <sz val="11"/>
        <color theme="1"/>
        <rFont val="Calibri"/>
        <family val="2"/>
        <scheme val="minor"/>
      </rPr>
      <t>cu1/1</t>
    </r>
  </si>
  <si>
    <t>Jordsystem</t>
  </si>
  <si>
    <t xml:space="preserve">Dim. slukkespole </t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</si>
  <si>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k,T,3F,max,10kV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√t&gt;&gt;+t</t>
    </r>
    <r>
      <rPr>
        <vertAlign val="subscript"/>
        <sz val="11"/>
        <color theme="1"/>
        <rFont val="Calibri"/>
        <family val="2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</si>
  <si>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k,T,2F,max,10KV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√t&gt;&gt;+t</t>
    </r>
    <r>
      <rPr>
        <vertAlign val="subscript"/>
        <sz val="11"/>
        <color theme="1"/>
        <rFont val="Calibri"/>
        <family val="2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</si>
  <si>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</si>
  <si>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</t>
    </r>
  </si>
  <si>
    <r>
      <t>K</t>
    </r>
    <r>
      <rPr>
        <vertAlign val="subscript"/>
        <sz val="11"/>
        <color theme="1"/>
        <rFont val="Calibri"/>
        <family val="2"/>
        <scheme val="minor"/>
      </rPr>
      <t>t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</si>
  <si>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</si>
  <si>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n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z,kabel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</si>
  <si>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</si>
  <si>
    <r>
      <t>I'</t>
    </r>
    <r>
      <rPr>
        <vertAlign val="subscript"/>
        <sz val="11"/>
        <color theme="1"/>
        <rFont val="Calibri"/>
        <family val="2"/>
        <scheme val="minor"/>
      </rPr>
      <t>k,T,FN,min,10kV*</t>
    </r>
    <r>
      <rPr>
        <sz val="11"/>
        <color theme="1"/>
        <rFont val="Calibri"/>
        <family val="2"/>
        <scheme val="minor"/>
      </rPr>
      <t>√t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</si>
  <si>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≥I'</t>
    </r>
    <r>
      <rPr>
        <vertAlign val="subscript"/>
        <sz val="11"/>
        <color theme="1"/>
        <rFont val="Calibri"/>
        <family val="2"/>
      </rPr>
      <t>k,T,FN,min,10kV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</t>
    </r>
    <r>
      <rPr>
        <vertAlign val="subscript"/>
        <sz val="11"/>
        <color theme="1"/>
        <rFont val="Calibri"/>
        <family val="2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</si>
  <si>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k,T,2F,min,10kV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</t>
    </r>
    <r>
      <rPr>
        <vertAlign val="subscript"/>
        <sz val="11"/>
        <color theme="1"/>
        <rFont val="Calibri"/>
        <family val="2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</si>
  <si>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k,T,2F,min,10KV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</t>
    </r>
    <r>
      <rPr>
        <vertAlign val="subscript"/>
        <sz val="11"/>
        <color theme="1"/>
        <rFont val="Calibri"/>
        <family val="2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</si>
  <si>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k,T,3F,min,10kV</t>
    </r>
    <r>
      <rPr>
        <sz val="11"/>
        <color theme="1"/>
        <rFont val="Calibri"/>
        <family val="2"/>
        <scheme val="minor"/>
      </rPr>
      <t>*n</t>
    </r>
  </si>
  <si>
    <r>
      <t>I'</t>
    </r>
    <r>
      <rPr>
        <vertAlign val="subscript"/>
        <sz val="11"/>
        <color theme="1"/>
        <rFont val="Calibri"/>
        <family val="2"/>
        <scheme val="minor"/>
      </rPr>
      <t>k,T,FN,min,10kV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k,T,FN,min,4,0kV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</t>
    </r>
    <r>
      <rPr>
        <sz val="11"/>
        <color theme="1"/>
        <rFont val="Calibri"/>
        <family val="2"/>
        <scheme val="minor"/>
      </rPr>
      <t>n)</t>
    </r>
  </si>
  <si>
    <r>
      <t>I</t>
    </r>
    <r>
      <rPr>
        <vertAlign val="subscript"/>
        <sz val="11"/>
        <color theme="1"/>
        <rFont val="Calibri"/>
        <family val="2"/>
        <scheme val="minor"/>
      </rPr>
      <t>cu1/1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√3*U</t>
    </r>
    <r>
      <rPr>
        <vertAlign val="subscript"/>
        <sz val="11"/>
        <color theme="1"/>
        <rFont val="Calibri"/>
        <family val="2"/>
      </rPr>
      <t>N1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</si>
  <si>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=1,2*I</t>
    </r>
    <r>
      <rPr>
        <vertAlign val="subscript"/>
        <sz val="11"/>
        <color theme="1"/>
        <rFont val="Calibri"/>
        <family val="2"/>
        <scheme val="minor"/>
      </rPr>
      <t>cu1/1</t>
    </r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</si>
  <si>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>=12*I</t>
    </r>
    <r>
      <rPr>
        <vertAlign val="subscript"/>
        <sz val="11"/>
        <color theme="1"/>
        <rFont val="Calibri"/>
        <family val="2"/>
        <scheme val="minor"/>
      </rPr>
      <t>cu1/1</t>
    </r>
  </si>
  <si>
    <r>
      <t>S</t>
    </r>
    <r>
      <rPr>
        <vertAlign val="subscript"/>
        <sz val="11"/>
        <color theme="1"/>
        <rFont val="Calibri"/>
        <family val="2"/>
        <scheme val="minor"/>
      </rPr>
      <t>k,max</t>
    </r>
  </si>
  <si>
    <r>
      <t>U</t>
    </r>
    <r>
      <rPr>
        <vertAlign val="subscript"/>
        <sz val="11"/>
        <color theme="1"/>
        <rFont val="Calibri"/>
        <family val="2"/>
        <scheme val="minor"/>
      </rPr>
      <t>n1</t>
    </r>
  </si>
  <si>
    <r>
      <t>U</t>
    </r>
    <r>
      <rPr>
        <vertAlign val="subscript"/>
        <sz val="11"/>
        <color theme="1"/>
        <rFont val="Calibri"/>
        <family val="2"/>
        <scheme val="minor"/>
      </rPr>
      <t>n2</t>
    </r>
  </si>
  <si>
    <r>
      <t>Beregning af Z</t>
    </r>
    <r>
      <rPr>
        <b/>
        <vertAlign val="subscript"/>
        <sz val="11"/>
        <color theme="1"/>
        <rFont val="Calibri"/>
        <family val="2"/>
        <scheme val="minor"/>
      </rPr>
      <t>n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</si>
  <si>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n,min,10kV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</si>
  <si>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n,max,10kV</t>
    </r>
  </si>
  <si>
    <r>
      <t>I&gt;</t>
    </r>
    <r>
      <rPr>
        <vertAlign val="subscript"/>
        <sz val="11"/>
        <color theme="1"/>
        <rFont val="Calibri"/>
        <family val="2"/>
        <scheme val="minor"/>
      </rPr>
      <t>hs</t>
    </r>
  </si>
  <si>
    <r>
      <t>t&gt;</t>
    </r>
    <r>
      <rPr>
        <vertAlign val="subscript"/>
        <sz val="11"/>
        <color theme="1"/>
        <rFont val="Calibri"/>
        <family val="2"/>
        <scheme val="minor"/>
      </rPr>
      <t>hs</t>
    </r>
  </si>
  <si>
    <r>
      <t>t&gt;=t&gt;</t>
    </r>
    <r>
      <rPr>
        <vertAlign val="subscript"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*0,5</t>
    </r>
  </si>
  <si>
    <r>
      <t>t&gt;=t&gt;</t>
    </r>
    <r>
      <rPr>
        <vertAlign val="subscript"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-0,2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</si>
  <si>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k,max</t>
    </r>
    <r>
      <rPr>
        <sz val="11"/>
        <color theme="1"/>
        <rFont val="Calibri"/>
        <family val="2"/>
        <scheme val="minor"/>
      </rPr>
      <t>/</t>
    </r>
    <r>
      <rPr>
        <sz val="11"/>
        <color theme="1"/>
        <rFont val="Calibri"/>
        <family val="2"/>
      </rPr>
      <t>√3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n1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</si>
  <si>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n,max,10kV</t>
    </r>
  </si>
  <si>
    <r>
      <t>t&gt;</t>
    </r>
    <r>
      <rPr>
        <vertAlign val="subscript"/>
        <sz val="11"/>
        <color theme="1"/>
        <rFont val="Calibri"/>
        <family val="2"/>
        <scheme val="minor"/>
      </rPr>
      <t>max,leder</t>
    </r>
    <r>
      <rPr>
        <sz val="11"/>
        <color theme="1"/>
        <rFont val="Calibri"/>
        <family val="2"/>
        <scheme val="minor"/>
      </rPr>
      <t>=(I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-t</t>
    </r>
    <r>
      <rPr>
        <vertAlign val="subscript"/>
        <sz val="11"/>
        <color theme="1"/>
        <rFont val="Calibri"/>
        <family val="2"/>
        <scheme val="minor"/>
      </rPr>
      <t>e</t>
    </r>
  </si>
  <si>
    <r>
      <t>t&gt;</t>
    </r>
    <r>
      <rPr>
        <vertAlign val="subscript"/>
        <sz val="11"/>
        <color theme="1"/>
        <rFont val="Calibri"/>
        <family val="2"/>
        <scheme val="minor"/>
      </rPr>
      <t>max,skærm</t>
    </r>
    <r>
      <rPr>
        <sz val="11"/>
        <color theme="1"/>
        <rFont val="Calibri"/>
        <family val="2"/>
        <scheme val="minor"/>
      </rPr>
      <t>=(I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-t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</si>
  <si>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k,2F,min,10kV</t>
    </r>
    <r>
      <rPr>
        <sz val="11"/>
        <color theme="1"/>
        <rFont val="Calibri"/>
        <family val="2"/>
        <scheme val="minor"/>
      </rPr>
      <t>=Un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/(2*Z</t>
    </r>
    <r>
      <rPr>
        <vertAlign val="subscript"/>
        <sz val="11"/>
        <color theme="1"/>
        <rFont val="Calibri"/>
        <family val="2"/>
        <scheme val="minor"/>
      </rPr>
      <t>n,max,10kV</t>
    </r>
    <r>
      <rPr>
        <sz val="11"/>
        <color theme="1"/>
        <rFont val="Calibri"/>
        <family val="2"/>
        <scheme val="minor"/>
      </rPr>
      <t>)</t>
    </r>
  </si>
  <si>
    <r>
      <t>I&gt;&gt; &lt; 0,75*I</t>
    </r>
    <r>
      <rPr>
        <vertAlign val="subscript"/>
        <sz val="11"/>
        <color theme="1"/>
        <rFont val="Calibri"/>
        <family val="2"/>
        <scheme val="minor"/>
      </rPr>
      <t>k,2F,min,10kV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</si>
  <si>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*(</t>
    </r>
    <r>
      <rPr>
        <sz val="11"/>
        <color theme="1"/>
        <rFont val="Calibri"/>
        <family val="2"/>
      </rPr>
      <t>√t&gt;+t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</si>
  <si>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*(√t&gt;+t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</si>
  <si>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/(2*Z</t>
    </r>
    <r>
      <rPr>
        <vertAlign val="subscript"/>
        <sz val="11"/>
        <color theme="1"/>
        <rFont val="Calibri"/>
        <family val="2"/>
        <scheme val="minor"/>
      </rPr>
      <t>n,max,10kV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</si>
  <si>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*(</t>
    </r>
    <r>
      <rPr>
        <sz val="11"/>
        <color theme="1"/>
        <rFont val="Calibri"/>
        <family val="2"/>
      </rPr>
      <t>√t&gt;&gt;+t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</si>
  <si>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*(√t&gt;&gt;+t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</si>
  <si>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*(</t>
    </r>
    <r>
      <rPr>
        <sz val="11"/>
        <color theme="1"/>
        <rFont val="Calibri"/>
        <family val="2"/>
      </rPr>
      <t>√t&gt;&gt;+t</t>
    </r>
    <r>
      <rPr>
        <vertAlign val="subscript"/>
        <sz val="11"/>
        <color theme="1"/>
        <rFont val="Calibri"/>
        <family val="2"/>
      </rPr>
      <t>e</t>
    </r>
    <r>
      <rPr>
        <sz val="11"/>
        <color theme="1"/>
        <rFont val="Calibri"/>
        <family val="2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</si>
  <si>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*(√t&gt;&gt;+t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)</t>
    </r>
  </si>
  <si>
    <t>Linje</t>
  </si>
  <si>
    <t>Tjek OB</t>
  </si>
  <si>
    <t>Indstilling I&gt; og t&gt;</t>
  </si>
  <si>
    <t>Indstilling I&gt;&gt;</t>
  </si>
  <si>
    <t>Eller Irest</t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</si>
  <si>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T,10KV</t>
    </r>
  </si>
  <si>
    <r>
      <t>Beregning Z</t>
    </r>
    <r>
      <rPr>
        <b/>
        <vertAlign val="subscript"/>
        <sz val="11"/>
        <rFont val="Calibri"/>
        <family val="2"/>
        <scheme val="minor"/>
      </rPr>
      <t>T,min,0,4kV</t>
    </r>
  </si>
  <si>
    <r>
      <t>Beregning Z</t>
    </r>
    <r>
      <rPr>
        <b/>
        <vertAlign val="subscript"/>
        <sz val="11"/>
        <rFont val="Calibri"/>
        <family val="2"/>
        <scheme val="minor"/>
      </rPr>
      <t>T,max,0,4kV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</si>
  <si>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=e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/100*S</t>
    </r>
    <r>
      <rPr>
        <vertAlign val="subscript"/>
        <sz val="11"/>
        <color theme="1"/>
        <rFont val="Calibri"/>
        <family val="2"/>
        <scheme val="minor"/>
      </rPr>
      <t>N</t>
    </r>
  </si>
  <si>
    <r>
      <t>R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=P</t>
    </r>
    <r>
      <rPr>
        <vertAlign val="subscript"/>
        <sz val="11"/>
        <color theme="1"/>
        <rFont val="Calibri"/>
        <family val="2"/>
        <scheme val="minor"/>
      </rPr>
      <t>cu1/1</t>
    </r>
    <r>
      <rPr>
        <sz val="11"/>
        <color theme="1"/>
        <rFont val="Calibri"/>
        <family val="2"/>
        <scheme val="minor"/>
      </rPr>
      <t>*U</t>
    </r>
    <r>
      <rPr>
        <vertAlign val="subscript"/>
        <sz val="11"/>
        <color theme="1"/>
        <rFont val="Calibri"/>
        <family val="2"/>
        <scheme val="minor"/>
      </rPr>
      <t>n1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</si>
  <si>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k,T,2F,max,0,4kV</t>
    </r>
    <r>
      <rPr>
        <sz val="11"/>
        <color theme="1"/>
        <rFont val="Calibri"/>
        <family val="2"/>
        <scheme val="minor"/>
      </rPr>
      <t>=(</t>
    </r>
    <r>
      <rPr>
        <sz val="11"/>
        <color theme="1"/>
        <rFont val="Calibri"/>
        <family val="2"/>
      </rPr>
      <t>√3/2</t>
    </r>
    <r>
      <rPr>
        <sz val="11"/>
        <color theme="1"/>
        <rFont val="Calibri"/>
        <family val="2"/>
        <scheme val="minor"/>
      </rPr>
      <t>)*I</t>
    </r>
    <r>
      <rPr>
        <vertAlign val="subscript"/>
        <sz val="11"/>
        <color theme="1"/>
        <rFont val="Calibri"/>
        <family val="2"/>
        <scheme val="minor"/>
      </rPr>
      <t>k,T,3F,max,0,4kV</t>
    </r>
  </si>
  <si>
    <t xml:space="preserve"> </t>
  </si>
  <si>
    <t>ikke angivet 0,04</t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</si>
  <si>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</si>
  <si>
    <t>Radian</t>
  </si>
  <si>
    <t>X</t>
  </si>
  <si>
    <t>Y</t>
  </si>
  <si>
    <r>
      <t>Z</t>
    </r>
    <r>
      <rPr>
        <vertAlign val="subscript"/>
        <sz val="11"/>
        <rFont val="Calibri"/>
        <family val="2"/>
        <scheme val="minor"/>
      </rPr>
      <t>n,min,10kV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n,min</t>
    </r>
    <r>
      <rPr>
        <sz val="11"/>
        <rFont val="Calibri"/>
        <family val="2"/>
        <scheme val="minor"/>
      </rPr>
      <t>∠+R∠+X∠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</si>
  <si>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n,max</t>
    </r>
  </si>
  <si>
    <r>
      <t>Z</t>
    </r>
    <r>
      <rPr>
        <vertAlign val="subscript"/>
        <sz val="11"/>
        <rFont val="Calibri"/>
        <family val="2"/>
        <scheme val="minor"/>
      </rPr>
      <t>n,max,10kV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n,max</t>
    </r>
    <r>
      <rPr>
        <sz val="11"/>
        <rFont val="Calibri"/>
        <family val="2"/>
        <scheme val="minor"/>
      </rPr>
      <t>∠+R∠+X∠</t>
    </r>
  </si>
  <si>
    <r>
      <t>S</t>
    </r>
    <r>
      <rPr>
        <vertAlign val="subscript"/>
        <sz val="11"/>
        <color theme="1"/>
        <rFont val="Calibri"/>
        <family val="2"/>
        <scheme val="minor"/>
      </rPr>
      <t>trafo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cu1/1</t>
    </r>
  </si>
  <si>
    <r>
      <t>Z</t>
    </r>
    <r>
      <rPr>
        <vertAlign val="subscript"/>
        <sz val="11"/>
        <rFont val="Calibri"/>
        <family val="2"/>
        <scheme val="minor"/>
      </rPr>
      <t>n,min,10kV</t>
    </r>
  </si>
  <si>
    <r>
      <t>Z</t>
    </r>
    <r>
      <rPr>
        <vertAlign val="subscript"/>
        <sz val="11"/>
        <rFont val="Calibri"/>
        <family val="2"/>
        <scheme val="minor"/>
      </rPr>
      <t>T,min,10kV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n,min,10kV</t>
    </r>
    <r>
      <rPr>
        <sz val="11"/>
        <rFont val="Calibri"/>
        <family val="2"/>
        <scheme val="minor"/>
      </rPr>
      <t>∠+Z</t>
    </r>
    <r>
      <rPr>
        <vertAlign val="subscript"/>
        <sz val="11"/>
        <rFont val="Calibri"/>
        <family val="2"/>
        <scheme val="minor"/>
      </rPr>
      <t>T,10kV</t>
    </r>
    <r>
      <rPr>
        <sz val="11"/>
        <rFont val="Calibri"/>
        <family val="2"/>
        <scheme val="minor"/>
      </rPr>
      <t>∠</t>
    </r>
  </si>
  <si>
    <r>
      <t>Z</t>
    </r>
    <r>
      <rPr>
        <vertAlign val="subscript"/>
        <sz val="11"/>
        <rFont val="Calibri"/>
        <family val="2"/>
        <scheme val="minor"/>
      </rPr>
      <t>n,max,10kV</t>
    </r>
  </si>
  <si>
    <r>
      <t>Z</t>
    </r>
    <r>
      <rPr>
        <vertAlign val="subscript"/>
        <sz val="11"/>
        <rFont val="Calibri"/>
        <family val="2"/>
        <scheme val="minor"/>
      </rPr>
      <t>T,max,10kV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n,max,10kV</t>
    </r>
    <r>
      <rPr>
        <sz val="11"/>
        <rFont val="Calibri"/>
        <family val="2"/>
        <scheme val="minor"/>
      </rPr>
      <t>∠+Z</t>
    </r>
    <r>
      <rPr>
        <vertAlign val="subscript"/>
        <sz val="11"/>
        <rFont val="Calibri"/>
        <family val="2"/>
        <scheme val="minor"/>
      </rPr>
      <t>T,10kV</t>
    </r>
    <r>
      <rPr>
        <sz val="11"/>
        <rFont val="Calibri"/>
        <family val="2"/>
        <scheme val="minor"/>
      </rPr>
      <t>∠</t>
    </r>
  </si>
  <si>
    <r>
      <t>Z</t>
    </r>
    <r>
      <rPr>
        <vertAlign val="subscript"/>
        <sz val="11"/>
        <rFont val="Calibri"/>
        <family val="2"/>
        <scheme val="minor"/>
      </rPr>
      <t>T,max,0,4,kV</t>
    </r>
    <r>
      <rPr>
        <sz val="11"/>
        <rFont val="Calibri"/>
        <family val="2"/>
        <scheme val="minor"/>
      </rPr>
      <t>=(Z</t>
    </r>
    <r>
      <rPr>
        <vertAlign val="subscript"/>
        <sz val="11"/>
        <rFont val="Calibri"/>
        <family val="2"/>
        <scheme val="minor"/>
      </rPr>
      <t>T,max,10kV</t>
    </r>
    <r>
      <rPr>
        <sz val="11"/>
        <rFont val="Calibri"/>
        <family val="2"/>
        <scheme val="minor"/>
      </rPr>
      <t>/n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</t>
    </r>
  </si>
  <si>
    <r>
      <t>Z</t>
    </r>
    <r>
      <rPr>
        <vertAlign val="subscript"/>
        <sz val="11"/>
        <rFont val="Calibri"/>
        <family val="2"/>
        <scheme val="minor"/>
      </rPr>
      <t>T,min,0,4,kV</t>
    </r>
    <r>
      <rPr>
        <sz val="11"/>
        <rFont val="Calibri"/>
        <family val="2"/>
        <scheme val="minor"/>
      </rPr>
      <t>=(Z</t>
    </r>
    <r>
      <rPr>
        <vertAlign val="subscript"/>
        <sz val="11"/>
        <rFont val="Calibri"/>
        <family val="2"/>
        <scheme val="minor"/>
      </rPr>
      <t>T,min,10kV</t>
    </r>
    <r>
      <rPr>
        <sz val="11"/>
        <rFont val="Calibri"/>
        <family val="2"/>
        <scheme val="minor"/>
      </rPr>
      <t>/n</t>
    </r>
    <r>
      <rPr>
        <vertAlign val="superscript"/>
        <sz val="11"/>
        <rFont val="Calibri"/>
        <family val="2"/>
        <scheme val="minor"/>
      </rPr>
      <t>2</t>
    </r>
    <r>
      <rPr>
        <sz val="11"/>
        <rFont val="Calibri"/>
        <family val="2"/>
        <scheme val="minor"/>
      </rPr>
      <t>)</t>
    </r>
  </si>
  <si>
    <t>T74</t>
  </si>
  <si>
    <r>
      <t>Beregn I</t>
    </r>
    <r>
      <rPr>
        <b/>
        <vertAlign val="subscript"/>
        <sz val="11"/>
        <color theme="1"/>
        <rFont val="Calibri"/>
        <family val="2"/>
        <scheme val="minor"/>
      </rPr>
      <t>k,T,3F,min,0,4kV</t>
    </r>
  </si>
  <si>
    <r>
      <t>Beregn I</t>
    </r>
    <r>
      <rPr>
        <b/>
        <vertAlign val="subscript"/>
        <sz val="11"/>
        <color theme="1"/>
        <rFont val="Calibri"/>
        <family val="2"/>
        <scheme val="minor"/>
      </rPr>
      <t>k,T,2F,max,0,4kV</t>
    </r>
  </si>
  <si>
    <r>
      <t>Z</t>
    </r>
    <r>
      <rPr>
        <vertAlign val="subscript"/>
        <sz val="11"/>
        <rFont val="Calibri"/>
        <family val="2"/>
        <scheme val="minor"/>
      </rPr>
      <t>T,max,0,4kV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</si>
  <si>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</si>
  <si>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</si>
  <si>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k,T,2F,min,0,4kV</t>
    </r>
    <r>
      <rPr>
        <sz val="11"/>
        <color theme="1"/>
        <rFont val="Calibri"/>
        <family val="2"/>
        <scheme val="minor"/>
      </rPr>
      <t>=(</t>
    </r>
    <r>
      <rPr>
        <sz val="11"/>
        <color theme="1"/>
        <rFont val="Calibri"/>
        <family val="2"/>
      </rPr>
      <t>√3/2</t>
    </r>
    <r>
      <rPr>
        <sz val="11"/>
        <color theme="1"/>
        <rFont val="Calibri"/>
        <family val="2"/>
        <scheme val="minor"/>
      </rPr>
      <t>)*I</t>
    </r>
    <r>
      <rPr>
        <vertAlign val="subscript"/>
        <sz val="11"/>
        <color theme="1"/>
        <rFont val="Calibri"/>
        <family val="2"/>
        <scheme val="minor"/>
      </rPr>
      <t>k,T,3F,min,0,4kV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</si>
  <si>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k,T,3F,min,0,4kV</t>
    </r>
  </si>
  <si>
    <r>
      <t>I'</t>
    </r>
    <r>
      <rPr>
        <vertAlign val="subscript"/>
        <sz val="11"/>
        <color theme="1"/>
        <rFont val="Calibri"/>
        <family val="2"/>
        <scheme val="minor"/>
      </rPr>
      <t>k,T,FN,min,10kV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k,T,FN,min,4,0kV</t>
    </r>
    <r>
      <rPr>
        <sz val="11"/>
        <color theme="1"/>
        <rFont val="Calibri"/>
        <family val="2"/>
      </rPr>
      <t>*</t>
    </r>
    <r>
      <rPr>
        <sz val="11"/>
        <color theme="1"/>
        <rFont val="Calibri"/>
        <family val="2"/>
        <scheme val="minor"/>
      </rPr>
      <t>n)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</si>
  <si>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n,min,10kV</t>
    </r>
    <r>
      <rPr>
        <sz val="11"/>
        <color theme="1"/>
        <rFont val="Calibri"/>
        <family val="2"/>
        <scheme val="minor"/>
      </rPr>
      <t>)</t>
    </r>
  </si>
  <si>
    <t>findes ved I'kFNmin</t>
  </si>
  <si>
    <t>Valg oprundet</t>
  </si>
  <si>
    <t>t &lt; 2 s</t>
  </si>
  <si>
    <r>
      <t>I</t>
    </r>
    <r>
      <rPr>
        <vertAlign val="subscript"/>
        <sz val="11"/>
        <color theme="1"/>
        <rFont val="Calibri"/>
        <family val="2"/>
        <scheme val="minor"/>
      </rPr>
      <t>bTrafo</t>
    </r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zkabel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</si>
  <si>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k,2F,max,10kV</t>
    </r>
    <r>
      <rPr>
        <sz val="11"/>
        <color theme="1"/>
        <rFont val="Calibri"/>
        <family val="2"/>
        <scheme val="minor"/>
      </rPr>
      <t>=(√3/2)*I</t>
    </r>
    <r>
      <rPr>
        <vertAlign val="subscript"/>
        <sz val="11"/>
        <color theme="1"/>
        <rFont val="Calibri"/>
        <family val="2"/>
        <scheme val="minor"/>
      </rPr>
      <t>k,T,3F,max,10kV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</si>
  <si>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n,min,10kV</t>
    </r>
    <r>
      <rPr>
        <sz val="11"/>
        <color theme="1"/>
        <rFont val="Calibri"/>
        <family val="2"/>
        <scheme val="minor"/>
      </rPr>
      <t>)</t>
    </r>
  </si>
  <si>
    <r>
      <t>I&gt;</t>
    </r>
    <r>
      <rPr>
        <sz val="11"/>
        <color theme="1"/>
        <rFont val="Calibri"/>
        <family val="2"/>
      </rPr>
      <t>≤I</t>
    </r>
    <r>
      <rPr>
        <vertAlign val="subscript"/>
        <sz val="11"/>
        <color theme="1"/>
        <rFont val="Calibri"/>
        <family val="2"/>
      </rPr>
      <t>z,korr</t>
    </r>
  </si>
  <si>
    <r>
      <t>I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</rPr>
      <t>≤I</t>
    </r>
    <r>
      <rPr>
        <vertAlign val="subscript"/>
        <sz val="11"/>
        <color theme="1"/>
        <rFont val="Calibri"/>
        <family val="2"/>
      </rPr>
      <t>z,korr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</si>
  <si>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k,2F,min,10KV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</t>
    </r>
    <r>
      <rPr>
        <vertAlign val="subscript"/>
        <sz val="11"/>
        <color theme="1"/>
        <rFont val="Calibri"/>
        <family val="2"/>
      </rPr>
      <t>s</t>
    </r>
  </si>
  <si>
    <t>Dim LS kabel</t>
  </si>
  <si>
    <r>
      <t>I</t>
    </r>
    <r>
      <rPr>
        <vertAlign val="subscript"/>
        <sz val="11"/>
        <color theme="1"/>
        <rFont val="Calibri"/>
        <family val="2"/>
        <scheme val="minor"/>
      </rPr>
      <t>z,korr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z,kabel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luft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</si>
  <si>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</si>
  <si>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</si>
  <si>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z,kabel</t>
    </r>
  </si>
  <si>
    <t>Dim HS kabel</t>
  </si>
  <si>
    <r>
      <t>I</t>
    </r>
    <r>
      <rPr>
        <vertAlign val="subscript"/>
        <sz val="11"/>
        <color theme="1"/>
        <rFont val="Calibri"/>
        <family val="2"/>
        <scheme val="minor"/>
      </rPr>
      <t>b,Trafo,10kV</t>
    </r>
    <r>
      <rPr>
        <sz val="11"/>
        <color theme="1"/>
        <rFont val="Calibri"/>
        <family val="2"/>
        <scheme val="minor"/>
      </rPr>
      <t>/K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</si>
  <si>
    <t>Tjek af KB relæ</t>
  </si>
  <si>
    <t>stk.</t>
  </si>
  <si>
    <r>
      <t>I</t>
    </r>
    <r>
      <rPr>
        <vertAlign val="subscript"/>
        <sz val="11"/>
        <color theme="1"/>
        <rFont val="Calibri"/>
        <family val="2"/>
        <scheme val="minor"/>
      </rPr>
      <t>k,FN,min,0,4kV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k,T,3F,min,0,4kV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</si>
  <si>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</si>
  <si>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k,T,FN,min,0,4kV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k,3F,min,0,4kV</t>
    </r>
  </si>
  <si>
    <t>Sat.</t>
  </si>
  <si>
    <t xml:space="preserve">Sat. </t>
  </si>
  <si>
    <r>
      <t xml:space="preserve">Beregning </t>
    </r>
    <r>
      <rPr>
        <b/>
        <sz val="11"/>
        <color theme="1"/>
        <rFont val="Calibri"/>
        <family val="2"/>
      </rPr>
      <t>∑</t>
    </r>
    <r>
      <rPr>
        <b/>
        <sz val="11"/>
        <color theme="1"/>
        <rFont val="Calibri"/>
        <family val="2"/>
        <scheme val="minor"/>
      </rPr>
      <t>Z</t>
    </r>
    <r>
      <rPr>
        <b/>
        <vertAlign val="subscript"/>
        <sz val="11"/>
        <color theme="1"/>
        <rFont val="Calibri"/>
        <family val="2"/>
        <scheme val="minor"/>
      </rPr>
      <t>n,max,10kV</t>
    </r>
  </si>
  <si>
    <r>
      <rPr>
        <sz val="11"/>
        <rFont val="Calibri"/>
        <family val="2"/>
      </rPr>
      <t>∑</t>
    </r>
    <r>
      <rPr>
        <sz val="11"/>
        <rFont val="Calibri"/>
        <family val="2"/>
        <scheme val="minor"/>
      </rPr>
      <t>Z</t>
    </r>
    <r>
      <rPr>
        <vertAlign val="subscript"/>
        <sz val="11"/>
        <rFont val="Calibri"/>
        <family val="2"/>
        <scheme val="minor"/>
      </rPr>
      <t>n,min,10kV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n,min,10kV</t>
    </r>
    <r>
      <rPr>
        <sz val="11"/>
        <rFont val="Calibri"/>
        <family val="2"/>
        <scheme val="minor"/>
      </rPr>
      <t>∠+R∠+X∠</t>
    </r>
  </si>
  <si>
    <r>
      <t xml:space="preserve">Beregning </t>
    </r>
    <r>
      <rPr>
        <b/>
        <sz val="11"/>
        <color theme="1"/>
        <rFont val="Calibri"/>
        <family val="2"/>
      </rPr>
      <t>∑</t>
    </r>
    <r>
      <rPr>
        <b/>
        <sz val="11"/>
        <color theme="1"/>
        <rFont val="Calibri"/>
        <family val="2"/>
        <scheme val="minor"/>
      </rPr>
      <t>Z</t>
    </r>
    <r>
      <rPr>
        <b/>
        <vertAlign val="subscript"/>
        <sz val="11"/>
        <color theme="1"/>
        <rFont val="Calibri"/>
        <family val="2"/>
        <scheme val="minor"/>
      </rPr>
      <t>n,min,10kV</t>
    </r>
  </si>
  <si>
    <r>
      <rPr>
        <sz val="11"/>
        <rFont val="Calibri"/>
        <family val="2"/>
      </rPr>
      <t>∑</t>
    </r>
    <r>
      <rPr>
        <sz val="11"/>
        <rFont val="Calibri"/>
        <family val="2"/>
        <scheme val="minor"/>
      </rPr>
      <t>Z</t>
    </r>
    <r>
      <rPr>
        <vertAlign val="subscript"/>
        <sz val="11"/>
        <rFont val="Calibri"/>
        <family val="2"/>
        <scheme val="minor"/>
      </rPr>
      <t>n,max,10kV</t>
    </r>
    <r>
      <rPr>
        <sz val="11"/>
        <rFont val="Calibri"/>
        <family val="2"/>
        <scheme val="minor"/>
      </rPr>
      <t>=Z</t>
    </r>
    <r>
      <rPr>
        <vertAlign val="subscript"/>
        <sz val="11"/>
        <rFont val="Calibri"/>
        <family val="2"/>
        <scheme val="minor"/>
      </rPr>
      <t>n,max,10kV</t>
    </r>
    <r>
      <rPr>
        <sz val="11"/>
        <rFont val="Calibri"/>
        <family val="2"/>
        <scheme val="minor"/>
      </rPr>
      <t>∠+R∠+X∠</t>
    </r>
  </si>
  <si>
    <r>
      <rPr>
        <sz val="11"/>
        <rFont val="Calibri"/>
        <family val="2"/>
      </rPr>
      <t>∑</t>
    </r>
    <r>
      <rPr>
        <sz val="11"/>
        <rFont val="Calibri"/>
        <family val="2"/>
        <scheme val="minor"/>
      </rPr>
      <t>Z</t>
    </r>
    <r>
      <rPr>
        <vertAlign val="subscript"/>
        <sz val="11"/>
        <rFont val="Calibri"/>
        <family val="2"/>
        <scheme val="minor"/>
      </rPr>
      <t>T,min,0,4kV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</si>
  <si>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</si>
  <si>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Beregning ∑Z</t>
    </r>
    <r>
      <rPr>
        <b/>
        <vertAlign val="subscript"/>
        <sz val="11"/>
        <rFont val="Calibri"/>
        <family val="2"/>
        <scheme val="minor"/>
      </rPr>
      <t>T,min,0,4kV</t>
    </r>
  </si>
  <si>
    <r>
      <t>Beregning ∑Z</t>
    </r>
    <r>
      <rPr>
        <b/>
        <vertAlign val="subscript"/>
        <sz val="11"/>
        <rFont val="Calibri"/>
        <family val="2"/>
        <scheme val="minor"/>
      </rPr>
      <t>T,max,0,4kV</t>
    </r>
  </si>
  <si>
    <r>
      <t>Beregning ∑Z</t>
    </r>
    <r>
      <rPr>
        <b/>
        <vertAlign val="subscript"/>
        <sz val="11"/>
        <color theme="1"/>
        <rFont val="Calibri"/>
        <family val="2"/>
        <scheme val="minor"/>
      </rPr>
      <t>T,10KV</t>
    </r>
  </si>
  <si>
    <r>
      <t>∑Z</t>
    </r>
    <r>
      <rPr>
        <vertAlign val="subscript"/>
        <sz val="11"/>
        <rFont val="Calibri"/>
        <family val="2"/>
        <scheme val="minor"/>
      </rPr>
      <t>T,min,0,4kV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</si>
  <si>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T,min,0,4kV</t>
    </r>
    <r>
      <rPr>
        <sz val="11"/>
        <color theme="1"/>
        <rFont val="Calibri"/>
        <family val="2"/>
        <scheme val="minor"/>
      </rPr>
      <t>)</t>
    </r>
  </si>
  <si>
    <r>
      <t>∑Z</t>
    </r>
    <r>
      <rPr>
        <vertAlign val="subscript"/>
        <sz val="11"/>
        <rFont val="Calibri"/>
        <family val="2"/>
        <scheme val="minor"/>
      </rPr>
      <t>Tmax0,4kV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</si>
  <si>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√3*∑ZT</t>
    </r>
    <r>
      <rPr>
        <vertAlign val="subscript"/>
        <sz val="11"/>
        <color theme="1"/>
        <rFont val="Calibri"/>
        <family val="2"/>
      </rPr>
      <t>,max,0,4kV</t>
    </r>
    <r>
      <rPr>
        <sz val="11"/>
        <color theme="1"/>
        <rFont val="Calibri"/>
        <family val="2"/>
        <scheme val="minor"/>
      </rPr>
      <t>)</t>
    </r>
  </si>
  <si>
    <r>
      <t>∑Z</t>
    </r>
    <r>
      <rPr>
        <vertAlign val="subscript"/>
        <sz val="11"/>
        <rFont val="Calibri"/>
        <family val="2"/>
        <scheme val="minor"/>
      </rPr>
      <t>n,max,10kV</t>
    </r>
  </si>
  <si>
    <r>
      <t>∑Z</t>
    </r>
    <r>
      <rPr>
        <vertAlign val="subscript"/>
        <sz val="11"/>
        <rFont val="Calibri"/>
        <family val="2"/>
        <scheme val="minor"/>
      </rPr>
      <t>Tmin0,4kV</t>
    </r>
  </si>
  <si>
    <r>
      <t>∑Z</t>
    </r>
    <r>
      <rPr>
        <vertAlign val="subscript"/>
        <sz val="11"/>
        <rFont val="Calibri"/>
        <family val="2"/>
        <scheme val="minor"/>
      </rPr>
      <t>T,max,10kV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</si>
  <si>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T,min,10kV</t>
    </r>
    <r>
      <rPr>
        <sz val="11"/>
        <color theme="1"/>
        <rFont val="Calibri"/>
        <family val="2"/>
        <scheme val="minor"/>
      </rPr>
      <t>)</t>
    </r>
  </si>
  <si>
    <r>
      <t>∑Z</t>
    </r>
    <r>
      <rPr>
        <vertAlign val="subscript"/>
        <sz val="11"/>
        <color theme="1"/>
        <rFont val="Calibri"/>
        <family val="2"/>
        <scheme val="minor"/>
      </rPr>
      <t>N,min,10kV</t>
    </r>
  </si>
  <si>
    <r>
      <t>I</t>
    </r>
    <r>
      <rPr>
        <vertAlign val="subscript"/>
        <sz val="11"/>
        <rFont val="Calibri"/>
        <family val="2"/>
        <scheme val="minor"/>
      </rPr>
      <t>k,2F,max,10kV</t>
    </r>
    <r>
      <rPr>
        <sz val="11"/>
        <rFont val="Calibri"/>
        <family val="2"/>
        <scheme val="minor"/>
      </rPr>
      <t>=U</t>
    </r>
    <r>
      <rPr>
        <vertAlign val="subscript"/>
        <sz val="11"/>
        <rFont val="Calibri"/>
        <family val="2"/>
        <scheme val="minor"/>
      </rPr>
      <t>N1</t>
    </r>
    <r>
      <rPr>
        <sz val="11"/>
        <rFont val="Calibri"/>
        <family val="2"/>
        <scheme val="minor"/>
      </rPr>
      <t>/(2*∑Z</t>
    </r>
    <r>
      <rPr>
        <vertAlign val="subscript"/>
        <sz val="11"/>
        <rFont val="Calibri"/>
        <family val="2"/>
        <scheme val="minor"/>
      </rPr>
      <t>N,min,10kV</t>
    </r>
    <r>
      <rPr>
        <sz val="11"/>
        <rFont val="Calibri"/>
        <family val="2"/>
        <scheme val="minor"/>
      </rPr>
      <t>)</t>
    </r>
  </si>
  <si>
    <r>
      <t>∑Z</t>
    </r>
    <r>
      <rPr>
        <vertAlign val="subscript"/>
        <sz val="11"/>
        <color theme="1"/>
        <rFont val="Calibri"/>
        <family val="2"/>
        <scheme val="minor"/>
      </rPr>
      <t>T,max,10kV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</si>
  <si>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T,max,10kV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</si>
  <si>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√3*∑Z</t>
    </r>
    <r>
      <rPr>
        <vertAlign val="subscript"/>
        <sz val="11"/>
        <color theme="1"/>
        <rFont val="Calibri"/>
        <family val="2"/>
      </rPr>
      <t>T,max,10kV</t>
    </r>
    <r>
      <rPr>
        <sz val="11"/>
        <color theme="1"/>
        <rFont val="Calibri"/>
        <family val="2"/>
        <scheme val="minor"/>
      </rPr>
      <t>)</t>
    </r>
  </si>
  <si>
    <t>Skal laves om til Ik2fmin</t>
  </si>
  <si>
    <r>
      <t>∑Z</t>
    </r>
    <r>
      <rPr>
        <vertAlign val="subscript"/>
        <sz val="11"/>
        <color theme="1"/>
        <rFont val="Calibri"/>
        <family val="2"/>
        <scheme val="minor"/>
      </rPr>
      <t>N,max,10kV</t>
    </r>
  </si>
  <si>
    <r>
      <t>t&gt;&gt;</t>
    </r>
    <r>
      <rPr>
        <vertAlign val="subscript"/>
        <sz val="11"/>
        <rFont val="Calibri"/>
        <family val="2"/>
        <scheme val="minor"/>
      </rPr>
      <t>linje</t>
    </r>
  </si>
  <si>
    <r>
      <t>I</t>
    </r>
    <r>
      <rPr>
        <vertAlign val="subscript"/>
        <sz val="11"/>
        <rFont val="Calibri"/>
        <family val="2"/>
        <scheme val="minor"/>
      </rPr>
      <t>k,2F,min,10kV</t>
    </r>
    <r>
      <rPr>
        <sz val="11"/>
        <rFont val="Calibri"/>
        <family val="2"/>
        <scheme val="minor"/>
      </rPr>
      <t>=U</t>
    </r>
    <r>
      <rPr>
        <vertAlign val="subscript"/>
        <sz val="11"/>
        <rFont val="Calibri"/>
        <family val="2"/>
        <scheme val="minor"/>
      </rPr>
      <t>N1</t>
    </r>
    <r>
      <rPr>
        <sz val="11"/>
        <rFont val="Calibri"/>
        <family val="2"/>
        <scheme val="minor"/>
      </rPr>
      <t>/(2*∑Z</t>
    </r>
    <r>
      <rPr>
        <vertAlign val="subscript"/>
        <sz val="11"/>
        <rFont val="Calibri"/>
        <family val="2"/>
        <scheme val="minor"/>
      </rPr>
      <t>N,max,10kV</t>
    </r>
    <r>
      <rPr>
        <sz val="11"/>
        <rFont val="Calibri"/>
        <family val="2"/>
        <scheme val="minor"/>
      </rPr>
      <t>)</t>
    </r>
  </si>
  <si>
    <r>
      <t>Beregning Z</t>
    </r>
    <r>
      <rPr>
        <b/>
        <vertAlign val="subscript"/>
        <sz val="11"/>
        <color theme="1"/>
        <rFont val="Calibri"/>
        <family val="2"/>
        <scheme val="minor"/>
      </rPr>
      <t>n</t>
    </r>
  </si>
  <si>
    <r>
      <t>U</t>
    </r>
    <r>
      <rPr>
        <vertAlign val="subscript"/>
        <sz val="11"/>
        <color theme="1"/>
        <rFont val="Calibri"/>
        <family val="2"/>
        <scheme val="minor"/>
      </rPr>
      <t>n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</si>
  <si>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k,3F,max,HT</t>
    </r>
  </si>
  <si>
    <r>
      <rPr>
        <sz val="11"/>
        <color theme="1"/>
        <rFont val="Calibri"/>
        <family val="2"/>
        <scheme val="minor"/>
      </rPr>
      <t>I</t>
    </r>
    <r>
      <rPr>
        <vertAlign val="subscript"/>
        <sz val="11"/>
        <color theme="1"/>
        <rFont val="Calibri"/>
        <family val="2"/>
        <scheme val="minor"/>
      </rPr>
      <t>k,FN,min,HT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</si>
  <si>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k,3F,max,HT</t>
    </r>
    <r>
      <rPr>
        <sz val="11"/>
        <color theme="1"/>
        <rFont val="Calibri"/>
        <family val="2"/>
        <scheme val="minor"/>
      </rPr>
      <t>)</t>
    </r>
  </si>
  <si>
    <t>mΩ</t>
  </si>
  <si>
    <r>
      <t>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√3*I</t>
    </r>
    <r>
      <rPr>
        <vertAlign val="subscript"/>
        <sz val="11"/>
        <color theme="1"/>
        <rFont val="Calibri"/>
        <family val="2"/>
      </rPr>
      <t>K,F-PE,min,HT</t>
    </r>
    <r>
      <rPr>
        <sz val="11"/>
        <color theme="1"/>
        <rFont val="Calibri"/>
        <family val="2"/>
        <scheme val="minor"/>
      </rPr>
      <t>)</t>
    </r>
  </si>
  <si>
    <t xml:space="preserve">Når der står SKn så er Skmin og max samme størrelse </t>
  </si>
  <si>
    <r>
      <t>U</t>
    </r>
    <r>
      <rPr>
        <vertAlign val="subscript"/>
        <sz val="11"/>
        <color theme="1"/>
        <rFont val="Calibri"/>
        <family val="2"/>
        <scheme val="minor"/>
      </rPr>
      <t>N</t>
    </r>
  </si>
  <si>
    <r>
      <t>S</t>
    </r>
    <r>
      <rPr>
        <vertAlign val="subscript"/>
        <sz val="11"/>
        <color theme="1"/>
        <rFont val="Calibri"/>
        <family val="2"/>
        <scheme val="minor"/>
      </rPr>
      <t>Kmax</t>
    </r>
  </si>
  <si>
    <r>
      <t>S</t>
    </r>
    <r>
      <rPr>
        <vertAlign val="subscript"/>
        <sz val="11"/>
        <color theme="1"/>
        <rFont val="Calibri"/>
        <family val="2"/>
        <scheme val="minor"/>
      </rPr>
      <t>Kmin</t>
    </r>
  </si>
  <si>
    <r>
      <t>Z</t>
    </r>
    <r>
      <rPr>
        <vertAlign val="subscript"/>
        <sz val="11"/>
        <color theme="1"/>
        <rFont val="Calibri"/>
        <family val="2"/>
        <scheme val="minor"/>
      </rPr>
      <t>nmin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Kmax</t>
    </r>
  </si>
  <si>
    <r>
      <t>Z</t>
    </r>
    <r>
      <rPr>
        <vertAlign val="subscript"/>
        <sz val="11"/>
        <color theme="1"/>
        <rFont val="Calibri"/>
        <family val="2"/>
        <scheme val="minor"/>
      </rPr>
      <t>nmax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Kmin</t>
    </r>
  </si>
  <si>
    <t xml:space="preserve">Sk min og max er lige store </t>
  </si>
  <si>
    <r>
      <t>S</t>
    </r>
    <r>
      <rPr>
        <vertAlign val="subscript"/>
        <sz val="11"/>
        <color theme="1"/>
        <rFont val="Calibri"/>
        <family val="2"/>
        <scheme val="minor"/>
      </rPr>
      <t>Kn</t>
    </r>
  </si>
  <si>
    <r>
      <t>Z</t>
    </r>
    <r>
      <rPr>
        <vertAlign val="subscript"/>
        <sz val="11"/>
        <color theme="1"/>
        <rFont val="Calibri"/>
        <family val="2"/>
        <scheme val="minor"/>
      </rPr>
      <t>n,min</t>
    </r>
    <r>
      <rPr>
        <sz val="11"/>
        <color theme="1"/>
        <rFont val="Calibri"/>
        <family val="2"/>
        <scheme val="minor"/>
      </rPr>
      <t>=Z</t>
    </r>
    <r>
      <rPr>
        <vertAlign val="subscript"/>
        <sz val="11"/>
        <color theme="1"/>
        <rFont val="Calibri"/>
        <family val="2"/>
        <scheme val="minor"/>
      </rPr>
      <t>n,max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  <r>
      <rPr>
        <vertAlign val="subscript"/>
        <sz val="11"/>
        <color theme="1"/>
        <rFont val="Calibri"/>
        <family val="2"/>
        <scheme val="minor"/>
      </rPr>
      <t>Kn</t>
    </r>
  </si>
  <si>
    <t>mΩ</t>
  </si>
  <si>
    <r>
      <t>Beregn I</t>
    </r>
    <r>
      <rPr>
        <b/>
        <vertAlign val="subscript"/>
        <sz val="11"/>
        <color theme="1"/>
        <rFont val="Calibri"/>
        <family val="2"/>
        <scheme val="minor"/>
      </rPr>
      <t>b</t>
    </r>
  </si>
  <si>
    <t>Kabel</t>
  </si>
  <si>
    <t>cos φ</t>
  </si>
  <si>
    <t>P</t>
  </si>
  <si>
    <t>kW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</si>
  <si>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=P/(U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√3*cos φ</t>
    </r>
    <r>
      <rPr>
        <sz val="11"/>
        <color theme="1"/>
        <rFont val="Calibri"/>
        <family val="2"/>
        <scheme val="minor"/>
      </rPr>
      <t>)</t>
    </r>
  </si>
  <si>
    <t>Dim af kabel</t>
  </si>
  <si>
    <r>
      <t>I</t>
    </r>
    <r>
      <rPr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</si>
  <si>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vertAlign val="subscript"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/(k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)</t>
    </r>
  </si>
  <si>
    <r>
      <t>BG=(I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)*100</t>
    </r>
  </si>
  <si>
    <r>
      <t>I</t>
    </r>
    <r>
      <rPr>
        <vertAlign val="subscript"/>
        <sz val="11"/>
        <color theme="1"/>
        <rFont val="Calibri"/>
        <family val="2"/>
        <scheme val="minor"/>
      </rPr>
      <t>k,3F,min,10kV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/Z</t>
    </r>
    <r>
      <rPr>
        <vertAlign val="subscript"/>
        <sz val="11"/>
        <color theme="1"/>
        <rFont val="Calibri"/>
        <family val="2"/>
        <scheme val="minor"/>
      </rPr>
      <t>n,max,10kV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√3)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</si>
  <si>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k,2F,min,10kV</t>
    </r>
    <r>
      <rPr>
        <sz val="11"/>
        <color theme="1"/>
        <rFont val="Calibri"/>
        <family val="2"/>
        <scheme val="minor"/>
      </rPr>
      <t>=(</t>
    </r>
    <r>
      <rPr>
        <sz val="11"/>
        <color theme="1"/>
        <rFont val="Calibri"/>
        <family val="2"/>
      </rPr>
      <t>√3/2)*I</t>
    </r>
    <r>
      <rPr>
        <vertAlign val="subscript"/>
        <sz val="11"/>
        <color theme="1"/>
        <rFont val="Calibri"/>
        <family val="2"/>
      </rPr>
      <t>k,3F,min,10kV</t>
    </r>
  </si>
  <si>
    <r>
      <t>I&gt;&gt;</t>
    </r>
    <r>
      <rPr>
        <vertAlign val="subscript"/>
        <sz val="11"/>
        <color theme="1"/>
        <rFont val="Calibri"/>
        <family val="2"/>
        <scheme val="minor"/>
      </rPr>
      <t>Linje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k,2F,min,10kV</t>
    </r>
    <r>
      <rPr>
        <sz val="11"/>
        <color theme="1"/>
        <rFont val="Calibri"/>
        <family val="2"/>
        <scheme val="minor"/>
      </rPr>
      <t>*0,75</t>
    </r>
  </si>
  <si>
    <r>
      <t>S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=P/cos φ </t>
    </r>
  </si>
  <si>
    <r>
      <t>I</t>
    </r>
    <r>
      <rPr>
        <vertAlign val="subscript"/>
        <sz val="11"/>
        <color theme="1"/>
        <rFont val="Calibri"/>
        <family val="2"/>
        <scheme val="minor"/>
      </rPr>
      <t>b,trafo,10kV</t>
    </r>
  </si>
  <si>
    <t>Valg</t>
  </si>
  <si>
    <t>3 stk.</t>
  </si>
  <si>
    <t>Full-range</t>
  </si>
  <si>
    <t xml:space="preserve">Skal igennem ringnættet </t>
  </si>
  <si>
    <t xml:space="preserve">Husk der ikke skal længde på denne er nul, det er kun impedansek for kablet </t>
  </si>
  <si>
    <t>for I'</t>
  </si>
  <si>
    <t>143 for kobber</t>
  </si>
  <si>
    <r>
      <t>S</t>
    </r>
    <r>
      <rPr>
        <vertAlign val="subscript"/>
        <sz val="11"/>
        <rFont val="Calibri"/>
        <family val="2"/>
        <scheme val="minor"/>
      </rPr>
      <t>k,max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</si>
  <si>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k,2F,max,10,kV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2</t>
    </r>
    <r>
      <rPr>
        <sz val="11"/>
        <color theme="1"/>
        <rFont val="Calibri"/>
        <family val="2"/>
        <scheme val="minor"/>
      </rPr>
      <t>*Z</t>
    </r>
    <r>
      <rPr>
        <vertAlign val="subscript"/>
        <sz val="11"/>
        <color theme="1"/>
        <rFont val="Calibri"/>
        <family val="2"/>
        <scheme val="minor"/>
      </rPr>
      <t>n,min,10,kV</t>
    </r>
    <r>
      <rPr>
        <sz val="11"/>
        <color theme="1"/>
        <rFont val="Calibri"/>
        <family val="2"/>
        <scheme val="minor"/>
      </rPr>
      <t>)</t>
    </r>
  </si>
  <si>
    <r>
      <t>Z</t>
    </r>
    <r>
      <rPr>
        <vertAlign val="subscript"/>
        <sz val="11"/>
        <rFont val="Calibri"/>
        <family val="2"/>
        <scheme val="minor"/>
      </rPr>
      <t>n,min,10,kV</t>
    </r>
  </si>
  <si>
    <r>
      <t>t&gt;</t>
    </r>
    <r>
      <rPr>
        <vertAlign val="subscript"/>
        <sz val="11"/>
        <rFont val="Calibri"/>
        <family val="2"/>
        <scheme val="minor"/>
      </rPr>
      <t>linje</t>
    </r>
    <r>
      <rPr>
        <sz val="11"/>
        <rFont val="Calibri"/>
        <family val="2"/>
        <scheme val="minor"/>
      </rPr>
      <t xml:space="preserve"> eller t&gt;&gt;</t>
    </r>
    <r>
      <rPr>
        <vertAlign val="subscript"/>
        <sz val="11"/>
        <rFont val="Calibri"/>
        <family val="2"/>
        <scheme val="minor"/>
      </rPr>
      <t>Linje</t>
    </r>
  </si>
  <si>
    <t>Indstilling I&gt;</t>
  </si>
  <si>
    <t>Overlast</t>
  </si>
  <si>
    <t>vælg på bagrund af Iz for kablet.</t>
  </si>
  <si>
    <t>Vælges på baggrund i Iz</t>
  </si>
  <si>
    <r>
      <t>I</t>
    </r>
    <r>
      <rPr>
        <vertAlign val="subscript"/>
        <sz val="11"/>
        <color theme="1"/>
        <rFont val="Calibri"/>
        <family val="2"/>
        <scheme val="minor"/>
      </rPr>
      <t>z,korr.</t>
    </r>
  </si>
  <si>
    <r>
      <t>I</t>
    </r>
    <r>
      <rPr>
        <vertAlign val="subscript"/>
        <sz val="11"/>
        <color theme="1"/>
        <rFont val="Calibri"/>
        <family val="2"/>
        <scheme val="minor"/>
      </rPr>
      <t>z,aktuel</t>
    </r>
  </si>
  <si>
    <r>
      <t>I</t>
    </r>
    <r>
      <rPr>
        <vertAlign val="subscript"/>
        <sz val="11"/>
        <color theme="1"/>
        <rFont val="Calibri"/>
        <family val="2"/>
        <scheme val="minor"/>
      </rPr>
      <t>z,aktuel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z,korr.</t>
    </r>
    <r>
      <rPr>
        <sz val="11"/>
        <color theme="1"/>
        <rFont val="Calibri"/>
        <family val="2"/>
        <scheme val="minor"/>
      </rPr>
      <t>*overlast</t>
    </r>
  </si>
  <si>
    <r>
      <t>k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N2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N1</t>
    </r>
  </si>
  <si>
    <r>
      <t>k</t>
    </r>
    <r>
      <rPr>
        <vertAlign val="subscript"/>
        <sz val="11"/>
        <color theme="1"/>
        <rFont val="Calibri"/>
        <family val="2"/>
        <scheme val="minor"/>
      </rPr>
      <t>i</t>
    </r>
  </si>
  <si>
    <r>
      <t>I</t>
    </r>
    <r>
      <rPr>
        <vertAlign val="subscript"/>
        <sz val="11"/>
        <color theme="1"/>
        <rFont val="Calibri"/>
        <family val="2"/>
        <scheme val="minor"/>
      </rPr>
      <t>N1</t>
    </r>
  </si>
  <si>
    <r>
      <t>I&gt;=I</t>
    </r>
    <r>
      <rPr>
        <vertAlign val="subscript"/>
        <sz val="11"/>
        <color theme="1"/>
        <rFont val="Calibri"/>
        <family val="2"/>
        <scheme val="minor"/>
      </rPr>
      <t>z,aktuel</t>
    </r>
    <r>
      <rPr>
        <sz val="11"/>
        <color theme="1"/>
        <rFont val="Calibri"/>
        <family val="2"/>
        <scheme val="minor"/>
      </rPr>
      <t>/(k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*I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)</t>
    </r>
  </si>
  <si>
    <t>Indstilling t&gt;</t>
  </si>
  <si>
    <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k,max</t>
    </r>
    <r>
      <rPr>
        <sz val="11"/>
        <color theme="1"/>
        <rFont val="Calibri"/>
        <family val="2"/>
        <scheme val="minor"/>
      </rPr>
      <t>/2*U</t>
    </r>
    <r>
      <rPr>
        <vertAlign val="subscript"/>
        <sz val="11"/>
        <color theme="1"/>
        <rFont val="Calibri"/>
        <family val="2"/>
        <scheme val="minor"/>
      </rPr>
      <t>n1</t>
    </r>
  </si>
  <si>
    <r>
      <t>t&gt;</t>
    </r>
    <r>
      <rPr>
        <vertAlign val="subscript"/>
        <sz val="11"/>
        <color theme="1"/>
        <rFont val="Calibri"/>
        <family val="2"/>
        <scheme val="minor"/>
      </rPr>
      <t>korr</t>
    </r>
    <r>
      <rPr>
        <sz val="11"/>
        <color theme="1"/>
        <rFont val="Calibri"/>
        <family val="2"/>
        <scheme val="minor"/>
      </rPr>
      <t>=(I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  <scheme val="minor"/>
      </rPr>
      <t>/I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</si>
  <si>
    <t>År før transformeren er kommet et sted hen</t>
  </si>
  <si>
    <t xml:space="preserve">% hvor mange procent den kommer ned på </t>
  </si>
  <si>
    <t xml:space="preserve">Sn er mærke effekten </t>
  </si>
  <si>
    <t xml:space="preserve">S den optagende effekt </t>
  </si>
  <si>
    <t>r belastningen vokser med pr år</t>
  </si>
  <si>
    <t>n år det tager</t>
  </si>
  <si>
    <t>HUSK AT SLÅ KOMPLEKSE TAL FRA I WORDMAT</t>
  </si>
  <si>
    <t>1*PEX</t>
  </si>
  <si>
    <r>
      <t>I</t>
    </r>
    <r>
      <rPr>
        <vertAlign val="subscript"/>
        <sz val="11"/>
        <color theme="1"/>
        <rFont val="Calibri"/>
        <family val="2"/>
        <scheme val="minor"/>
      </rPr>
      <t>z,korr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z,kabel</t>
    </r>
    <r>
      <rPr>
        <sz val="11"/>
        <color theme="1"/>
        <rFont val="Calibri"/>
        <family val="2"/>
        <scheme val="minor"/>
      </rPr>
      <t>*K</t>
    </r>
    <r>
      <rPr>
        <vertAlign val="subscript"/>
        <sz val="11"/>
        <color theme="1"/>
        <rFont val="Calibri"/>
        <family val="2"/>
        <scheme val="minor"/>
      </rPr>
      <t>t</t>
    </r>
  </si>
  <si>
    <t>Tjek af kabler ved relæ</t>
  </si>
  <si>
    <t>Tjek af kabler ved SM</t>
  </si>
  <si>
    <r>
      <t>I</t>
    </r>
    <r>
      <rPr>
        <vertAlign val="subscript"/>
        <sz val="11"/>
        <color theme="1"/>
        <rFont val="Calibri"/>
        <family val="2"/>
        <scheme val="minor"/>
      </rPr>
      <t>k,3F,max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k,max</t>
    </r>
    <r>
      <rPr>
        <sz val="11"/>
        <color theme="1"/>
        <rFont val="Calibri"/>
        <family val="2"/>
        <scheme val="minor"/>
      </rPr>
      <t>/(√3*U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</si>
  <si>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k,2F,max</t>
    </r>
    <r>
      <rPr>
        <sz val="11"/>
        <color theme="1"/>
        <rFont val="Calibri"/>
        <family val="2"/>
        <scheme val="minor"/>
      </rPr>
      <t>=S</t>
    </r>
    <r>
      <rPr>
        <vertAlign val="subscript"/>
        <sz val="11"/>
        <color theme="1"/>
        <rFont val="Calibri"/>
        <family val="2"/>
        <scheme val="minor"/>
      </rPr>
      <t>k,max</t>
    </r>
    <r>
      <rPr>
        <sz val="11"/>
        <color theme="1"/>
        <rFont val="Calibri"/>
        <family val="2"/>
        <scheme val="minor"/>
      </rPr>
      <t>/(2*U</t>
    </r>
    <r>
      <rPr>
        <vertAlign val="subscript"/>
        <sz val="11"/>
        <color theme="1"/>
        <rFont val="Calibri"/>
        <family val="2"/>
        <scheme val="minor"/>
      </rPr>
      <t>n1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</si>
  <si>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k,T,2F,max,10kV*</t>
    </r>
    <r>
      <rPr>
        <sz val="11"/>
        <color theme="1"/>
        <rFont val="Calibri"/>
        <family val="2"/>
        <scheme val="minor"/>
      </rPr>
      <t>√t&gt;+t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</si>
  <si>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k,T,2F,max,10KV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√t&gt;+t</t>
    </r>
    <r>
      <rPr>
        <vertAlign val="subscript"/>
        <sz val="11"/>
        <color theme="1"/>
        <rFont val="Calibri"/>
        <family val="2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</si>
  <si>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k,T,3F,max*</t>
    </r>
    <r>
      <rPr>
        <sz val="11"/>
        <color theme="1"/>
        <rFont val="Calibri"/>
        <family val="2"/>
        <scheme val="minor"/>
      </rPr>
      <t>√t&gt;+t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</si>
  <si>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k,1s,leder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k,T,3F,max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√t&gt;+t</t>
    </r>
    <r>
      <rPr>
        <vertAlign val="subscript"/>
        <sz val="11"/>
        <color theme="1"/>
        <rFont val="Calibri"/>
        <family val="2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</si>
  <si>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k,T,2F,max*</t>
    </r>
    <r>
      <rPr>
        <sz val="11"/>
        <color theme="1"/>
        <rFont val="Calibri"/>
        <family val="2"/>
        <scheme val="minor"/>
      </rPr>
      <t>√t&gt;+t</t>
    </r>
    <r>
      <rPr>
        <vertAlign val="subscript"/>
        <sz val="11"/>
        <color theme="1"/>
        <rFont val="Calibri"/>
        <family val="2"/>
        <scheme val="minor"/>
      </rPr>
      <t>e</t>
    </r>
  </si>
  <si>
    <r>
      <t>I</t>
    </r>
    <r>
      <rPr>
        <vertAlign val="subscript"/>
        <sz val="11"/>
        <color theme="1"/>
        <rFont val="Calibri"/>
        <family val="2"/>
        <scheme val="minor"/>
      </rPr>
      <t>k,1s,skærm</t>
    </r>
    <r>
      <rPr>
        <sz val="11"/>
        <color theme="1"/>
        <rFont val="Calibri"/>
        <family val="2"/>
      </rPr>
      <t>≥I</t>
    </r>
    <r>
      <rPr>
        <vertAlign val="subscript"/>
        <sz val="11"/>
        <color theme="1"/>
        <rFont val="Calibri"/>
        <family val="2"/>
      </rPr>
      <t>k,T,2F,max</t>
    </r>
    <r>
      <rPr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</rPr>
      <t>√t&gt;+t</t>
    </r>
    <r>
      <rPr>
        <vertAlign val="subscript"/>
        <sz val="11"/>
        <color theme="1"/>
        <rFont val="Calibri"/>
        <family val="2"/>
      </rPr>
      <t>e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</si>
  <si>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k,min,0,4kV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</si>
  <si>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T,max,0,4kV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</si>
  <si>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k,min,0,4kV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</si>
  <si>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T,min,0,4kV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</si>
  <si>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k,max,0,4kV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</si>
  <si>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k,max,0,4kV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T,max,0,4kV</t>
    </r>
    <r>
      <rPr>
        <sz val="11"/>
        <color theme="1"/>
        <rFont val="Calibri"/>
        <family val="2"/>
        <scheme val="minor"/>
      </rPr>
      <t>)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</si>
  <si>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k,max,10kV</t>
    </r>
  </si>
  <si>
    <r>
      <t>Beregning I</t>
    </r>
    <r>
      <rPr>
        <b/>
        <vertAlign val="subscript"/>
        <sz val="11"/>
        <color theme="1"/>
        <rFont val="Calibri"/>
        <family val="2"/>
        <scheme val="minor"/>
      </rPr>
      <t>k,min,10kV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</si>
  <si>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T,min,10kV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</si>
  <si>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k,max,10kV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T,max,10kV</t>
    </r>
    <r>
      <rPr>
        <sz val="11"/>
        <color theme="1"/>
        <rFont val="Calibri"/>
        <family val="2"/>
        <scheme val="minor"/>
      </rPr>
      <t>)</t>
    </r>
  </si>
  <si>
    <r>
      <t>Z</t>
    </r>
    <r>
      <rPr>
        <vertAlign val="subscript"/>
        <sz val="11"/>
        <color theme="1"/>
        <rFont val="Calibri"/>
        <family val="2"/>
        <scheme val="minor"/>
      </rPr>
      <t>T,max,10kV</t>
    </r>
  </si>
  <si>
    <r>
      <t>I</t>
    </r>
    <r>
      <rPr>
        <vertAlign val="subscript"/>
        <sz val="11"/>
        <color theme="1"/>
        <rFont val="Calibri"/>
        <family val="2"/>
        <scheme val="minor"/>
      </rPr>
      <t>k,min,10kV</t>
    </r>
    <r>
      <rPr>
        <sz val="11"/>
        <color theme="1"/>
        <rFont val="Calibri"/>
        <family val="2"/>
        <scheme val="minor"/>
      </rPr>
      <t>=U</t>
    </r>
    <r>
      <rPr>
        <vertAlign val="subscript"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/(</t>
    </r>
    <r>
      <rPr>
        <sz val="11"/>
        <color theme="1"/>
        <rFont val="Calibri"/>
        <family val="2"/>
      </rPr>
      <t>√3*Z</t>
    </r>
    <r>
      <rPr>
        <vertAlign val="subscript"/>
        <sz val="11"/>
        <color theme="1"/>
        <rFont val="Calibri"/>
        <family val="2"/>
      </rPr>
      <t>T,max,10kV</t>
    </r>
    <r>
      <rPr>
        <sz val="11"/>
        <color theme="1"/>
        <rFont val="Calibri"/>
        <family val="2"/>
        <scheme val="minor"/>
      </rPr>
      <t>)</t>
    </r>
  </si>
  <si>
    <r>
      <t>I</t>
    </r>
    <r>
      <rPr>
        <vertAlign val="subscript"/>
        <sz val="11"/>
        <color theme="1"/>
        <rFont val="Calibri"/>
        <family val="2"/>
        <scheme val="minor"/>
      </rPr>
      <t>z,aktuel</t>
    </r>
    <r>
      <rPr>
        <sz val="11"/>
        <color theme="1"/>
        <rFont val="Calibri"/>
        <family val="2"/>
        <scheme val="minor"/>
      </rPr>
      <t>=I</t>
    </r>
    <r>
      <rPr>
        <vertAlign val="subscript"/>
        <sz val="11"/>
        <color theme="1"/>
        <rFont val="Calibri"/>
        <family val="2"/>
        <scheme val="minor"/>
      </rPr>
      <t>b,trafo</t>
    </r>
    <r>
      <rPr>
        <sz val="11"/>
        <color theme="1"/>
        <rFont val="Calibri"/>
        <family val="2"/>
        <scheme val="minor"/>
      </rPr>
      <t>*overlast</t>
    </r>
  </si>
  <si>
    <t xml:space="preserve">Skal der korrigeres på ringnettet bruges denne: </t>
  </si>
  <si>
    <t>for i&gt; og t&gt;</t>
  </si>
  <si>
    <t>for I&gt;&gt; og t&gt;&gt;</t>
  </si>
  <si>
    <t>T0234</t>
  </si>
  <si>
    <t xml:space="preserve">Til hvis du skal beregne min og max strømmen på 400 V siden. </t>
  </si>
  <si>
    <t>altid 0,04</t>
  </si>
  <si>
    <t xml:space="preserve">find tal mellem disse 3 nedenstående </t>
  </si>
  <si>
    <t>SE lilla på L.relæ siden.</t>
  </si>
  <si>
    <t>VÆLG STØRSTE mm2</t>
  </si>
  <si>
    <t>Se under kavstpænding under installationskabler…</t>
  </si>
  <si>
    <t>FÆLLESJORD er den største af beskyttelsjord og driftsjord</t>
  </si>
  <si>
    <t>kan hede Ie</t>
  </si>
  <si>
    <t>TN</t>
  </si>
  <si>
    <t>OBS der kan være skrevet at den skal overholde en bestemt overbelastnings procent</t>
  </si>
  <si>
    <t>OBS se lige om det er I&gt; eller I&gt;&gt; for KT relæ</t>
  </si>
  <si>
    <t>Aflæses på tabel ud fra Ikmin</t>
  </si>
  <si>
    <t>C er kapacitansen</t>
  </si>
  <si>
    <t xml:space="preserve">Fulde længde af ringen </t>
  </si>
  <si>
    <t xml:space="preserve">Hvis 2 forskellige kabler </t>
  </si>
  <si>
    <t>Vælges ud fra Onenote</t>
  </si>
  <si>
    <t>Hvis der ikke skal korrigeres, vælg den rene Iz fra kabel datablad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</si>
</sst>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0.0"/>
    <numFmt numFmtId="166" formatCode="0.0000"/>
    <numFmt numFmtId="167" formatCode="0.000"/>
  </numFmts>
  <fonts count="24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vertAlign val="superscript"/>
      <sz val="11"/>
      <color theme="1"/>
      <name val="Calibri"/>
      <family val="2"/>
    </font>
    <font>
      <sz val="11"/>
      <color theme="2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vertAlign val="subscript"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164" fontId="21" fillId="0" borderId="0" applyFont="0" applyFill="0" applyBorder="0" applyAlignment="0" applyProtection="0"/>
  </cellStyleXfs>
  <cellXfs count="214">
    <xf numFmtId="0" fontId="0" fillId="0" borderId="0" xfId="0"/>
    <xf numFmtId="0" fontId="0" fillId="0" borderId="1" xfId="0" applyBorder="1"/>
    <xf numFmtId="2" fontId="0" fillId="3" borderId="1" xfId="0" applyNumberFormat="1" applyFill="1" applyBorder="1"/>
    <xf numFmtId="165" fontId="0" fillId="3" borderId="1" xfId="0" applyNumberFormat="1" applyFill="1" applyBorder="1"/>
    <xf numFmtId="2" fontId="0" fillId="0" borderId="1" xfId="0" applyNumberFormat="1" applyBorder="1"/>
    <xf numFmtId="0" fontId="6" fillId="0" borderId="0" xfId="0" applyFont="1"/>
    <xf numFmtId="0" fontId="0" fillId="4" borderId="1" xfId="0" applyFill="1" applyBorder="1"/>
    <xf numFmtId="0" fontId="2" fillId="4" borderId="1" xfId="0" applyFont="1" applyFill="1" applyBorder="1"/>
    <xf numFmtId="0" fontId="0" fillId="4" borderId="3" xfId="0" applyFill="1" applyBorder="1"/>
    <xf numFmtId="0" fontId="0" fillId="4" borderId="2" xfId="0" applyFill="1" applyBorder="1"/>
    <xf numFmtId="0" fontId="0" fillId="4" borderId="4" xfId="0" applyFill="1" applyBorder="1"/>
    <xf numFmtId="0" fontId="3" fillId="4" borderId="1" xfId="0" applyFont="1" applyFill="1" applyBorder="1"/>
    <xf numFmtId="165" fontId="0" fillId="3" borderId="3" xfId="0" applyNumberFormat="1" applyFill="1" applyBorder="1"/>
    <xf numFmtId="0" fontId="0" fillId="4" borderId="5" xfId="0" applyFill="1" applyBorder="1"/>
    <xf numFmtId="165" fontId="0" fillId="3" borderId="5" xfId="0" applyNumberFormat="1" applyFill="1" applyBorder="1"/>
    <xf numFmtId="0" fontId="3" fillId="4" borderId="5" xfId="0" applyFont="1" applyFill="1" applyBorder="1"/>
    <xf numFmtId="0" fontId="2" fillId="4" borderId="5" xfId="0" applyFont="1" applyFill="1" applyBorder="1"/>
    <xf numFmtId="0" fontId="0" fillId="7" borderId="1" xfId="0" applyFill="1" applyBorder="1"/>
    <xf numFmtId="0" fontId="0" fillId="2" borderId="4" xfId="0" applyFill="1" applyBorder="1"/>
    <xf numFmtId="0" fontId="0" fillId="3" borderId="1" xfId="0" applyFill="1" applyBorder="1"/>
    <xf numFmtId="0" fontId="0" fillId="3" borderId="0" xfId="0" applyFill="1"/>
    <xf numFmtId="0" fontId="0" fillId="6" borderId="3" xfId="0" applyFill="1" applyBorder="1"/>
    <xf numFmtId="0" fontId="0" fillId="6" borderId="2" xfId="0" applyFill="1" applyBorder="1"/>
    <xf numFmtId="0" fontId="0" fillId="6" borderId="4" xfId="0" applyFill="1" applyBorder="1"/>
    <xf numFmtId="0" fontId="2" fillId="4" borderId="3" xfId="0" applyFont="1" applyFill="1" applyBorder="1"/>
    <xf numFmtId="0" fontId="2" fillId="4" borderId="6" xfId="0" applyFont="1" applyFill="1" applyBorder="1"/>
    <xf numFmtId="0" fontId="0" fillId="4" borderId="6" xfId="0" applyFill="1" applyBorder="1"/>
    <xf numFmtId="0" fontId="0" fillId="3" borderId="6" xfId="0" applyFill="1" applyBorder="1"/>
    <xf numFmtId="2" fontId="0" fillId="9" borderId="1" xfId="0" applyNumberFormat="1" applyFill="1" applyBorder="1"/>
    <xf numFmtId="0" fontId="0" fillId="9" borderId="1" xfId="0" applyFill="1" applyBorder="1"/>
    <xf numFmtId="0" fontId="0" fillId="0" borderId="6" xfId="0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166" fontId="0" fillId="3" borderId="1" xfId="0" applyNumberFormat="1" applyFill="1" applyBorder="1"/>
    <xf numFmtId="0" fontId="0" fillId="4" borderId="11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165" fontId="9" fillId="4" borderId="2" xfId="0" applyNumberFormat="1" applyFont="1" applyFill="1" applyBorder="1"/>
    <xf numFmtId="2" fontId="0" fillId="3" borderId="5" xfId="0" applyNumberFormat="1" applyFill="1" applyBorder="1"/>
    <xf numFmtId="0" fontId="0" fillId="7" borderId="6" xfId="0" applyFill="1" applyBorder="1"/>
    <xf numFmtId="0" fontId="9" fillId="4" borderId="2" xfId="0" applyFont="1" applyFill="1" applyBorder="1"/>
    <xf numFmtId="0" fontId="6" fillId="2" borderId="3" xfId="0" applyFont="1" applyFill="1" applyBorder="1"/>
    <xf numFmtId="0" fontId="6" fillId="2" borderId="2" xfId="0" applyFont="1" applyFill="1" applyBorder="1"/>
    <xf numFmtId="0" fontId="6" fillId="2" borderId="4" xfId="0" applyFont="1" applyFill="1" applyBorder="1"/>
    <xf numFmtId="0" fontId="0" fillId="7" borderId="3" xfId="0" applyFill="1" applyBorder="1"/>
    <xf numFmtId="0" fontId="0" fillId="6" borderId="14" xfId="0" applyFill="1" applyBorder="1"/>
    <xf numFmtId="0" fontId="0" fillId="6" borderId="15" xfId="0" applyFill="1" applyBorder="1"/>
    <xf numFmtId="0" fontId="0" fillId="4" borderId="12" xfId="0" applyFill="1" applyBorder="1"/>
    <xf numFmtId="0" fontId="0" fillId="4" borderId="16" xfId="0" applyFill="1" applyBorder="1"/>
    <xf numFmtId="0" fontId="1" fillId="4" borderId="1" xfId="0" applyFont="1" applyFill="1" applyBorder="1"/>
    <xf numFmtId="0" fontId="0" fillId="0" borderId="11" xfId="0" applyBorder="1"/>
    <xf numFmtId="0" fontId="0" fillId="4" borderId="0" xfId="0" applyFill="1"/>
    <xf numFmtId="0" fontId="0" fillId="3" borderId="5" xfId="0" applyFill="1" applyBorder="1"/>
    <xf numFmtId="0" fontId="0" fillId="3" borderId="11" xfId="0" applyFill="1" applyBorder="1"/>
    <xf numFmtId="0" fontId="0" fillId="8" borderId="1" xfId="0" applyFill="1" applyBorder="1"/>
    <xf numFmtId="0" fontId="2" fillId="0" borderId="0" xfId="0" applyFont="1"/>
    <xf numFmtId="0" fontId="10" fillId="4" borderId="1" xfId="0" applyFont="1" applyFill="1" applyBorder="1"/>
    <xf numFmtId="0" fontId="10" fillId="7" borderId="1" xfId="0" applyFont="1" applyFill="1" applyBorder="1"/>
    <xf numFmtId="0" fontId="0" fillId="8" borderId="3" xfId="0" applyFill="1" applyBorder="1"/>
    <xf numFmtId="0" fontId="0" fillId="8" borderId="4" xfId="0" applyFill="1" applyBorder="1"/>
    <xf numFmtId="2" fontId="0" fillId="8" borderId="1" xfId="0" applyNumberFormat="1" applyFill="1" applyBorder="1"/>
    <xf numFmtId="2" fontId="0" fillId="3" borderId="7" xfId="0" applyNumberFormat="1" applyFill="1" applyBorder="1"/>
    <xf numFmtId="2" fontId="0" fillId="3" borderId="6" xfId="0" applyNumberFormat="1" applyFill="1" applyBorder="1"/>
    <xf numFmtId="0" fontId="7" fillId="0" borderId="0" xfId="0" applyFont="1"/>
    <xf numFmtId="0" fontId="0" fillId="8" borderId="2" xfId="0" applyFill="1" applyBorder="1"/>
    <xf numFmtId="165" fontId="0" fillId="0" borderId="1" xfId="0" applyNumberFormat="1" applyBorder="1"/>
    <xf numFmtId="165" fontId="0" fillId="0" borderId="0" xfId="0" applyNumberFormat="1"/>
    <xf numFmtId="0" fontId="0" fillId="0" borderId="5" xfId="0" applyBorder="1"/>
    <xf numFmtId="2" fontId="0" fillId="6" borderId="3" xfId="0" applyNumberFormat="1" applyFill="1" applyBorder="1"/>
    <xf numFmtId="1" fontId="0" fillId="3" borderId="1" xfId="0" applyNumberFormat="1" applyFill="1" applyBorder="1"/>
    <xf numFmtId="0" fontId="0" fillId="7" borderId="0" xfId="0" applyFill="1"/>
    <xf numFmtId="2" fontId="0" fillId="9" borderId="0" xfId="0" applyNumberFormat="1" applyFill="1"/>
    <xf numFmtId="1" fontId="0" fillId="0" borderId="0" xfId="0" applyNumberFormat="1"/>
    <xf numFmtId="1" fontId="0" fillId="9" borderId="1" xfId="0" applyNumberFormat="1" applyFill="1" applyBorder="1"/>
    <xf numFmtId="167" fontId="0" fillId="3" borderId="1" xfId="0" applyNumberFormat="1" applyFill="1" applyBorder="1"/>
    <xf numFmtId="0" fontId="0" fillId="0" borderId="4" xfId="0" applyBorder="1"/>
    <xf numFmtId="2" fontId="0" fillId="3" borderId="4" xfId="0" applyNumberFormat="1" applyFill="1" applyBorder="1"/>
    <xf numFmtId="2" fontId="10" fillId="3" borderId="5" xfId="0" applyNumberFormat="1" applyFont="1" applyFill="1" applyBorder="1"/>
    <xf numFmtId="0" fontId="10" fillId="5" borderId="4" xfId="0" applyFont="1" applyFill="1" applyBorder="1"/>
    <xf numFmtId="2" fontId="0" fillId="0" borderId="0" xfId="0" applyNumberFormat="1"/>
    <xf numFmtId="2" fontId="0" fillId="8" borderId="3" xfId="0" applyNumberFormat="1" applyFill="1" applyBorder="1"/>
    <xf numFmtId="0" fontId="0" fillId="8" borderId="6" xfId="0" applyFill="1" applyBorder="1"/>
    <xf numFmtId="0" fontId="13" fillId="5" borderId="3" xfId="0" applyFont="1" applyFill="1" applyBorder="1"/>
    <xf numFmtId="0" fontId="13" fillId="5" borderId="2" xfId="0" applyFont="1" applyFill="1" applyBorder="1"/>
    <xf numFmtId="0" fontId="13" fillId="5" borderId="4" xfId="0" applyFont="1" applyFill="1" applyBorder="1"/>
    <xf numFmtId="0" fontId="13" fillId="5" borderId="14" xfId="0" applyFont="1" applyFill="1" applyBorder="1"/>
    <xf numFmtId="0" fontId="13" fillId="5" borderId="15" xfId="0" applyFont="1" applyFill="1" applyBorder="1"/>
    <xf numFmtId="0" fontId="0" fillId="0" borderId="2" xfId="0" applyBorder="1"/>
    <xf numFmtId="0" fontId="15" fillId="2" borderId="3" xfId="0" applyFont="1" applyFill="1" applyBorder="1"/>
    <xf numFmtId="0" fontId="15" fillId="2" borderId="2" xfId="0" applyFont="1" applyFill="1" applyBorder="1"/>
    <xf numFmtId="0" fontId="15" fillId="2" borderId="4" xfId="0" applyFont="1" applyFill="1" applyBorder="1"/>
    <xf numFmtId="0" fontId="0" fillId="7" borderId="7" xfId="0" applyFill="1" applyBorder="1"/>
    <xf numFmtId="0" fontId="0" fillId="6" borderId="7" xfId="0" applyFill="1" applyBorder="1"/>
    <xf numFmtId="0" fontId="0" fillId="6" borderId="9" xfId="0" applyFill="1" applyBorder="1"/>
    <xf numFmtId="1" fontId="0" fillId="8" borderId="1" xfId="0" applyNumberFormat="1" applyFill="1" applyBorder="1"/>
    <xf numFmtId="1" fontId="0" fillId="3" borderId="5" xfId="0" applyNumberFormat="1" applyFill="1" applyBorder="1"/>
    <xf numFmtId="0" fontId="16" fillId="5" borderId="3" xfId="0" applyFont="1" applyFill="1" applyBorder="1"/>
    <xf numFmtId="0" fontId="16" fillId="5" borderId="2" xfId="0" applyFont="1" applyFill="1" applyBorder="1"/>
    <xf numFmtId="0" fontId="16" fillId="5" borderId="4" xfId="0" applyFont="1" applyFill="1" applyBorder="1"/>
    <xf numFmtId="2" fontId="0" fillId="0" borderId="2" xfId="0" applyNumberFormat="1" applyBorder="1"/>
    <xf numFmtId="0" fontId="13" fillId="4" borderId="3" xfId="0" applyFont="1" applyFill="1" applyBorder="1"/>
    <xf numFmtId="0" fontId="13" fillId="4" borderId="2" xfId="0" applyFont="1" applyFill="1" applyBorder="1"/>
    <xf numFmtId="0" fontId="13" fillId="4" borderId="4" xfId="0" applyFont="1" applyFill="1" applyBorder="1"/>
    <xf numFmtId="167" fontId="10" fillId="7" borderId="1" xfId="0" applyNumberFormat="1" applyFont="1" applyFill="1" applyBorder="1"/>
    <xf numFmtId="0" fontId="3" fillId="4" borderId="3" xfId="0" applyFont="1" applyFill="1" applyBorder="1"/>
    <xf numFmtId="0" fontId="10" fillId="4" borderId="2" xfId="0" applyFont="1" applyFill="1" applyBorder="1"/>
    <xf numFmtId="0" fontId="10" fillId="4" borderId="4" xfId="0" applyFont="1" applyFill="1" applyBorder="1"/>
    <xf numFmtId="0" fontId="0" fillId="10" borderId="3" xfId="0" applyFill="1" applyBorder="1"/>
    <xf numFmtId="0" fontId="0" fillId="10" borderId="2" xfId="0" applyFill="1" applyBorder="1"/>
    <xf numFmtId="0" fontId="0" fillId="10" borderId="4" xfId="0" applyFill="1" applyBorder="1"/>
    <xf numFmtId="0" fontId="18" fillId="5" borderId="3" xfId="0" applyFont="1" applyFill="1" applyBorder="1"/>
    <xf numFmtId="0" fontId="18" fillId="5" borderId="2" xfId="0" applyFont="1" applyFill="1" applyBorder="1"/>
    <xf numFmtId="0" fontId="10" fillId="0" borderId="0" xfId="0" applyFont="1"/>
    <xf numFmtId="0" fontId="18" fillId="5" borderId="4" xfId="0" applyFont="1" applyFill="1" applyBorder="1"/>
    <xf numFmtId="166" fontId="10" fillId="3" borderId="1" xfId="0" applyNumberFormat="1" applyFont="1" applyFill="1" applyBorder="1"/>
    <xf numFmtId="0" fontId="3" fillId="4" borderId="4" xfId="0" applyFont="1" applyFill="1" applyBorder="1"/>
    <xf numFmtId="165" fontId="0" fillId="4" borderId="2" xfId="0" applyNumberFormat="1" applyFill="1" applyBorder="1"/>
    <xf numFmtId="0" fontId="0" fillId="8" borderId="5" xfId="0" applyFill="1" applyBorder="1"/>
    <xf numFmtId="0" fontId="15" fillId="2" borderId="8" xfId="0" applyFont="1" applyFill="1" applyBorder="1"/>
    <xf numFmtId="165" fontId="0" fillId="4" borderId="1" xfId="0" applyNumberFormat="1" applyFill="1" applyBorder="1"/>
    <xf numFmtId="0" fontId="0" fillId="0" borderId="3" xfId="0" applyBorder="1"/>
    <xf numFmtId="0" fontId="10" fillId="4" borderId="8" xfId="0" applyFont="1" applyFill="1" applyBorder="1"/>
    <xf numFmtId="0" fontId="10" fillId="4" borderId="9" xfId="0" applyFont="1" applyFill="1" applyBorder="1"/>
    <xf numFmtId="0" fontId="2" fillId="2" borderId="3" xfId="0" applyFont="1" applyFill="1" applyBorder="1"/>
    <xf numFmtId="2" fontId="0" fillId="2" borderId="2" xfId="0" applyNumberFormat="1" applyFill="1" applyBorder="1"/>
    <xf numFmtId="0" fontId="15" fillId="2" borderId="1" xfId="0" applyFont="1" applyFill="1" applyBorder="1"/>
    <xf numFmtId="2" fontId="0" fillId="3" borderId="0" xfId="0" applyNumberFormat="1" applyFill="1"/>
    <xf numFmtId="165" fontId="0" fillId="7" borderId="1" xfId="0" applyNumberFormat="1" applyFill="1" applyBorder="1"/>
    <xf numFmtId="166" fontId="10" fillId="3" borderId="3" xfId="0" applyNumberFormat="1" applyFont="1" applyFill="1" applyBorder="1"/>
    <xf numFmtId="0" fontId="3" fillId="4" borderId="7" xfId="0" applyFont="1" applyFill="1" applyBorder="1"/>
    <xf numFmtId="165" fontId="0" fillId="9" borderId="3" xfId="0" applyNumberFormat="1" applyFill="1" applyBorder="1"/>
    <xf numFmtId="166" fontId="0" fillId="0" borderId="0" xfId="0" applyNumberFormat="1"/>
    <xf numFmtId="165" fontId="0" fillId="7" borderId="3" xfId="0" applyNumberFormat="1" applyFill="1" applyBorder="1"/>
    <xf numFmtId="165" fontId="0" fillId="6" borderId="1" xfId="0" applyNumberFormat="1" applyFill="1" applyBorder="1"/>
    <xf numFmtId="165" fontId="10" fillId="6" borderId="1" xfId="0" applyNumberFormat="1" applyFont="1" applyFill="1" applyBorder="1"/>
    <xf numFmtId="0" fontId="0" fillId="8" borderId="11" xfId="0" applyFill="1" applyBorder="1"/>
    <xf numFmtId="166" fontId="0" fillId="9" borderId="2" xfId="0" applyNumberFormat="1" applyFill="1" applyBorder="1"/>
    <xf numFmtId="165" fontId="0" fillId="9" borderId="2" xfId="0" applyNumberFormat="1" applyFill="1" applyBorder="1"/>
    <xf numFmtId="1" fontId="0" fillId="3" borderId="7" xfId="0" applyNumberFormat="1" applyFill="1" applyBorder="1"/>
    <xf numFmtId="1" fontId="0" fillId="3" borderId="6" xfId="0" applyNumberFormat="1" applyFill="1" applyBorder="1"/>
    <xf numFmtId="166" fontId="10" fillId="0" borderId="0" xfId="0" applyNumberFormat="1" applyFont="1"/>
    <xf numFmtId="0" fontId="3" fillId="0" borderId="0" xfId="0" applyFont="1"/>
    <xf numFmtId="2" fontId="10" fillId="9" borderId="3" xfId="0" applyNumberFormat="1" applyFont="1" applyFill="1" applyBorder="1"/>
    <xf numFmtId="166" fontId="10" fillId="9" borderId="1" xfId="0" applyNumberFormat="1" applyFont="1" applyFill="1" applyBorder="1"/>
    <xf numFmtId="165" fontId="10" fillId="3" borderId="1" xfId="0" applyNumberFormat="1" applyFont="1" applyFill="1" applyBorder="1"/>
    <xf numFmtId="0" fontId="10" fillId="4" borderId="3" xfId="0" applyFont="1" applyFill="1" applyBorder="1"/>
    <xf numFmtId="2" fontId="0" fillId="8" borderId="2" xfId="0" applyNumberFormat="1" applyFill="1" applyBorder="1"/>
    <xf numFmtId="167" fontId="10" fillId="3" borderId="1" xfId="0" applyNumberFormat="1" applyFont="1" applyFill="1" applyBorder="1"/>
    <xf numFmtId="2" fontId="0" fillId="0" borderId="6" xfId="0" applyNumberFormat="1" applyBorder="1"/>
    <xf numFmtId="2" fontId="0" fillId="9" borderId="3" xfId="0" applyNumberFormat="1" applyFill="1" applyBorder="1"/>
    <xf numFmtId="167" fontId="10" fillId="9" borderId="1" xfId="0" applyNumberFormat="1" applyFont="1" applyFill="1" applyBorder="1"/>
    <xf numFmtId="165" fontId="10" fillId="9" borderId="1" xfId="0" applyNumberFormat="1" applyFont="1" applyFill="1" applyBorder="1"/>
    <xf numFmtId="167" fontId="0" fillId="9" borderId="1" xfId="0" applyNumberFormat="1" applyFill="1" applyBorder="1"/>
    <xf numFmtId="165" fontId="0" fillId="9" borderId="1" xfId="0" applyNumberFormat="1" applyFill="1" applyBorder="1"/>
    <xf numFmtId="167" fontId="0" fillId="3" borderId="7" xfId="0" applyNumberFormat="1" applyFill="1" applyBorder="1"/>
    <xf numFmtId="167" fontId="0" fillId="3" borderId="0" xfId="0" applyNumberFormat="1" applyFill="1"/>
    <xf numFmtId="2" fontId="0" fillId="9" borderId="2" xfId="0" applyNumberFormat="1" applyFill="1" applyBorder="1"/>
    <xf numFmtId="2" fontId="10" fillId="6" borderId="1" xfId="1" applyNumberFormat="1" applyFont="1" applyFill="1" applyBorder="1"/>
    <xf numFmtId="2" fontId="0" fillId="7" borderId="3" xfId="0" applyNumberFormat="1" applyFill="1" applyBorder="1"/>
    <xf numFmtId="2" fontId="10" fillId="6" borderId="1" xfId="0" applyNumberFormat="1" applyFont="1" applyFill="1" applyBorder="1"/>
    <xf numFmtId="0" fontId="13" fillId="4" borderId="8" xfId="0" applyFont="1" applyFill="1" applyBorder="1"/>
    <xf numFmtId="0" fontId="2" fillId="4" borderId="7" xfId="0" applyFont="1" applyFill="1" applyBorder="1"/>
    <xf numFmtId="0" fontId="13" fillId="4" borderId="9" xfId="0" applyFont="1" applyFill="1" applyBorder="1"/>
    <xf numFmtId="2" fontId="0" fillId="7" borderId="1" xfId="0" applyNumberFormat="1" applyFill="1" applyBorder="1"/>
    <xf numFmtId="2" fontId="0" fillId="7" borderId="7" xfId="0" applyNumberFormat="1" applyFill="1" applyBorder="1"/>
    <xf numFmtId="2" fontId="0" fillId="6" borderId="1" xfId="0" applyNumberFormat="1" applyFill="1" applyBorder="1"/>
    <xf numFmtId="0" fontId="13" fillId="5" borderId="13" xfId="0" applyFont="1" applyFill="1" applyBorder="1"/>
    <xf numFmtId="0" fontId="0" fillId="3" borderId="4" xfId="0" applyFill="1" applyBorder="1"/>
    <xf numFmtId="165" fontId="13" fillId="5" borderId="2" xfId="0" applyNumberFormat="1" applyFont="1" applyFill="1" applyBorder="1"/>
    <xf numFmtId="0" fontId="13" fillId="5" borderId="2" xfId="0" applyFont="1" applyFill="1" applyBorder="1" applyAlignment="1">
      <alignment horizontal="left"/>
    </xf>
    <xf numFmtId="0" fontId="0" fillId="5" borderId="2" xfId="0" applyFill="1" applyBorder="1"/>
    <xf numFmtId="0" fontId="0" fillId="5" borderId="4" xfId="0" applyFill="1" applyBorder="1"/>
    <xf numFmtId="0" fontId="0" fillId="0" borderId="7" xfId="0" applyBorder="1"/>
    <xf numFmtId="165" fontId="0" fillId="3" borderId="7" xfId="0" applyNumberFormat="1" applyFill="1" applyBorder="1"/>
    <xf numFmtId="165" fontId="13" fillId="0" borderId="0" xfId="0" applyNumberFormat="1" applyFont="1"/>
    <xf numFmtId="0" fontId="13" fillId="0" borderId="0" xfId="0" applyFont="1" applyAlignment="1">
      <alignment horizontal="left"/>
    </xf>
    <xf numFmtId="0" fontId="13" fillId="0" borderId="0" xfId="0" applyFont="1"/>
    <xf numFmtId="0" fontId="2" fillId="0" borderId="11" xfId="0" applyFont="1" applyBorder="1"/>
    <xf numFmtId="2" fontId="0" fillId="0" borderId="5" xfId="0" applyNumberFormat="1" applyBorder="1"/>
    <xf numFmtId="1" fontId="0" fillId="7" borderId="3" xfId="0" applyNumberFormat="1" applyFill="1" applyBorder="1"/>
    <xf numFmtId="0" fontId="0" fillId="6" borderId="1" xfId="0" applyFill="1" applyBorder="1"/>
    <xf numFmtId="2" fontId="10" fillId="0" borderId="3" xfId="0" applyNumberFormat="1" applyFont="1" applyBorder="1"/>
    <xf numFmtId="2" fontId="10" fillId="3" borderId="3" xfId="0" applyNumberFormat="1" applyFont="1" applyFill="1" applyBorder="1"/>
    <xf numFmtId="165" fontId="0" fillId="0" borderId="2" xfId="0" applyNumberFormat="1" applyBorder="1"/>
    <xf numFmtId="2" fontId="0" fillId="0" borderId="3" xfId="0" applyNumberFormat="1" applyBorder="1"/>
    <xf numFmtId="165" fontId="0" fillId="3" borderId="2" xfId="0" applyNumberFormat="1" applyFill="1" applyBorder="1"/>
    <xf numFmtId="165" fontId="0" fillId="0" borderId="3" xfId="0" applyNumberFormat="1" applyBorder="1"/>
    <xf numFmtId="0" fontId="23" fillId="0" borderId="0" xfId="0" applyFont="1"/>
    <xf numFmtId="2" fontId="0" fillId="8" borderId="10" xfId="0" applyNumberFormat="1" applyFill="1" applyBorder="1"/>
    <xf numFmtId="1" fontId="0" fillId="8" borderId="3" xfId="0" applyNumberFormat="1" applyFill="1" applyBorder="1"/>
    <xf numFmtId="0" fontId="0" fillId="5" borderId="15" xfId="0" applyFill="1" applyBorder="1"/>
    <xf numFmtId="9" fontId="0" fillId="4" borderId="3" xfId="0" applyNumberFormat="1" applyFill="1" applyBorder="1"/>
    <xf numFmtId="9" fontId="0" fillId="4" borderId="2" xfId="0" applyNumberFormat="1" applyFill="1" applyBorder="1"/>
    <xf numFmtId="9" fontId="0" fillId="4" borderId="14" xfId="0" applyNumberFormat="1" applyFill="1" applyBorder="1"/>
    <xf numFmtId="165" fontId="0" fillId="3" borderId="6" xfId="0" applyNumberFormat="1" applyFill="1" applyBorder="1"/>
    <xf numFmtId="0" fontId="13" fillId="5" borderId="14" xfId="0" applyFont="1" applyFill="1" applyBorder="1" applyAlignment="1">
      <alignment horizontal="left"/>
    </xf>
    <xf numFmtId="0" fontId="0" fillId="5" borderId="14" xfId="0" applyFill="1" applyBorder="1"/>
    <xf numFmtId="166" fontId="0" fillId="9" borderId="1" xfId="0" applyNumberFormat="1" applyFill="1" applyBorder="1"/>
    <xf numFmtId="165" fontId="0" fillId="9" borderId="7" xfId="0" applyNumberFormat="1" applyFill="1" applyBorder="1"/>
    <xf numFmtId="0" fontId="2" fillId="4" borderId="13" xfId="0" applyFont="1" applyFill="1" applyBorder="1"/>
    <xf numFmtId="0" fontId="13" fillId="4" borderId="15" xfId="0" applyFont="1" applyFill="1" applyBorder="1"/>
    <xf numFmtId="165" fontId="2" fillId="3" borderId="3" xfId="0" applyNumberFormat="1" applyFont="1" applyFill="1" applyBorder="1"/>
    <xf numFmtId="166" fontId="0" fillId="9" borderId="3" xfId="0" applyNumberFormat="1" applyFill="1" applyBorder="1"/>
    <xf numFmtId="2" fontId="0" fillId="8" borderId="7" xfId="0" applyNumberFormat="1" applyFill="1" applyBorder="1"/>
    <xf numFmtId="9" fontId="0" fillId="4" borderId="13" xfId="0" applyNumberFormat="1" applyFill="1" applyBorder="1"/>
    <xf numFmtId="0" fontId="2" fillId="4" borderId="2" xfId="0" applyFont="1" applyFill="1" applyBorder="1"/>
    <xf numFmtId="165" fontId="2" fillId="4" borderId="2" xfId="0" applyNumberFormat="1" applyFont="1" applyFill="1" applyBorder="1"/>
    <xf numFmtId="165" fontId="0" fillId="8" borderId="7" xfId="0" applyNumberFormat="1" applyFill="1" applyBorder="1"/>
    <xf numFmtId="0" fontId="0" fillId="11" borderId="0" xfId="0" applyFill="1"/>
    <xf numFmtId="167" fontId="10" fillId="0" borderId="1" xfId="0" applyNumberFormat="1" applyFont="1" applyBorder="1"/>
    <xf numFmtId="0" fontId="0" fillId="12" borderId="0" xfId="0" applyFill="1"/>
    <xf numFmtId="0" fontId="10" fillId="11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1.emf"/><Relationship Id="rId1" Type="http://schemas.openxmlformats.org/officeDocument/2006/relationships/image" Target="../media/image3.png"/><Relationship Id="rId6" Type="http://schemas.openxmlformats.org/officeDocument/2006/relationships/image" Target="../media/image7.emf"/><Relationship Id="rId5" Type="http://schemas.openxmlformats.org/officeDocument/2006/relationships/image" Target="../media/image6.emf"/><Relationship Id="rId4" Type="http://schemas.openxmlformats.org/officeDocument/2006/relationships/image" Target="../media/image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1.emf"/><Relationship Id="rId7" Type="http://schemas.openxmlformats.org/officeDocument/2006/relationships/image" Target="../media/image11.emf"/><Relationship Id="rId2" Type="http://schemas.openxmlformats.org/officeDocument/2006/relationships/image" Target="../media/image3.png"/><Relationship Id="rId1" Type="http://schemas.openxmlformats.org/officeDocument/2006/relationships/image" Target="../media/image9.png"/><Relationship Id="rId6" Type="http://schemas.openxmlformats.org/officeDocument/2006/relationships/image" Target="../media/image10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7" Type="http://schemas.openxmlformats.org/officeDocument/2006/relationships/image" Target="../media/image12.png"/><Relationship Id="rId2" Type="http://schemas.openxmlformats.org/officeDocument/2006/relationships/image" Target="../media/image1.emf"/><Relationship Id="rId1" Type="http://schemas.openxmlformats.org/officeDocument/2006/relationships/image" Target="../media/image3.png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2.emf"/><Relationship Id="rId2" Type="http://schemas.openxmlformats.org/officeDocument/2006/relationships/image" Target="../media/image3.png"/><Relationship Id="rId1" Type="http://schemas.openxmlformats.org/officeDocument/2006/relationships/image" Target="../media/image9.png"/><Relationship Id="rId6" Type="http://schemas.openxmlformats.org/officeDocument/2006/relationships/image" Target="../media/image21.emf"/><Relationship Id="rId5" Type="http://schemas.openxmlformats.org/officeDocument/2006/relationships/image" Target="../media/image1.emf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5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114300</xdr:colOff>
      <xdr:row>43</xdr:row>
      <xdr:rowOff>129539</xdr:rowOff>
    </xdr:from>
    <xdr:to>
      <xdr:col>15</xdr:col>
      <xdr:colOff>60960</xdr:colOff>
      <xdr:row>62</xdr:row>
      <xdr:rowOff>130408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F55FEF4F-B422-4536-B38F-9FA7323E2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8633459"/>
          <a:ext cx="3642360" cy="3666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198120</xdr:colOff>
      <xdr:row>111</xdr:row>
      <xdr:rowOff>7620</xdr:rowOff>
    </xdr:from>
    <xdr:to>
      <xdr:col>0</xdr:col>
      <xdr:colOff>1539240</xdr:colOff>
      <xdr:row>112</xdr:row>
      <xdr:rowOff>15240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185F4285-0F66-41B7-971A-0EB557328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21450300"/>
          <a:ext cx="13411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202</xdr:row>
      <xdr:rowOff>0</xdr:rowOff>
    </xdr:from>
    <xdr:to>
      <xdr:col>19</xdr:col>
      <xdr:colOff>441960</xdr:colOff>
      <xdr:row>220</xdr:row>
      <xdr:rowOff>129540</xdr:rowOff>
    </xdr:to>
    <xdr:pic>
      <xdr:nvPicPr>
        <xdr:cNvPr id="5" name="Billede 4" descr="Disse findes i DS/EN 50522-2011 &#10;Tabel Dl &#10;Alu-ninium &#10;— Materialekonstanter &#10;234,5 &#10;KIA • G/mm2 &#10;Tabel D.Z — FaRorer onvegninq af fra en på 300 •C &#10;til en anden slunemperatur &#10;09 &#10;0.7 &#10;06 ">
          <a:extLst>
            <a:ext uri="{FF2B5EF4-FFF2-40B4-BE49-F238E27FC236}">
              <a16:creationId xmlns:a16="http://schemas.microsoft.com/office/drawing/2014/main" xmlns="" id="{3731E967-8B91-4EB9-FE07-D2B15E9B8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17846040"/>
          <a:ext cx="531876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114299</xdr:colOff>
      <xdr:row>0</xdr:row>
      <xdr:rowOff>0</xdr:rowOff>
    </xdr:from>
    <xdr:to>
      <xdr:col>15</xdr:col>
      <xdr:colOff>3722</xdr:colOff>
      <xdr:row>15</xdr:row>
      <xdr:rowOff>76200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xmlns="" id="{1121A9E5-87F9-4AE8-8514-46D911BF1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59" y="0"/>
          <a:ext cx="2937423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15241</xdr:rowOff>
    </xdr:from>
    <xdr:to>
      <xdr:col>0</xdr:col>
      <xdr:colOff>1295400</xdr:colOff>
      <xdr:row>220</xdr:row>
      <xdr:rowOff>14815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CD006391-A6E5-6AEE-1D19-B9C7995BF5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07" r="36087"/>
        <a:stretch/>
      </xdr:blipFill>
      <xdr:spPr bwMode="auto">
        <a:xfrm>
          <a:off x="0" y="30678121"/>
          <a:ext cx="1295400" cy="58631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1577340</xdr:colOff>
      <xdr:row>222</xdr:row>
      <xdr:rowOff>194289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C838A9DF-5A92-52C0-D2BB-9B979CDABD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2" r="33181"/>
        <a:stretch/>
      </xdr:blipFill>
      <xdr:spPr bwMode="auto">
        <a:xfrm>
          <a:off x="0" y="31249620"/>
          <a:ext cx="1577340" cy="59052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38100</xdr:rowOff>
    </xdr:from>
    <xdr:to>
      <xdr:col>0</xdr:col>
      <xdr:colOff>1470660</xdr:colOff>
      <xdr:row>227</xdr:row>
      <xdr:rowOff>9990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xmlns="" id="{37E3A240-A466-CBFA-5FDF-C052A74F3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96" r="33873"/>
        <a:stretch/>
      </xdr:blipFill>
      <xdr:spPr bwMode="auto">
        <a:xfrm>
          <a:off x="0" y="32080200"/>
          <a:ext cx="1470660" cy="57387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15240</xdr:rowOff>
    </xdr:from>
    <xdr:to>
      <xdr:col>0</xdr:col>
      <xdr:colOff>1810542</xdr:colOff>
      <xdr:row>230</xdr:row>
      <xdr:rowOff>38100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xmlns="" id="{0BF1EEE1-FA5E-AADB-9E4B-5A3AA4A49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53" r="30829"/>
        <a:stretch/>
      </xdr:blipFill>
      <xdr:spPr bwMode="auto">
        <a:xfrm>
          <a:off x="0" y="32659320"/>
          <a:ext cx="1810542" cy="59436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141</xdr:row>
      <xdr:rowOff>45720</xdr:rowOff>
    </xdr:from>
    <xdr:to>
      <xdr:col>0</xdr:col>
      <xdr:colOff>662940</xdr:colOff>
      <xdr:row>142</xdr:row>
      <xdr:rowOff>169797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F0C3B2BF-E5BF-7196-0061-D8EDC553D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11056620"/>
          <a:ext cx="533400" cy="306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62</xdr:row>
      <xdr:rowOff>22860</xdr:rowOff>
    </xdr:from>
    <xdr:to>
      <xdr:col>13</xdr:col>
      <xdr:colOff>403997</xdr:colOff>
      <xdr:row>68</xdr:row>
      <xdr:rowOff>106788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xmlns="" id="{8D3D4CA5-02F5-3F6B-45D0-78BC0393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0" y="5234940"/>
          <a:ext cx="1577477" cy="1242168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83820</xdr:colOff>
      <xdr:row>95</xdr:row>
      <xdr:rowOff>152400</xdr:rowOff>
    </xdr:from>
    <xdr:to>
      <xdr:col>18</xdr:col>
      <xdr:colOff>525780</xdr:colOff>
      <xdr:row>114</xdr:row>
      <xdr:rowOff>99060</xdr:rowOff>
    </xdr:to>
    <xdr:pic>
      <xdr:nvPicPr>
        <xdr:cNvPr id="7" name="Billede 6" descr="Disse findes i DS/EN 50522-2011 &#10;Tabel Dl &#10;Alu-ninium &#10;— Materialekonstanter &#10;234,5 &#10;KIA • G/mm2 &#10;Tabel D.Z — FaRorer onvegninq af fra en på 300 •C &#10;til en anden slunemperatur &#10;09 &#10;0.7 &#10;06 ">
          <a:extLst>
            <a:ext uri="{FF2B5EF4-FFF2-40B4-BE49-F238E27FC236}">
              <a16:creationId xmlns:a16="http://schemas.microsoft.com/office/drawing/2014/main" xmlns="" id="{308F09C5-309A-4C2C-AADC-FE877AE3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8333720"/>
          <a:ext cx="5318760" cy="3672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647700</xdr:colOff>
      <xdr:row>76</xdr:row>
      <xdr:rowOff>152400</xdr:rowOff>
    </xdr:from>
    <xdr:to>
      <xdr:col>14</xdr:col>
      <xdr:colOff>308523</xdr:colOff>
      <xdr:row>92</xdr:row>
      <xdr:rowOff>30480</xdr:rowOff>
    </xdr:to>
    <xdr:pic>
      <xdr:nvPicPr>
        <xdr:cNvPr id="12" name="Billede 11">
          <a:extLst>
            <a:ext uri="{FF2B5EF4-FFF2-40B4-BE49-F238E27FC236}">
              <a16:creationId xmlns:a16="http://schemas.microsoft.com/office/drawing/2014/main" xmlns="" id="{09078447-384D-48A1-899B-CD6FE7A74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9480" y="8321040"/>
          <a:ext cx="2937423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6898</xdr:rowOff>
    </xdr:from>
    <xdr:to>
      <xdr:col>0</xdr:col>
      <xdr:colOff>1257300</xdr:colOff>
      <xdr:row>120</xdr:row>
      <xdr:rowOff>4467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1A0FB542-EE22-44E0-ABF0-52C4F99A8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07" r="36087"/>
        <a:stretch/>
      </xdr:blipFill>
      <xdr:spPr bwMode="auto">
        <a:xfrm>
          <a:off x="0" y="18470158"/>
          <a:ext cx="1257300" cy="56906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4730</xdr:rowOff>
    </xdr:from>
    <xdr:to>
      <xdr:col>0</xdr:col>
      <xdr:colOff>1524000</xdr:colOff>
      <xdr:row>123</xdr:row>
      <xdr:rowOff>3790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17B6BE0A-D945-472B-9C25-2E88AE8DE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2" r="33181"/>
        <a:stretch/>
      </xdr:blipFill>
      <xdr:spPr bwMode="auto">
        <a:xfrm>
          <a:off x="0" y="19039490"/>
          <a:ext cx="1524000" cy="57056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7620</xdr:rowOff>
    </xdr:from>
    <xdr:to>
      <xdr:col>0</xdr:col>
      <xdr:colOff>1449714</xdr:colOff>
      <xdr:row>127</xdr:row>
      <xdr:rowOff>1816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xmlns="" id="{0067E87C-9859-47A3-8322-98004A66CB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36" r="33734"/>
        <a:stretch/>
      </xdr:blipFill>
      <xdr:spPr bwMode="auto">
        <a:xfrm>
          <a:off x="0" y="19796760"/>
          <a:ext cx="1449714" cy="565696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15239</xdr:rowOff>
    </xdr:from>
    <xdr:to>
      <xdr:col>0</xdr:col>
      <xdr:colOff>1698421</xdr:colOff>
      <xdr:row>129</xdr:row>
      <xdr:rowOff>205384</xdr:rowOff>
    </xdr:to>
    <xdr:pic>
      <xdr:nvPicPr>
        <xdr:cNvPr id="10" name="Billede 9">
          <a:extLst>
            <a:ext uri="{FF2B5EF4-FFF2-40B4-BE49-F238E27FC236}">
              <a16:creationId xmlns:a16="http://schemas.microsoft.com/office/drawing/2014/main" xmlns="" id="{2CFB0368-4638-30D0-D959-661C0F40B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50" r="30691"/>
        <a:stretch/>
      </xdr:blipFill>
      <xdr:spPr bwMode="auto">
        <a:xfrm>
          <a:off x="0" y="20375879"/>
          <a:ext cx="1698421" cy="55590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45720</xdr:colOff>
      <xdr:row>114</xdr:row>
      <xdr:rowOff>182880</xdr:rowOff>
    </xdr:from>
    <xdr:to>
      <xdr:col>24</xdr:col>
      <xdr:colOff>426720</xdr:colOff>
      <xdr:row>157</xdr:row>
      <xdr:rowOff>114300</xdr:rowOff>
    </xdr:to>
    <xdr:pic>
      <xdr:nvPicPr>
        <xdr:cNvPr id="2" name="Billede 1" descr="Computergenereret alternativ tekst:&#10;Vekselstromsmodstand flerlederkabler &#10;Tabel 13: Vekselstrømsmodstand RI ved 200C for 3-, 4- og 5-leder kabler &#10;Tabellen angiver vekselstrømsmodstanden i ohm/km &#10;Værdierne for større tværsnit og frekvenser over 50 Hz kan være behæftet med nogen usikkerhed. &#10;Tværsnit &#10;10 &#10;35 &#10;Aluminium &#10;240 &#10;Frekvens &#10;12.10 &#10;7.410 &#10;4.610 &#10;3,030 &#10;1.830 &#10;1.130 &#10;0,525 &#10;0,194 &#10;0,155 &#10;0.126 &#10;0,1017 &#10;0,0JB7 &#10;1,910 &#10;1.200 &#10;J.8ö8 &#10;0,64-1 &#10;0,321 &#10;0,207 &#10;0,136 &#10;0.127 &#10;0,103 &#10;1 oawz &#10;c h m/km &#10;12.10 &#10;7,410 &#10;4,810 &#10;1,830 &#10;1.150 &#10;0,526 &#10;0,160 &#10;0.132 &#10;0.1087 &#10;0,0872 &#10;,e10 &#10;0,842 &#10;O , 445 &#10;0,257 &#10;0,211 &#10;0,170 &#10;0.133 &#10;0.110 &#10;ISO Hz &#10;ohm/km &#10;12,10 &#10;7.410 &#10;4.610 &#10;1,150 &#10;0,730 &#10;0,530 &#10;0.393 &#10;0,276 &#10;o, 167 &#10;0.140 &#10;0,1186 &#10;o,cgbl &#10;0.870 &#10;0,217 &#10;0,177 &#10;0.141 &#10;0,110 &#10;200 Hz &#10;ohm,km &#10;12,10 &#10;7,410 &#10;4,810 &#10;3,080 &#10;1330 &#10;1.150 &#10;0,733 &#10;0,534 &#10;0,397 &#10;0,212 &#10;0,176 &#10;0.15' &#10;0.1207 &#10;0,1095 &#10;1,910 &#10;,210 &#10;0.372 &#10;0,347 &#10;0.452 &#10;0332 &#10;0,268 &#10;0,186 &#10;0.152 &#10;O.1 30 &#10;2SO Hz &#10;ohm/km &#10;12.10 &#10;741D &#10;4,61D &#10;183D &#10;1.160 &#10;0,733 &#10;0,539 &#10;o A02 &#10;0,280 &#10;0,187 &#10;0,162 &#10;0,1411 &#10;0,1204 &#10;1210 &#10;0,875 &#10;o,esD &#10;0,455 &#10;0.339 &#10;0.276 &#10;0,233 &#10;0.163 &#10;0.142 &#10;300 Hz &#10;ohm/km &#10;12, 10 &#10;7,410 &#10;4,610 &#10;3,oeo &#10;1.840 &#10;1,160 &#10;0,740 &#10;0,546 &#10;0.4ca &#10;0,2C8 &#10;0,232 &#10;0,173 &#10;0,1523 &#10;0,1306 &#10;1,910 &#10;1,210 &#10;0.878 &#10;c,cca &#10;0,4C2 &#10;0,347 &#10;0.285 &#10;o. 243 &#10;0,2CG &#10;0.174 &#10;0,153 &#10;350 Az &#10;12,10 &#10;740 &#10;3,060 &#10;1,840 &#10;1,160 &#10;0,745 &#10;0,553 &#10;0,307 &#10;0,243 &#10;c,209 &#10;0,184 &#10;o. 1629 &#10;o , lær &#10;1,210 &#10;c.881 &#10;c,esg &#10;C , 409 &#10;0,355 &#10;0,295 &#10;0,254 &#10;0,217 &#10;0,185 &#10;400 Hz &#10;ohm'km &#10;12,10 &#10;7,41J &#10;4,610 &#10;3,030 &#10;1 ,840 &#10;1 .130 &#10;0,750 &#10;0,551 &#10;0,424 &#10;0,317 &#10;0,234 &#10;0,221 &#10;o. 195 &#10;0.1728 &#10;0,14B0 &#10;1,920 &#10;1220 &#10;0.835 &#10;0,63d &#10;0,334 &#10;0,235 &#10;0,229 &#10;0,17d &#10;Værdierne er Oeregnet i henhold ti,] IEC 60267-1- t ">
          <a:extLst>
            <a:ext uri="{FF2B5EF4-FFF2-40B4-BE49-F238E27FC236}">
              <a16:creationId xmlns:a16="http://schemas.microsoft.com/office/drawing/2014/main" xmlns="" id="{CF120AFB-D935-E01A-A9D1-B55FF2FD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22090380"/>
          <a:ext cx="7696200" cy="794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228600</xdr:colOff>
      <xdr:row>55</xdr:row>
      <xdr:rowOff>137160</xdr:rowOff>
    </xdr:from>
    <xdr:to>
      <xdr:col>19</xdr:col>
      <xdr:colOff>60960</xdr:colOff>
      <xdr:row>74</xdr:row>
      <xdr:rowOff>121920</xdr:rowOff>
    </xdr:to>
    <xdr:pic>
      <xdr:nvPicPr>
        <xdr:cNvPr id="4" name="Billede 3" descr="Disse findes i DS/EN 50522-2011 &#10;Tabel Dl &#10;Alu-ninium &#10;— Materialekonstanter &#10;234,5 &#10;KIA • G/mm2 &#10;Tabel D.Z — FaRorer onvegninq af fra en på 300 •C &#10;til en anden slunemperatur &#10;09 &#10;0.7 &#10;06 ">
          <a:extLst>
            <a:ext uri="{FF2B5EF4-FFF2-40B4-BE49-F238E27FC236}">
              <a16:creationId xmlns:a16="http://schemas.microsoft.com/office/drawing/2014/main" xmlns="" id="{9617C475-3F69-FCCD-EA1F-6647013FD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7620" y="10850880"/>
          <a:ext cx="531876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175260</xdr:colOff>
      <xdr:row>35</xdr:row>
      <xdr:rowOff>175260</xdr:rowOff>
    </xdr:from>
    <xdr:to>
      <xdr:col>18</xdr:col>
      <xdr:colOff>64683</xdr:colOff>
      <xdr:row>50</xdr:row>
      <xdr:rowOff>190500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E61F1A0C-F6E8-497F-82EC-114D28854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3080" y="4442460"/>
          <a:ext cx="2937423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1257300</xdr:colOff>
      <xdr:row>81</xdr:row>
      <xdr:rowOff>203309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xmlns="" id="{2DE11E7F-FACE-4742-8C43-7AA53D60CB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07" r="36087"/>
        <a:stretch/>
      </xdr:blipFill>
      <xdr:spPr bwMode="auto">
        <a:xfrm>
          <a:off x="0" y="15590520"/>
          <a:ext cx="1257300" cy="56906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82</xdr:row>
      <xdr:rowOff>8558</xdr:rowOff>
    </xdr:from>
    <xdr:to>
      <xdr:col>0</xdr:col>
      <xdr:colOff>1501140</xdr:colOff>
      <xdr:row>84</xdr:row>
      <xdr:rowOff>204800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xmlns="" id="{35BEE9AF-AFE7-44F7-BE22-DEC43532B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2" r="33181"/>
        <a:stretch/>
      </xdr:blipFill>
      <xdr:spPr bwMode="auto">
        <a:xfrm>
          <a:off x="0" y="16170578"/>
          <a:ext cx="1501140" cy="56200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86</xdr:row>
      <xdr:rowOff>0</xdr:rowOff>
    </xdr:from>
    <xdr:to>
      <xdr:col>0</xdr:col>
      <xdr:colOff>1485900</xdr:colOff>
      <xdr:row>89</xdr:row>
      <xdr:rowOff>5900</xdr:rowOff>
    </xdr:to>
    <xdr:pic>
      <xdr:nvPicPr>
        <xdr:cNvPr id="11" name="Billede 10">
          <a:extLst>
            <a:ext uri="{FF2B5EF4-FFF2-40B4-BE49-F238E27FC236}">
              <a16:creationId xmlns:a16="http://schemas.microsoft.com/office/drawing/2014/main" xmlns="" id="{76EF8055-9A50-C49B-D440-07B53D7CF9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98" r="33734"/>
        <a:stretch/>
      </xdr:blipFill>
      <xdr:spPr bwMode="auto">
        <a:xfrm>
          <a:off x="1" y="16916400"/>
          <a:ext cx="1485899" cy="5774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89</xdr:row>
      <xdr:rowOff>22860</xdr:rowOff>
    </xdr:from>
    <xdr:to>
      <xdr:col>0</xdr:col>
      <xdr:colOff>1699261</xdr:colOff>
      <xdr:row>92</xdr:row>
      <xdr:rowOff>13145</xdr:rowOff>
    </xdr:to>
    <xdr:pic>
      <xdr:nvPicPr>
        <xdr:cNvPr id="13" name="Billede 12">
          <a:extLst>
            <a:ext uri="{FF2B5EF4-FFF2-40B4-BE49-F238E27FC236}">
              <a16:creationId xmlns:a16="http://schemas.microsoft.com/office/drawing/2014/main" xmlns="" id="{BD5A887E-D01D-236F-4AF4-2201382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90" r="30968"/>
        <a:stretch/>
      </xdr:blipFill>
      <xdr:spPr bwMode="auto">
        <a:xfrm>
          <a:off x="1" y="17510760"/>
          <a:ext cx="1699260" cy="56178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23</xdr:col>
      <xdr:colOff>381000</xdr:colOff>
      <xdr:row>118</xdr:row>
      <xdr:rowOff>99060</xdr:rowOff>
    </xdr:to>
    <xdr:pic>
      <xdr:nvPicPr>
        <xdr:cNvPr id="2" name="Billede 1" descr="Computergenereret alternativ tekst:&#10;Vekselstromsmodstand flerlederkabler &#10;Tabel 13: Vekselstrømsmodstand RI ved 200C for 3-, 4- og 5-leder kabler &#10;Tabellen angiver vekselstrømsmodstanden i ohm/km &#10;Værdierne for større tværsnit og frekvenser over 50 Hz kan være behæftet med nogen usikkerhed. &#10;Tværsnit &#10;10 &#10;35 &#10;Aluminium &#10;240 &#10;Frekvens &#10;12.10 &#10;7.410 &#10;4.610 &#10;3,030 &#10;1.830 &#10;1.130 &#10;0,525 &#10;0,194 &#10;0,155 &#10;0.126 &#10;0,1017 &#10;0,0JB7 &#10;1,910 &#10;1.200 &#10;J.8ö8 &#10;0,64-1 &#10;0,321 &#10;0,207 &#10;0,136 &#10;0.127 &#10;0,103 &#10;1 oawz &#10;c h m/km &#10;12.10 &#10;7,410 &#10;4,810 &#10;1,830 &#10;1.150 &#10;0,526 &#10;0,160 &#10;0.132 &#10;0.1087 &#10;0,0872 &#10;,e10 &#10;0,842 &#10;O , 445 &#10;0,257 &#10;0,211 &#10;0,170 &#10;0.133 &#10;0.110 &#10;ISO Hz &#10;ohm/km &#10;12,10 &#10;7.410 &#10;4.610 &#10;1,150 &#10;0,730 &#10;0,530 &#10;0.393 &#10;0,276 &#10;o, 167 &#10;0.140 &#10;0,1186 &#10;o,cgbl &#10;0.870 &#10;0,217 &#10;0,177 &#10;0.141 &#10;0,110 &#10;200 Hz &#10;ohm,km &#10;12,10 &#10;7,410 &#10;4,810 &#10;3,080 &#10;1330 &#10;1.150 &#10;0,733 &#10;0,534 &#10;0,397 &#10;0,212 &#10;0,176 &#10;0.15' &#10;0.1207 &#10;0,1095 &#10;1,910 &#10;,210 &#10;0.372 &#10;0,347 &#10;0.452 &#10;0332 &#10;0,268 &#10;0,186 &#10;0.152 &#10;O.1 30 &#10;2SO Hz &#10;ohm/km &#10;12.10 &#10;741D &#10;4,61D &#10;183D &#10;1.160 &#10;0,733 &#10;0,539 &#10;o A02 &#10;0,280 &#10;0,187 &#10;0,162 &#10;0,1411 &#10;0,1204 &#10;1210 &#10;0,875 &#10;o,esD &#10;0,455 &#10;0.339 &#10;0.276 &#10;0,233 &#10;0.163 &#10;0.142 &#10;300 Hz &#10;ohm/km &#10;12, 10 &#10;7,410 &#10;4,610 &#10;3,oeo &#10;1.840 &#10;1,160 &#10;0,740 &#10;0,546 &#10;0.4ca &#10;0,2C8 &#10;0,232 &#10;0,173 &#10;0,1523 &#10;0,1306 &#10;1,910 &#10;1,210 &#10;0.878 &#10;c,cca &#10;0,4C2 &#10;0,347 &#10;0.285 &#10;o. 243 &#10;0,2CG &#10;0.174 &#10;0,153 &#10;350 Az &#10;12,10 &#10;740 &#10;3,060 &#10;1,840 &#10;1,160 &#10;0,745 &#10;0,553 &#10;0,307 &#10;0,243 &#10;c,209 &#10;0,184 &#10;o. 1629 &#10;o , lær &#10;1,210 &#10;c.881 &#10;c,esg &#10;C , 409 &#10;0,355 &#10;0,295 &#10;0,254 &#10;0,217 &#10;0,185 &#10;400 Hz &#10;ohm'km &#10;12,10 &#10;7,41J &#10;4,610 &#10;3,030 &#10;1 ,840 &#10;1 .130 &#10;0,750 &#10;0,551 &#10;0,424 &#10;0,317 &#10;0,234 &#10;0,221 &#10;o. 195 &#10;0.1728 &#10;0,14B0 &#10;1,920 &#10;1220 &#10;0.835 &#10;0,63d &#10;0,334 &#10;0,235 &#10;0,229 &#10;0,17d &#10;Værdierne er Oeregnet i henhold ti,] IEC 60267-1- t ">
          <a:extLst>
            <a:ext uri="{FF2B5EF4-FFF2-40B4-BE49-F238E27FC236}">
              <a16:creationId xmlns:a16="http://schemas.microsoft.com/office/drawing/2014/main" xmlns="" id="{CD9094E2-217F-4D3F-B406-3AAD1BF4D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4813280"/>
          <a:ext cx="7696200" cy="794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289560</xdr:colOff>
      <xdr:row>185</xdr:row>
      <xdr:rowOff>22860</xdr:rowOff>
    </xdr:from>
    <xdr:to>
      <xdr:col>20</xdr:col>
      <xdr:colOff>495688</xdr:colOff>
      <xdr:row>200</xdr:row>
      <xdr:rowOff>145036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98CAD304-EF0F-8F51-1DF2-B5271DA98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4020" y="8465820"/>
          <a:ext cx="4473328" cy="2956816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243841</xdr:colOff>
      <xdr:row>3</xdr:row>
      <xdr:rowOff>137160</xdr:rowOff>
    </xdr:from>
    <xdr:to>
      <xdr:col>15</xdr:col>
      <xdr:colOff>175261</xdr:colOff>
      <xdr:row>9</xdr:row>
      <xdr:rowOff>38100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20B14F91-1EAD-96A5-33D3-E98D0A2999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793" t="31792" r="19558" b="44718"/>
        <a:stretch/>
      </xdr:blipFill>
      <xdr:spPr>
        <a:xfrm>
          <a:off x="6819901" y="685800"/>
          <a:ext cx="3589020" cy="883920"/>
        </a:xfrm>
        <a:prstGeom prst="rect">
          <a:avLst/>
        </a:prstGeom>
      </xdr:spPr>
    </xdr:pic>
    <xdr:clientData/>
  </xdr:twoCellAnchor>
  <xdr:twoCellAnchor editAs="oneCell">
    <xdr:from>
      <xdr:col>9</xdr:col>
      <xdr:colOff>137162</xdr:colOff>
      <xdr:row>80</xdr:row>
      <xdr:rowOff>83816</xdr:rowOff>
    </xdr:from>
    <xdr:to>
      <xdr:col>14</xdr:col>
      <xdr:colOff>502922</xdr:colOff>
      <xdr:row>85</xdr:row>
      <xdr:rowOff>7617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D136997E-D31A-E463-313B-C49827407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149" t="28396" r="52848" b="17579"/>
        <a:stretch/>
      </xdr:blipFill>
      <xdr:spPr>
        <a:xfrm rot="16200000">
          <a:off x="7966711" y="14093187"/>
          <a:ext cx="906781" cy="3413760"/>
        </a:xfrm>
        <a:prstGeom prst="rect">
          <a:avLst/>
        </a:prstGeom>
      </xdr:spPr>
    </xdr:pic>
    <xdr:clientData/>
  </xdr:twoCellAnchor>
  <xdr:twoCellAnchor editAs="oneCell">
    <xdr:from>
      <xdr:col>9</xdr:col>
      <xdr:colOff>373380</xdr:colOff>
      <xdr:row>85</xdr:row>
      <xdr:rowOff>106680</xdr:rowOff>
    </xdr:from>
    <xdr:to>
      <xdr:col>15</xdr:col>
      <xdr:colOff>114300</xdr:colOff>
      <xdr:row>90</xdr:row>
      <xdr:rowOff>150876</xdr:rowOff>
    </xdr:to>
    <xdr:pic>
      <xdr:nvPicPr>
        <xdr:cNvPr id="6" name="Billede 5">
          <a:extLst>
            <a:ext uri="{FF2B5EF4-FFF2-40B4-BE49-F238E27FC236}">
              <a16:creationId xmlns:a16="http://schemas.microsoft.com/office/drawing/2014/main" xmlns="" id="{269ED9AE-545E-2536-64B8-5FA8C69CA9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637" t="24805" r="36453" b="15365"/>
        <a:stretch/>
      </xdr:blipFill>
      <xdr:spPr>
        <a:xfrm rot="16200000">
          <a:off x="8138922" y="15163038"/>
          <a:ext cx="1019556" cy="33985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110</xdr:row>
      <xdr:rowOff>45720</xdr:rowOff>
    </xdr:from>
    <xdr:to>
      <xdr:col>0</xdr:col>
      <xdr:colOff>662940</xdr:colOff>
      <xdr:row>111</xdr:row>
      <xdr:rowOff>169797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3409C687-3DF1-4386-AC73-A985E49F4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20482560"/>
          <a:ext cx="533400" cy="306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27</xdr:row>
      <xdr:rowOff>22860</xdr:rowOff>
    </xdr:from>
    <xdr:to>
      <xdr:col>13</xdr:col>
      <xdr:colOff>403997</xdr:colOff>
      <xdr:row>33</xdr:row>
      <xdr:rowOff>106788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0B7E0EB0-49F3-4241-9F1E-3DB999405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5300" y="5234940"/>
          <a:ext cx="1577477" cy="1242168"/>
        </a:xfrm>
        <a:prstGeom prst="rect">
          <a:avLst/>
        </a:prstGeom>
      </xdr:spPr>
    </xdr:pic>
    <xdr:clientData/>
  </xdr:twoCellAnchor>
  <xdr:twoCellAnchor editAs="oneCell">
    <xdr:from>
      <xdr:col>8</xdr:col>
      <xdr:colOff>472440</xdr:colOff>
      <xdr:row>84</xdr:row>
      <xdr:rowOff>45720</xdr:rowOff>
    </xdr:from>
    <xdr:to>
      <xdr:col>17</xdr:col>
      <xdr:colOff>76200</xdr:colOff>
      <xdr:row>103</xdr:row>
      <xdr:rowOff>99060</xdr:rowOff>
    </xdr:to>
    <xdr:pic>
      <xdr:nvPicPr>
        <xdr:cNvPr id="3" name="Billede 2" descr="Disse findes i DS/EN 50522-2011 &#10;Tabel Dl &#10;Alu-ninium &#10;— Materialekonstanter &#10;234,5 &#10;KIA • G/mm2 &#10;Tabel D.Z — FaRorer onvegninq af fra en på 300 •C &#10;til en anden slunemperatur &#10;09 &#10;0.7 &#10;06 ">
          <a:extLst>
            <a:ext uri="{FF2B5EF4-FFF2-40B4-BE49-F238E27FC236}">
              <a16:creationId xmlns:a16="http://schemas.microsoft.com/office/drawing/2014/main" xmlns="" id="{709CAA2B-3C8F-4937-90D7-0844121D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4620" y="16169640"/>
          <a:ext cx="531876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45720</xdr:colOff>
      <xdr:row>101</xdr:row>
      <xdr:rowOff>38100</xdr:rowOff>
    </xdr:from>
    <xdr:to>
      <xdr:col>0</xdr:col>
      <xdr:colOff>1531620</xdr:colOff>
      <xdr:row>103</xdr:row>
      <xdr:rowOff>182752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xmlns="" id="{6F7F05EA-BDB3-4804-9C97-D2D9C3B2C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" y="19248120"/>
          <a:ext cx="1485900" cy="510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104</xdr:row>
      <xdr:rowOff>45720</xdr:rowOff>
    </xdr:from>
    <xdr:to>
      <xdr:col>0</xdr:col>
      <xdr:colOff>1828800</xdr:colOff>
      <xdr:row>106</xdr:row>
      <xdr:rowOff>188549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xmlns="" id="{EE81B851-FD3B-4C83-A069-6F85704AE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27240"/>
          <a:ext cx="1790700" cy="508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647700</xdr:colOff>
      <xdr:row>41</xdr:row>
      <xdr:rowOff>152400</xdr:rowOff>
    </xdr:from>
    <xdr:to>
      <xdr:col>14</xdr:col>
      <xdr:colOff>308523</xdr:colOff>
      <xdr:row>57</xdr:row>
      <xdr:rowOff>60960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xmlns="" id="{E89F96A8-68FA-4394-B0E2-C6261C256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9480" y="7985760"/>
          <a:ext cx="2937423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94</xdr:row>
      <xdr:rowOff>6894</xdr:rowOff>
    </xdr:from>
    <xdr:to>
      <xdr:col>0</xdr:col>
      <xdr:colOff>1242060</xdr:colOff>
      <xdr:row>96</xdr:row>
      <xdr:rowOff>203051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xmlns="" id="{5AE6FDB7-46E5-092D-981B-D6C77803DE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47" r="35948"/>
        <a:stretch/>
      </xdr:blipFill>
      <xdr:spPr bwMode="auto">
        <a:xfrm>
          <a:off x="1" y="17875794"/>
          <a:ext cx="1242059" cy="56191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97</xdr:row>
      <xdr:rowOff>0</xdr:rowOff>
    </xdr:from>
    <xdr:to>
      <xdr:col>0</xdr:col>
      <xdr:colOff>1516381</xdr:colOff>
      <xdr:row>99</xdr:row>
      <xdr:rowOff>201654</xdr:rowOff>
    </xdr:to>
    <xdr:pic>
      <xdr:nvPicPr>
        <xdr:cNvPr id="10" name="Billede 9">
          <a:extLst>
            <a:ext uri="{FF2B5EF4-FFF2-40B4-BE49-F238E27FC236}">
              <a16:creationId xmlns:a16="http://schemas.microsoft.com/office/drawing/2014/main" xmlns="" id="{E09A5E8A-96C5-50EB-B263-703DF1F8E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67" r="33320"/>
        <a:stretch/>
      </xdr:blipFill>
      <xdr:spPr bwMode="auto">
        <a:xfrm>
          <a:off x="1" y="18440400"/>
          <a:ext cx="1516380" cy="56741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82</xdr:row>
      <xdr:rowOff>38100</xdr:rowOff>
    </xdr:from>
    <xdr:to>
      <xdr:col>0</xdr:col>
      <xdr:colOff>1234440</xdr:colOff>
      <xdr:row>84</xdr:row>
      <xdr:rowOff>203703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1FBED152-DA5C-4072-B03C-549B3808C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" y="16344900"/>
          <a:ext cx="1188720" cy="531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85</xdr:row>
      <xdr:rowOff>53340</xdr:rowOff>
    </xdr:from>
    <xdr:to>
      <xdr:col>0</xdr:col>
      <xdr:colOff>1507031</xdr:colOff>
      <xdr:row>88</xdr:row>
      <xdr:rowOff>7620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AC211139-D00B-4248-BFB5-14CBFCEB9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931640"/>
          <a:ext cx="1468931" cy="52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396240</xdr:colOff>
      <xdr:row>64</xdr:row>
      <xdr:rowOff>30480</xdr:rowOff>
    </xdr:from>
    <xdr:to>
      <xdr:col>19</xdr:col>
      <xdr:colOff>228600</xdr:colOff>
      <xdr:row>83</xdr:row>
      <xdr:rowOff>45720</xdr:rowOff>
    </xdr:to>
    <xdr:pic>
      <xdr:nvPicPr>
        <xdr:cNvPr id="6" name="Billede 5" descr="Disse findes i DS/EN 50522-2011 &#10;Tabel Dl &#10;Alu-ninium &#10;— Materialekonstanter &#10;234,5 &#10;KIA • G/mm2 &#10;Tabel D.Z — FaRorer onvegninq af fra en på 300 •C &#10;til en anden slunemperatur &#10;09 &#10;0.7 &#10;06 ">
          <a:extLst>
            <a:ext uri="{FF2B5EF4-FFF2-40B4-BE49-F238E27FC236}">
              <a16:creationId xmlns:a16="http://schemas.microsoft.com/office/drawing/2014/main" xmlns="" id="{94F248B2-0885-4589-8EC6-FA0823F9F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95260" y="12451080"/>
          <a:ext cx="5318760" cy="3688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175260</xdr:colOff>
      <xdr:row>30</xdr:row>
      <xdr:rowOff>175260</xdr:rowOff>
    </xdr:from>
    <xdr:to>
      <xdr:col>18</xdr:col>
      <xdr:colOff>64683</xdr:colOff>
      <xdr:row>45</xdr:row>
      <xdr:rowOff>175260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xmlns="" id="{462C4565-48D5-4909-ADB9-F64A2DE8E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3080" y="5966460"/>
          <a:ext cx="2937423" cy="2956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75</xdr:row>
      <xdr:rowOff>7620</xdr:rowOff>
    </xdr:from>
    <xdr:to>
      <xdr:col>0</xdr:col>
      <xdr:colOff>1219201</xdr:colOff>
      <xdr:row>78</xdr:row>
      <xdr:rowOff>4673</xdr:rowOff>
    </xdr:to>
    <xdr:pic>
      <xdr:nvPicPr>
        <xdr:cNvPr id="8" name="Billede 7">
          <a:extLst>
            <a:ext uri="{FF2B5EF4-FFF2-40B4-BE49-F238E27FC236}">
              <a16:creationId xmlns:a16="http://schemas.microsoft.com/office/drawing/2014/main" xmlns="" id="{B08B5C57-8D0F-036A-B7BF-4289466D66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88" r="36640"/>
        <a:stretch/>
      </xdr:blipFill>
      <xdr:spPr bwMode="auto">
        <a:xfrm>
          <a:off x="1" y="14988540"/>
          <a:ext cx="1219200" cy="568553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</xdr:colOff>
      <xdr:row>78</xdr:row>
      <xdr:rowOff>0</xdr:rowOff>
    </xdr:from>
    <xdr:to>
      <xdr:col>0</xdr:col>
      <xdr:colOff>1242061</xdr:colOff>
      <xdr:row>81</xdr:row>
      <xdr:rowOff>7714</xdr:rowOff>
    </xdr:to>
    <xdr:pic>
      <xdr:nvPicPr>
        <xdr:cNvPr id="9" name="Billede 8">
          <a:extLst>
            <a:ext uri="{FF2B5EF4-FFF2-40B4-BE49-F238E27FC236}">
              <a16:creationId xmlns:a16="http://schemas.microsoft.com/office/drawing/2014/main" xmlns="" id="{784FD8E9-0778-03A5-F940-A6C1FCB46D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88" r="36640"/>
        <a:stretch/>
      </xdr:blipFill>
      <xdr:spPr bwMode="auto">
        <a:xfrm>
          <a:off x="1" y="15552420"/>
          <a:ext cx="1242060" cy="579214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rtec-my.sharepoint.com/personal/jose4730_martec_info/Documents/Martec/EL%20AU/BM%207/JUN%202020/HS%20V4%20JUN%202020%20N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rtec-my.sharepoint.com/personal/jose4730_martec_info/Documents/Martec/EL%20AU/BM%207/AUG%202019/HS%20V3%20AUG%20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rtec-my.sharepoint.com/personal/jose4730_martec_info/Documents/Martec/EL%20AU/BM%206/H&#248;jsp&#230;nding%20distribution/h&#248;jsp&#230;nding%20tegning%20og%20tek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. Linje"/>
      <sheetName val="L.relæ"/>
      <sheetName val="Trafo."/>
      <sheetName val="IM. Trafo."/>
      <sheetName val="KT.relæ"/>
      <sheetName val="SM"/>
      <sheetName val="Interne"/>
      <sheetName val="Jord"/>
      <sheetName val="IM. sat."/>
      <sheetName val="Sat."/>
      <sheetName val="KT.relæ sat."/>
      <sheetName val="SM sat"/>
    </sheetNames>
    <sheetDataSet>
      <sheetData sheetId="0"/>
      <sheetData sheetId="1"/>
      <sheetData sheetId="2">
        <row r="33">
          <cell r="C33">
            <v>40.010373654841068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1"/>
      <sheetName val="Transformer data"/>
      <sheetName val="Impedanser"/>
      <sheetName val="Linerelæ"/>
      <sheetName val="Konstanttidsrelæ"/>
      <sheetName val="Smeltesikring"/>
      <sheetName val="Jord"/>
      <sheetName val="Kabler"/>
      <sheetName val="Strømme"/>
    </sheetNames>
    <sheetDataSet>
      <sheetData sheetId="0"/>
      <sheetData sheetId="1"/>
      <sheetData sheetId="2">
        <row r="4">
          <cell r="B4">
            <v>10</v>
          </cell>
        </row>
        <row r="5">
          <cell r="B5">
            <v>0.4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k1"/>
      <sheetName val="Transformer data"/>
      <sheetName val="Impedanser"/>
      <sheetName val="Strømme"/>
      <sheetName val="Konstanttidsrelæ"/>
      <sheetName val="Smeltesikring"/>
      <sheetName val="Jord"/>
      <sheetName val="Kabler"/>
      <sheetName val="Linerelæ"/>
    </sheetNames>
    <sheetDataSet>
      <sheetData sheetId="0"/>
      <sheetData sheetId="1"/>
      <sheetData sheetId="2"/>
      <sheetData sheetId="3">
        <row r="67">
          <cell r="B67">
            <v>425.6960510153923</v>
          </cell>
        </row>
        <row r="75">
          <cell r="B75">
            <v>368.66359447004606</v>
          </cell>
        </row>
        <row r="79">
          <cell r="B79">
            <v>10642.401275384807</v>
          </cell>
        </row>
        <row r="83">
          <cell r="B83">
            <v>245.77572964669741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19"/>
  <sheetViews>
    <sheetView tabSelected="1" topLeftCell="A57" workbookViewId="0">
      <selection activeCell="B86" sqref="B86"/>
    </sheetView>
  </sheetViews>
  <sheetFormatPr defaultRowHeight="15" x14ac:dyDescent="0.25"/>
  <cols>
    <col min="1" max="1" width="29" bestFit="1" customWidth="1"/>
    <col min="2" max="2" width="12.28515625" bestFit="1" customWidth="1"/>
    <col min="3" max="3" width="7.28515625" bestFit="1" customWidth="1"/>
    <col min="4" max="4" width="5.7109375" customWidth="1"/>
    <col min="5" max="5" width="12" bestFit="1" customWidth="1"/>
    <col min="6" max="6" width="8.5703125" bestFit="1" customWidth="1"/>
    <col min="7" max="7" width="12" bestFit="1" customWidth="1"/>
    <col min="8" max="8" width="1.7109375" bestFit="1" customWidth="1"/>
    <col min="14" max="14" width="9.42578125" bestFit="1" customWidth="1"/>
  </cols>
  <sheetData>
    <row r="3" spans="1:10" ht="18" x14ac:dyDescent="0.35">
      <c r="A3" s="84" t="s">
        <v>411</v>
      </c>
      <c r="B3" s="170"/>
      <c r="C3" s="171"/>
      <c r="D3" s="171"/>
      <c r="E3" s="85"/>
      <c r="F3" s="85"/>
      <c r="G3" s="172"/>
      <c r="H3" s="173"/>
    </row>
    <row r="4" spans="1:10" ht="16.149999999999999" customHeight="1" x14ac:dyDescent="0.35">
      <c r="A4" s="26" t="s">
        <v>412</v>
      </c>
      <c r="B4" s="174">
        <v>400</v>
      </c>
      <c r="C4" s="8" t="s">
        <v>72</v>
      </c>
      <c r="D4" s="9"/>
      <c r="E4" s="9"/>
      <c r="F4" s="9"/>
      <c r="G4" s="9"/>
      <c r="H4" s="10"/>
    </row>
    <row r="5" spans="1:10" ht="16.149999999999999" customHeight="1" x14ac:dyDescent="0.35">
      <c r="A5" s="6" t="s">
        <v>413</v>
      </c>
      <c r="B5" s="161"/>
      <c r="C5" s="26" t="s">
        <v>82</v>
      </c>
      <c r="D5" s="26" t="s">
        <v>4</v>
      </c>
      <c r="E5" s="150"/>
      <c r="F5" s="6" t="s">
        <v>10</v>
      </c>
      <c r="G5" s="3">
        <f>DEGREES(ACOS(E5))</f>
        <v>90</v>
      </c>
      <c r="H5" s="11" t="s">
        <v>2</v>
      </c>
      <c r="I5" s="210">
        <f>IF(B5&gt;0,1,0)</f>
        <v>0</v>
      </c>
      <c r="J5" s="212"/>
    </row>
    <row r="6" spans="1:10" ht="16.149999999999999" customHeight="1" x14ac:dyDescent="0.35">
      <c r="A6" s="51" t="s">
        <v>414</v>
      </c>
      <c r="B6" s="167"/>
      <c r="C6" s="6" t="s">
        <v>82</v>
      </c>
      <c r="D6" s="6" t="s">
        <v>4</v>
      </c>
      <c r="E6" s="4"/>
      <c r="F6" s="8" t="s">
        <v>10</v>
      </c>
      <c r="G6" s="3">
        <f>DEGREES(ACOS(E6))</f>
        <v>90</v>
      </c>
      <c r="H6" s="11" t="s">
        <v>2</v>
      </c>
      <c r="I6" s="210">
        <f>IF(B6&gt;0,1,0)</f>
        <v>0</v>
      </c>
      <c r="J6" s="212"/>
    </row>
    <row r="7" spans="1:10" ht="16.149999999999999" customHeight="1" x14ac:dyDescent="0.35">
      <c r="A7" s="6" t="s">
        <v>415</v>
      </c>
      <c r="B7" s="2" t="e">
        <f>B4/(SQRT(3)*B5)</f>
        <v>#DIV/0!</v>
      </c>
      <c r="C7" s="25" t="s">
        <v>416</v>
      </c>
      <c r="D7" s="26" t="s">
        <v>6</v>
      </c>
      <c r="E7" s="175">
        <f>G5</f>
        <v>90</v>
      </c>
      <c r="F7" s="24" t="s">
        <v>2</v>
      </c>
      <c r="G7" s="9"/>
      <c r="H7" s="10"/>
      <c r="I7">
        <f>IF(I5+I6=2,1,0)</f>
        <v>0</v>
      </c>
    </row>
    <row r="8" spans="1:10" ht="16.149999999999999" customHeight="1" x14ac:dyDescent="0.35">
      <c r="A8" s="6" t="s">
        <v>417</v>
      </c>
      <c r="B8" s="2" t="e">
        <f>B4/(SQRT(3)*B6)</f>
        <v>#DIV/0!</v>
      </c>
      <c r="C8" s="25" t="s">
        <v>416</v>
      </c>
      <c r="D8" s="26" t="s">
        <v>6</v>
      </c>
      <c r="E8" s="175">
        <f>G6</f>
        <v>90</v>
      </c>
      <c r="F8" s="24" t="s">
        <v>2</v>
      </c>
      <c r="G8" s="9"/>
      <c r="H8" s="10"/>
    </row>
    <row r="9" spans="1:10" ht="16.149999999999999" customHeight="1" x14ac:dyDescent="0.25"/>
    <row r="11" spans="1:10" ht="18" x14ac:dyDescent="0.35">
      <c r="A11" s="84" t="s">
        <v>411</v>
      </c>
      <c r="B11" s="170"/>
      <c r="C11" s="171"/>
      <c r="D11" s="171"/>
      <c r="E11" s="85"/>
      <c r="F11" s="85"/>
      <c r="G11" s="172"/>
      <c r="H11" s="173"/>
    </row>
    <row r="12" spans="1:10" s="65" customFormat="1" ht="19.5" x14ac:dyDescent="0.35">
      <c r="A12" s="26" t="s">
        <v>412</v>
      </c>
      <c r="B12" s="174">
        <v>400</v>
      </c>
      <c r="C12" s="8" t="s">
        <v>72</v>
      </c>
      <c r="D12" s="9"/>
      <c r="E12" s="9"/>
      <c r="F12" s="9"/>
      <c r="G12" s="9"/>
      <c r="H12" s="10"/>
      <c r="I12"/>
    </row>
    <row r="13" spans="1:10" ht="16.149999999999999" customHeight="1" x14ac:dyDescent="0.35">
      <c r="A13" s="6" t="s">
        <v>413</v>
      </c>
      <c r="B13" s="161"/>
      <c r="C13" s="26" t="s">
        <v>82</v>
      </c>
      <c r="D13" s="13" t="s">
        <v>1</v>
      </c>
      <c r="E13" s="1"/>
      <c r="F13" s="13" t="s">
        <v>11</v>
      </c>
      <c r="G13" s="14" t="e">
        <f>DEGREES(ATAN(1/E13))</f>
        <v>#DIV/0!</v>
      </c>
      <c r="H13" s="16" t="s">
        <v>2</v>
      </c>
      <c r="I13" s="210">
        <f>IF(B13&gt;0,1,0)</f>
        <v>0</v>
      </c>
      <c r="J13" s="212"/>
    </row>
    <row r="14" spans="1:10" ht="16.149999999999999" customHeight="1" x14ac:dyDescent="0.35">
      <c r="A14" s="51" t="s">
        <v>414</v>
      </c>
      <c r="B14" s="167"/>
      <c r="C14" s="6" t="s">
        <v>82</v>
      </c>
      <c r="D14" s="6" t="s">
        <v>1</v>
      </c>
      <c r="E14" s="1"/>
      <c r="F14" s="13" t="s">
        <v>11</v>
      </c>
      <c r="G14" s="14" t="e">
        <f>DEGREES(ATAN(1/E14))</f>
        <v>#DIV/0!</v>
      </c>
      <c r="H14" s="16" t="s">
        <v>2</v>
      </c>
      <c r="I14" s="210">
        <f>IF(B14&gt;0,1,0)</f>
        <v>0</v>
      </c>
      <c r="J14" s="212"/>
    </row>
    <row r="15" spans="1:10" ht="16.149999999999999" customHeight="1" x14ac:dyDescent="0.35">
      <c r="A15" s="6" t="s">
        <v>415</v>
      </c>
      <c r="B15" s="2" t="e">
        <f>B12/(SQRT(3)*B13)</f>
        <v>#DIV/0!</v>
      </c>
      <c r="C15" s="25" t="s">
        <v>416</v>
      </c>
      <c r="D15" s="26" t="s">
        <v>6</v>
      </c>
      <c r="E15" s="12" t="e">
        <f>G13</f>
        <v>#DIV/0!</v>
      </c>
      <c r="F15" s="24" t="s">
        <v>2</v>
      </c>
      <c r="G15" s="9"/>
      <c r="H15" s="10"/>
      <c r="I15">
        <f>IF(I13+I14=2,1,0)</f>
        <v>0</v>
      </c>
    </row>
    <row r="16" spans="1:10" ht="16.149999999999999" customHeight="1" x14ac:dyDescent="0.35">
      <c r="A16" s="6" t="s">
        <v>417</v>
      </c>
      <c r="B16" s="2" t="e">
        <f>B12/(SQRT(3)*B14)</f>
        <v>#DIV/0!</v>
      </c>
      <c r="C16" s="25" t="s">
        <v>416</v>
      </c>
      <c r="D16" s="26" t="s">
        <v>6</v>
      </c>
      <c r="E16" s="12" t="e">
        <f>G14</f>
        <v>#DIV/0!</v>
      </c>
      <c r="F16" s="24" t="s">
        <v>2</v>
      </c>
      <c r="G16" s="9"/>
      <c r="H16" s="10"/>
    </row>
    <row r="17" spans="1:10" ht="16.149999999999999" customHeight="1" x14ac:dyDescent="0.25"/>
    <row r="18" spans="1:10" ht="16.149999999999999" customHeight="1" x14ac:dyDescent="0.25">
      <c r="A18" t="s">
        <v>418</v>
      </c>
      <c r="B18" s="176"/>
      <c r="C18" s="177"/>
      <c r="D18" s="177"/>
      <c r="E18" s="178"/>
      <c r="F18" s="178"/>
    </row>
    <row r="19" spans="1:10" ht="16.149999999999999" customHeight="1" x14ac:dyDescent="0.35">
      <c r="A19" s="84" t="s">
        <v>305</v>
      </c>
      <c r="B19" s="85"/>
      <c r="C19" s="85"/>
      <c r="D19" s="85"/>
      <c r="E19" s="85"/>
      <c r="F19" s="85"/>
      <c r="G19" s="85"/>
      <c r="H19" s="86"/>
    </row>
    <row r="20" spans="1:10" ht="16.149999999999999" customHeight="1" x14ac:dyDescent="0.35">
      <c r="A20" s="26" t="s">
        <v>419</v>
      </c>
      <c r="B20" s="30">
        <v>10</v>
      </c>
      <c r="C20" s="31" t="s">
        <v>8</v>
      </c>
      <c r="D20" s="32"/>
      <c r="E20" s="32"/>
      <c r="F20" s="32"/>
      <c r="G20" s="32"/>
      <c r="H20" s="33"/>
    </row>
    <row r="21" spans="1:10" ht="16.149999999999999" customHeight="1" x14ac:dyDescent="0.35">
      <c r="A21" s="6" t="s">
        <v>420</v>
      </c>
      <c r="B21" s="161"/>
      <c r="C21" s="6" t="s">
        <v>9</v>
      </c>
      <c r="D21" s="6" t="s">
        <v>4</v>
      </c>
      <c r="E21" s="1"/>
      <c r="F21" s="6" t="s">
        <v>10</v>
      </c>
      <c r="G21" s="3">
        <f>DEGREES(ACOS(E21))</f>
        <v>90</v>
      </c>
      <c r="H21" s="11" t="s">
        <v>2</v>
      </c>
      <c r="I21" s="210">
        <f>IF(B21&gt;0,1,0)</f>
        <v>0</v>
      </c>
      <c r="J21" s="212"/>
    </row>
    <row r="22" spans="1:10" ht="16.149999999999999" customHeight="1" x14ac:dyDescent="0.35">
      <c r="A22" s="6" t="s">
        <v>421</v>
      </c>
      <c r="B22" s="167"/>
      <c r="C22" s="6" t="s">
        <v>9</v>
      </c>
      <c r="D22" s="6" t="s">
        <v>4</v>
      </c>
      <c r="E22" s="1"/>
      <c r="F22" s="6" t="s">
        <v>10</v>
      </c>
      <c r="G22" s="14">
        <f>DEGREES(ACOS(E22))</f>
        <v>90</v>
      </c>
      <c r="H22" s="15" t="s">
        <v>2</v>
      </c>
      <c r="I22" s="210">
        <f>IF(B22&gt;0,1,0)</f>
        <v>0</v>
      </c>
      <c r="J22" s="212"/>
    </row>
    <row r="23" spans="1:10" ht="16.149999999999999" customHeight="1" x14ac:dyDescent="0.35">
      <c r="A23" s="6" t="s">
        <v>422</v>
      </c>
      <c r="B23" s="2" t="e">
        <f>(B20*10^3)^2/(B21*10^6)</f>
        <v>#DIV/0!</v>
      </c>
      <c r="C23" s="7" t="s">
        <v>5</v>
      </c>
      <c r="D23" s="6" t="s">
        <v>6</v>
      </c>
      <c r="E23" s="12">
        <f>G21</f>
        <v>90</v>
      </c>
      <c r="F23" s="8" t="s">
        <v>2</v>
      </c>
      <c r="G23" s="9"/>
      <c r="H23" s="10"/>
      <c r="I23">
        <f>IF(I21+I22=2,1,0)</f>
        <v>0</v>
      </c>
    </row>
    <row r="24" spans="1:10" ht="16.149999999999999" customHeight="1" x14ac:dyDescent="0.35">
      <c r="A24" s="6" t="s">
        <v>423</v>
      </c>
      <c r="B24" s="2" t="e">
        <f>(B20*10^3)^2/(B22*10^6)</f>
        <v>#DIV/0!</v>
      </c>
      <c r="C24" s="7" t="s">
        <v>5</v>
      </c>
      <c r="D24" s="6" t="s">
        <v>6</v>
      </c>
      <c r="E24" s="12">
        <f>G22</f>
        <v>90</v>
      </c>
      <c r="F24" s="8" t="s">
        <v>2</v>
      </c>
      <c r="G24" s="9"/>
      <c r="H24" s="10"/>
    </row>
    <row r="25" spans="1:10" ht="16.149999999999999" customHeight="1" x14ac:dyDescent="0.25"/>
    <row r="26" spans="1:10" ht="16.149999999999999" customHeight="1" x14ac:dyDescent="0.25"/>
    <row r="27" spans="1:10" ht="16.149999999999999" customHeight="1" x14ac:dyDescent="0.35">
      <c r="A27" s="84" t="s">
        <v>305</v>
      </c>
      <c r="B27" s="85"/>
      <c r="C27" s="85"/>
      <c r="D27" s="85"/>
      <c r="E27" s="85"/>
      <c r="F27" s="85"/>
      <c r="G27" s="85"/>
      <c r="H27" s="86"/>
    </row>
    <row r="28" spans="1:10" ht="16.149999999999999" customHeight="1" x14ac:dyDescent="0.35">
      <c r="A28" s="26" t="s">
        <v>419</v>
      </c>
      <c r="B28" s="30">
        <v>10</v>
      </c>
      <c r="C28" s="31" t="s">
        <v>8</v>
      </c>
      <c r="D28" s="32"/>
      <c r="E28" s="32"/>
      <c r="F28" s="32"/>
      <c r="G28" s="32"/>
      <c r="H28" s="33"/>
    </row>
    <row r="29" spans="1:10" ht="16.149999999999999" customHeight="1" x14ac:dyDescent="0.35">
      <c r="A29" s="6" t="s">
        <v>420</v>
      </c>
      <c r="B29" s="161"/>
      <c r="C29" s="6" t="s">
        <v>9</v>
      </c>
      <c r="D29" s="13" t="s">
        <v>1</v>
      </c>
      <c r="E29" s="1"/>
      <c r="F29" s="13" t="s">
        <v>11</v>
      </c>
      <c r="G29" s="14" t="e">
        <f>DEGREES(ATAN(1/E29))</f>
        <v>#DIV/0!</v>
      </c>
      <c r="H29" s="16" t="s">
        <v>2</v>
      </c>
      <c r="I29" s="210">
        <f>IF(B29&gt;0,1,0)</f>
        <v>0</v>
      </c>
      <c r="J29" s="212"/>
    </row>
    <row r="30" spans="1:10" ht="16.149999999999999" customHeight="1" x14ac:dyDescent="0.35">
      <c r="A30" s="6" t="s">
        <v>421</v>
      </c>
      <c r="B30" s="167"/>
      <c r="C30" s="6" t="s">
        <v>9</v>
      </c>
      <c r="D30" s="6" t="s">
        <v>1</v>
      </c>
      <c r="E30" s="1"/>
      <c r="F30" s="13" t="s">
        <v>11</v>
      </c>
      <c r="G30" s="14" t="e">
        <f>DEGREES(ATAN(1/E30))</f>
        <v>#DIV/0!</v>
      </c>
      <c r="H30" s="16" t="s">
        <v>2</v>
      </c>
      <c r="I30" s="210">
        <f>IF(B30&gt;0,1,0)</f>
        <v>0</v>
      </c>
      <c r="J30" s="212"/>
    </row>
    <row r="31" spans="1:10" ht="16.149999999999999" customHeight="1" x14ac:dyDescent="0.35">
      <c r="A31" s="6" t="s">
        <v>422</v>
      </c>
      <c r="B31" s="2" t="e">
        <f>(B28*10^3)^2/(B29*10^6)</f>
        <v>#DIV/0!</v>
      </c>
      <c r="C31" s="7" t="s">
        <v>5</v>
      </c>
      <c r="D31" s="6" t="s">
        <v>6</v>
      </c>
      <c r="E31" s="12" t="e">
        <f>G29</f>
        <v>#DIV/0!</v>
      </c>
      <c r="F31" s="8" t="s">
        <v>2</v>
      </c>
      <c r="G31" s="9"/>
      <c r="H31" s="10"/>
      <c r="I31">
        <f>IF(I29+I30=2,1,0)</f>
        <v>0</v>
      </c>
    </row>
    <row r="32" spans="1:10" ht="16.149999999999999" customHeight="1" x14ac:dyDescent="0.35">
      <c r="A32" s="6" t="s">
        <v>423</v>
      </c>
      <c r="B32" s="2" t="e">
        <f>(B28*10^3)^2/(B30*10^6)</f>
        <v>#DIV/0!</v>
      </c>
      <c r="C32" s="7" t="s">
        <v>5</v>
      </c>
      <c r="D32" s="6" t="s">
        <v>6</v>
      </c>
      <c r="E32" s="12" t="e">
        <f>G30</f>
        <v>#DIV/0!</v>
      </c>
      <c r="F32" s="8" t="s">
        <v>2</v>
      </c>
      <c r="G32" s="9"/>
      <c r="H32" s="10"/>
    </row>
    <row r="33" spans="1:10" ht="16.149999999999999" customHeight="1" x14ac:dyDescent="0.25"/>
    <row r="34" spans="1:10" ht="16.149999999999999" customHeight="1" x14ac:dyDescent="0.25"/>
    <row r="35" spans="1:10" ht="16.149999999999999" customHeight="1" x14ac:dyDescent="0.35">
      <c r="A35" s="84" t="s">
        <v>305</v>
      </c>
      <c r="B35" s="85"/>
      <c r="C35" s="85"/>
      <c r="D35" s="85"/>
      <c r="E35" s="85"/>
      <c r="F35" s="85"/>
      <c r="G35" s="85"/>
      <c r="H35" s="86"/>
      <c r="I35" s="179" t="s">
        <v>424</v>
      </c>
    </row>
    <row r="36" spans="1:10" ht="16.149999999999999" customHeight="1" x14ac:dyDescent="0.35">
      <c r="A36" s="26" t="s">
        <v>304</v>
      </c>
      <c r="B36" s="30">
        <v>0.4</v>
      </c>
      <c r="C36" s="31" t="s">
        <v>8</v>
      </c>
      <c r="D36" s="32"/>
      <c r="E36" s="32"/>
      <c r="F36" s="32"/>
      <c r="G36" s="32"/>
      <c r="H36" s="33"/>
    </row>
    <row r="37" spans="1:10" ht="16.149999999999999" customHeight="1" x14ac:dyDescent="0.35">
      <c r="A37" s="13" t="s">
        <v>425</v>
      </c>
      <c r="B37" s="69"/>
      <c r="C37" s="13" t="s">
        <v>9</v>
      </c>
      <c r="D37" s="13" t="s">
        <v>1</v>
      </c>
      <c r="E37" s="180"/>
      <c r="F37" s="13" t="s">
        <v>11</v>
      </c>
      <c r="G37" s="14" t="e">
        <f>DEGREES(ATAN(1/E37))</f>
        <v>#DIV/0!</v>
      </c>
      <c r="H37" s="16" t="s">
        <v>2</v>
      </c>
      <c r="I37" s="210">
        <f>IF(B37&gt;0,1,0)</f>
        <v>0</v>
      </c>
      <c r="J37" s="212"/>
    </row>
    <row r="38" spans="1:10" ht="16.149999999999999" customHeight="1" x14ac:dyDescent="0.35">
      <c r="A38" s="6" t="s">
        <v>426</v>
      </c>
      <c r="B38" s="3" t="e">
        <f>(((B36*10^3))^2/(B37*10^6))*10^3</f>
        <v>#DIV/0!</v>
      </c>
      <c r="C38" s="7" t="s">
        <v>427</v>
      </c>
      <c r="D38" s="6" t="s">
        <v>6</v>
      </c>
      <c r="E38" s="12" t="e">
        <f>G37</f>
        <v>#DIV/0!</v>
      </c>
      <c r="F38" s="8" t="s">
        <v>2</v>
      </c>
      <c r="G38" s="9"/>
      <c r="H38" s="10"/>
    </row>
    <row r="39" spans="1:10" ht="16.149999999999999" customHeight="1" x14ac:dyDescent="0.25"/>
    <row r="40" spans="1:10" ht="16.149999999999999" customHeight="1" x14ac:dyDescent="0.25"/>
    <row r="41" spans="1:10" ht="16.149999999999999" customHeight="1" x14ac:dyDescent="0.35">
      <c r="A41" s="6" t="s">
        <v>422</v>
      </c>
      <c r="B41" s="2" t="e" cm="1">
        <f t="array" ref="B41">_xlfn.IFS(I7=1,B7,I23=1,B23,I37=1,B38,I14=1,B15,I31=1,B31)</f>
        <v>#N/A</v>
      </c>
      <c r="C41" s="7" t="s">
        <v>5</v>
      </c>
      <c r="D41" s="6" t="s">
        <v>6</v>
      </c>
      <c r="E41" s="2" t="e" cm="1">
        <f t="array" ref="E41">_xlfn.IFS(I7=1,E7,I23=1,E23,I37=1,E38,I14=1,E15,I31=1,E31)</f>
        <v>#N/A</v>
      </c>
      <c r="F41" s="8" t="s">
        <v>2</v>
      </c>
      <c r="G41" s="9"/>
      <c r="H41" s="10"/>
    </row>
    <row r="42" spans="1:10" ht="16.149999999999999" customHeight="1" x14ac:dyDescent="0.35">
      <c r="A42" s="6" t="s">
        <v>423</v>
      </c>
      <c r="B42" s="2" t="e" cm="1">
        <f t="array" ref="B42">_xlfn.IFS(I7=1,B8,I23=1,B24,I37=1,B38,I14=1,B16,I31=1,B32)</f>
        <v>#N/A</v>
      </c>
      <c r="C42" s="7" t="s">
        <v>5</v>
      </c>
      <c r="D42" s="6" t="s">
        <v>6</v>
      </c>
      <c r="E42" s="2" t="e" cm="1">
        <f t="array" ref="E42">_xlfn.IFS(I7=1,E8,I23=1,E24,I37=1,E38,I14=1,E16,I31=1,E32)</f>
        <v>#N/A</v>
      </c>
      <c r="F42" s="8" t="s">
        <v>2</v>
      </c>
      <c r="G42" s="9"/>
      <c r="H42" s="10"/>
    </row>
    <row r="43" spans="1:10" ht="16.149999999999999" customHeight="1" x14ac:dyDescent="0.25">
      <c r="B43" s="81"/>
      <c r="C43" s="57"/>
      <c r="E43" s="68"/>
    </row>
    <row r="44" spans="1:10" x14ac:dyDescent="0.25">
      <c r="A44" t="s">
        <v>518</v>
      </c>
    </row>
    <row r="45" spans="1:10" ht="18" x14ac:dyDescent="0.35">
      <c r="A45" s="84" t="s">
        <v>428</v>
      </c>
      <c r="B45" s="85" t="s">
        <v>429</v>
      </c>
      <c r="C45" s="85"/>
      <c r="D45" s="85"/>
      <c r="E45" s="85"/>
      <c r="F45" s="85"/>
      <c r="G45" s="85"/>
      <c r="H45" s="86"/>
    </row>
    <row r="46" spans="1:10" ht="18" x14ac:dyDescent="0.35">
      <c r="A46" s="6" t="s">
        <v>412</v>
      </c>
      <c r="B46" s="1">
        <v>10</v>
      </c>
      <c r="C46" s="8" t="s">
        <v>8</v>
      </c>
      <c r="D46" s="9"/>
      <c r="E46" s="9"/>
      <c r="F46" s="9"/>
      <c r="G46" s="9"/>
      <c r="H46" s="10"/>
    </row>
    <row r="47" spans="1:10" x14ac:dyDescent="0.25">
      <c r="A47" s="6" t="s">
        <v>430</v>
      </c>
      <c r="B47" s="4"/>
      <c r="C47" s="8"/>
      <c r="D47" s="9"/>
      <c r="E47" s="9"/>
      <c r="F47" s="9"/>
      <c r="G47" s="9"/>
      <c r="H47" s="10"/>
      <c r="I47" s="210"/>
    </row>
    <row r="48" spans="1:10" x14ac:dyDescent="0.25">
      <c r="A48" s="6" t="s">
        <v>431</v>
      </c>
      <c r="B48" s="1"/>
      <c r="C48" s="8" t="s">
        <v>432</v>
      </c>
      <c r="D48" s="9"/>
      <c r="E48" s="9"/>
      <c r="F48" s="9"/>
      <c r="G48" s="9"/>
      <c r="H48" s="10"/>
      <c r="I48" s="210"/>
    </row>
    <row r="49" spans="1:9" ht="18" x14ac:dyDescent="0.35">
      <c r="A49" s="6" t="s">
        <v>433</v>
      </c>
      <c r="B49" s="3" t="e">
        <f>B48/(B46*SQRT(3)*B47)</f>
        <v>#DIV/0!</v>
      </c>
      <c r="C49" s="8" t="s">
        <v>18</v>
      </c>
      <c r="D49" s="9"/>
      <c r="E49" s="9"/>
      <c r="F49" s="9"/>
      <c r="G49" s="9"/>
      <c r="H49" s="10"/>
    </row>
    <row r="52" spans="1:9" x14ac:dyDescent="0.25">
      <c r="A52" s="84" t="s">
        <v>434</v>
      </c>
      <c r="B52" s="85" t="s">
        <v>429</v>
      </c>
      <c r="C52" s="85">
        <f>C45</f>
        <v>0</v>
      </c>
      <c r="D52" s="85"/>
      <c r="E52" s="85"/>
      <c r="F52" s="85"/>
      <c r="G52" s="85"/>
      <c r="H52" s="86"/>
    </row>
    <row r="53" spans="1:9" ht="18" x14ac:dyDescent="0.35">
      <c r="A53" s="6" t="s">
        <v>435</v>
      </c>
      <c r="B53" s="155" t="e">
        <f>B49</f>
        <v>#DIV/0!</v>
      </c>
      <c r="C53" s="8" t="s">
        <v>18</v>
      </c>
      <c r="D53" s="9"/>
      <c r="E53" s="9"/>
      <c r="F53" s="9"/>
      <c r="G53" s="9"/>
      <c r="H53" s="10"/>
    </row>
    <row r="54" spans="1:9" ht="18" x14ac:dyDescent="0.35">
      <c r="A54" s="6" t="s">
        <v>121</v>
      </c>
      <c r="B54" s="17">
        <v>1</v>
      </c>
      <c r="C54" s="6"/>
      <c r="D54" s="21" t="s">
        <v>172</v>
      </c>
      <c r="E54" s="23" t="s">
        <v>171</v>
      </c>
      <c r="F54" s="8"/>
      <c r="G54" s="9"/>
      <c r="H54" s="10"/>
      <c r="I54" s="210"/>
    </row>
    <row r="55" spans="1:9" ht="18" x14ac:dyDescent="0.35">
      <c r="A55" s="6" t="s">
        <v>167</v>
      </c>
      <c r="B55" s="17">
        <v>1</v>
      </c>
      <c r="C55" s="6"/>
      <c r="D55" s="21" t="s">
        <v>172</v>
      </c>
      <c r="E55" s="23" t="s">
        <v>173</v>
      </c>
      <c r="F55" s="8"/>
      <c r="G55" s="9"/>
      <c r="H55" s="10"/>
      <c r="I55" s="210"/>
    </row>
    <row r="56" spans="1:9" ht="18" x14ac:dyDescent="0.35">
      <c r="A56" s="6" t="s">
        <v>168</v>
      </c>
      <c r="B56" s="17">
        <v>1</v>
      </c>
      <c r="C56" s="6"/>
      <c r="D56" s="21" t="s">
        <v>172</v>
      </c>
      <c r="E56" s="23" t="s">
        <v>174</v>
      </c>
      <c r="F56" s="8"/>
      <c r="G56" s="9"/>
      <c r="H56" s="10"/>
      <c r="I56" s="210"/>
    </row>
    <row r="57" spans="1:9" ht="18" x14ac:dyDescent="0.35">
      <c r="A57" s="6" t="s">
        <v>122</v>
      </c>
      <c r="B57" s="17">
        <v>1</v>
      </c>
      <c r="C57" s="13"/>
      <c r="D57" s="21" t="s">
        <v>172</v>
      </c>
      <c r="E57" s="23" t="s">
        <v>175</v>
      </c>
      <c r="F57" s="8"/>
      <c r="G57" s="9"/>
      <c r="H57" s="10"/>
      <c r="I57" s="210"/>
    </row>
    <row r="58" spans="1:9" ht="18" x14ac:dyDescent="0.35">
      <c r="A58" s="6" t="s">
        <v>436</v>
      </c>
      <c r="B58" s="71" t="e">
        <f>B49/(B54*B55*B56*B57)</f>
        <v>#DIV/0!</v>
      </c>
      <c r="C58" s="8" t="s">
        <v>18</v>
      </c>
      <c r="D58" s="9"/>
      <c r="E58" s="9"/>
      <c r="F58" s="9"/>
      <c r="G58" s="9"/>
      <c r="H58" s="10"/>
    </row>
    <row r="59" spans="1:9" ht="18" x14ac:dyDescent="0.35">
      <c r="A59" s="6" t="s">
        <v>375</v>
      </c>
      <c r="B59" s="181"/>
      <c r="C59" s="8" t="s">
        <v>18</v>
      </c>
      <c r="D59" s="9"/>
      <c r="E59" s="9"/>
      <c r="F59" s="9"/>
      <c r="G59" s="9"/>
      <c r="H59" s="10"/>
      <c r="I59" s="210"/>
    </row>
    <row r="60" spans="1:9" ht="17.25" x14ac:dyDescent="0.25">
      <c r="A60" s="6" t="s">
        <v>35</v>
      </c>
      <c r="B60" s="60" t="e">
        <f>#REF!</f>
        <v>#REF!</v>
      </c>
      <c r="C60" s="66"/>
      <c r="D60" s="66"/>
      <c r="E60" s="66"/>
      <c r="F60" s="66" t="s">
        <v>53</v>
      </c>
      <c r="G60" s="66"/>
      <c r="H60" s="61"/>
      <c r="I60" s="210"/>
    </row>
    <row r="61" spans="1:9" ht="18" x14ac:dyDescent="0.35">
      <c r="A61" s="6" t="s">
        <v>437</v>
      </c>
      <c r="B61" s="71" t="e">
        <f>(B58/B59)*100</f>
        <v>#DIV/0!</v>
      </c>
      <c r="C61" s="8" t="s">
        <v>23</v>
      </c>
      <c r="D61" s="9"/>
      <c r="E61" s="9"/>
      <c r="F61" s="9"/>
      <c r="G61" s="9"/>
      <c r="H61" s="10"/>
    </row>
    <row r="63" spans="1:9" x14ac:dyDescent="0.25">
      <c r="A63" s="53" t="s">
        <v>518</v>
      </c>
    </row>
    <row r="64" spans="1:9" ht="18" x14ac:dyDescent="0.35">
      <c r="A64" s="84" t="s">
        <v>428</v>
      </c>
      <c r="B64" s="85" t="s">
        <v>429</v>
      </c>
      <c r="C64" s="85"/>
      <c r="D64" s="85"/>
      <c r="E64" s="85"/>
      <c r="F64" s="85"/>
      <c r="G64" s="85"/>
      <c r="H64" s="86"/>
    </row>
    <row r="65" spans="1:9" ht="16.149999999999999" customHeight="1" x14ac:dyDescent="0.35">
      <c r="A65" s="6" t="s">
        <v>412</v>
      </c>
      <c r="B65" s="1">
        <v>10</v>
      </c>
      <c r="C65" s="8" t="s">
        <v>8</v>
      </c>
      <c r="D65" s="9"/>
      <c r="E65" s="9"/>
      <c r="F65" s="9"/>
      <c r="G65" s="9"/>
      <c r="H65" s="10"/>
    </row>
    <row r="66" spans="1:9" x14ac:dyDescent="0.25">
      <c r="A66" s="6" t="s">
        <v>430</v>
      </c>
      <c r="B66" s="4"/>
      <c r="C66" s="8"/>
      <c r="D66" s="9"/>
      <c r="E66" s="9"/>
      <c r="F66" s="9"/>
      <c r="G66" s="9"/>
      <c r="H66" s="10"/>
      <c r="I66" s="210"/>
    </row>
    <row r="67" spans="1:9" x14ac:dyDescent="0.25">
      <c r="A67" s="6" t="s">
        <v>431</v>
      </c>
      <c r="B67" s="1"/>
      <c r="C67" s="8" t="s">
        <v>432</v>
      </c>
      <c r="D67" s="9"/>
      <c r="E67" s="9"/>
      <c r="F67" s="9"/>
      <c r="G67" s="9"/>
      <c r="H67" s="10"/>
      <c r="I67" s="210"/>
    </row>
    <row r="68" spans="1:9" ht="18" x14ac:dyDescent="0.35">
      <c r="A68" s="6" t="s">
        <v>433</v>
      </c>
      <c r="B68" s="3" t="e">
        <f>B67/(B65*SQRT(3)*B66)</f>
        <v>#DIV/0!</v>
      </c>
      <c r="C68" s="8" t="s">
        <v>18</v>
      </c>
      <c r="D68" s="9"/>
      <c r="E68" s="9"/>
      <c r="F68" s="9"/>
      <c r="G68" s="9"/>
      <c r="H68" s="10"/>
    </row>
    <row r="71" spans="1:9" x14ac:dyDescent="0.25">
      <c r="A71" s="84" t="s">
        <v>434</v>
      </c>
      <c r="B71" s="85" t="s">
        <v>429</v>
      </c>
      <c r="C71" s="85">
        <f>C64</f>
        <v>0</v>
      </c>
      <c r="D71" s="85"/>
      <c r="E71" s="85"/>
      <c r="F71" s="85"/>
      <c r="G71" s="85"/>
      <c r="H71" s="86"/>
    </row>
    <row r="72" spans="1:9" ht="18" x14ac:dyDescent="0.35">
      <c r="A72" s="6" t="s">
        <v>435</v>
      </c>
      <c r="B72" s="155" t="e">
        <f>B68</f>
        <v>#DIV/0!</v>
      </c>
      <c r="C72" s="8" t="s">
        <v>18</v>
      </c>
      <c r="D72" s="9"/>
      <c r="E72" s="9"/>
      <c r="F72" s="9"/>
      <c r="G72" s="9"/>
      <c r="H72" s="10"/>
    </row>
    <row r="73" spans="1:9" ht="18" x14ac:dyDescent="0.35">
      <c r="A73" s="6" t="s">
        <v>121</v>
      </c>
      <c r="B73" s="17">
        <v>1</v>
      </c>
      <c r="C73" s="6"/>
      <c r="D73" s="21" t="s">
        <v>172</v>
      </c>
      <c r="E73" s="23" t="s">
        <v>171</v>
      </c>
      <c r="F73" s="8"/>
      <c r="G73" s="9"/>
      <c r="H73" s="10"/>
    </row>
    <row r="74" spans="1:9" ht="18" x14ac:dyDescent="0.35">
      <c r="A74" s="6" t="s">
        <v>167</v>
      </c>
      <c r="B74" s="17">
        <v>1</v>
      </c>
      <c r="C74" s="6"/>
      <c r="D74" s="21" t="s">
        <v>172</v>
      </c>
      <c r="E74" s="23" t="s">
        <v>173</v>
      </c>
      <c r="F74" s="8"/>
      <c r="G74" s="9"/>
      <c r="H74" s="10"/>
    </row>
    <row r="75" spans="1:9" ht="18" x14ac:dyDescent="0.35">
      <c r="A75" s="6" t="s">
        <v>168</v>
      </c>
      <c r="B75" s="17">
        <v>1</v>
      </c>
      <c r="C75" s="6"/>
      <c r="D75" s="21" t="s">
        <v>172</v>
      </c>
      <c r="E75" s="23" t="s">
        <v>174</v>
      </c>
      <c r="F75" s="8"/>
      <c r="G75" s="9"/>
      <c r="H75" s="10"/>
    </row>
    <row r="76" spans="1:9" ht="18" x14ac:dyDescent="0.35">
      <c r="A76" s="6" t="s">
        <v>122</v>
      </c>
      <c r="B76" s="17">
        <v>1</v>
      </c>
      <c r="C76" s="13"/>
      <c r="D76" s="21" t="s">
        <v>172</v>
      </c>
      <c r="E76" s="23" t="s">
        <v>175</v>
      </c>
      <c r="F76" s="8"/>
      <c r="G76" s="9"/>
      <c r="H76" s="10"/>
    </row>
    <row r="77" spans="1:9" ht="18" x14ac:dyDescent="0.35">
      <c r="A77" s="6" t="s">
        <v>436</v>
      </c>
      <c r="B77" s="71" t="e">
        <f>B68/(B73*B74*B75*B76)</f>
        <v>#DIV/0!</v>
      </c>
      <c r="C77" s="8" t="s">
        <v>18</v>
      </c>
      <c r="D77" s="9"/>
      <c r="E77" s="9"/>
      <c r="F77" s="9"/>
      <c r="G77" s="9"/>
      <c r="H77" s="10"/>
    </row>
    <row r="78" spans="1:9" ht="18" x14ac:dyDescent="0.35">
      <c r="A78" s="6" t="s">
        <v>375</v>
      </c>
      <c r="B78" s="181"/>
      <c r="C78" s="8" t="s">
        <v>18</v>
      </c>
      <c r="D78" s="9"/>
      <c r="E78" s="9"/>
      <c r="F78" s="9"/>
      <c r="G78" s="9"/>
      <c r="H78" s="10"/>
      <c r="I78" s="210"/>
    </row>
    <row r="79" spans="1:9" ht="17.25" x14ac:dyDescent="0.25">
      <c r="A79" s="6" t="s">
        <v>35</v>
      </c>
      <c r="B79" s="60" t="e">
        <f>B60</f>
        <v>#REF!</v>
      </c>
      <c r="C79" s="66"/>
      <c r="D79" s="66"/>
      <c r="E79" s="66"/>
      <c r="F79" s="66" t="s">
        <v>53</v>
      </c>
      <c r="G79" s="66"/>
      <c r="H79" s="61"/>
    </row>
    <row r="80" spans="1:9" ht="18" x14ac:dyDescent="0.35">
      <c r="A80" s="6" t="s">
        <v>437</v>
      </c>
      <c r="B80" s="71" t="e">
        <f>(B77/B78)*100</f>
        <v>#DIV/0!</v>
      </c>
      <c r="C80" s="8" t="s">
        <v>23</v>
      </c>
      <c r="D80" s="9"/>
      <c r="E80" s="9"/>
      <c r="F80" s="9"/>
      <c r="G80" s="9"/>
      <c r="H80" s="10"/>
    </row>
    <row r="82" spans="1:12" x14ac:dyDescent="0.25">
      <c r="A82" t="s">
        <v>447</v>
      </c>
    </row>
    <row r="83" spans="1:12" ht="18" x14ac:dyDescent="0.35">
      <c r="A83" s="84" t="s">
        <v>306</v>
      </c>
      <c r="B83" s="85"/>
      <c r="C83" s="85"/>
      <c r="D83" s="85"/>
      <c r="E83" s="85"/>
      <c r="F83" s="85"/>
      <c r="G83" s="85"/>
      <c r="H83" s="86"/>
      <c r="J83" t="s">
        <v>185</v>
      </c>
    </row>
    <row r="84" spans="1:12" ht="16.149999999999999" customHeight="1" x14ac:dyDescent="0.35">
      <c r="A84" s="6" t="s">
        <v>338</v>
      </c>
      <c r="B84" s="28" t="e">
        <f>B41</f>
        <v>#N/A</v>
      </c>
      <c r="C84" s="7" t="s">
        <v>5</v>
      </c>
      <c r="D84" s="6" t="s">
        <v>6</v>
      </c>
      <c r="E84" s="28" t="e">
        <f>E41</f>
        <v>#N/A</v>
      </c>
      <c r="F84" s="8" t="s">
        <v>2</v>
      </c>
      <c r="G84" s="9"/>
      <c r="H84" s="10"/>
    </row>
    <row r="85" spans="1:12" ht="16.149999999999999" hidden="1" customHeight="1" x14ac:dyDescent="0.25">
      <c r="A85" s="6" t="s">
        <v>15</v>
      </c>
      <c r="B85" s="1">
        <v>1</v>
      </c>
      <c r="C85" s="8" t="s">
        <v>16</v>
      </c>
      <c r="D85" s="9"/>
      <c r="E85" s="9"/>
      <c r="F85" s="9"/>
      <c r="G85" s="9"/>
      <c r="H85" s="10"/>
      <c r="J85" t="s">
        <v>339</v>
      </c>
      <c r="K85" t="s">
        <v>340</v>
      </c>
      <c r="L85" t="s">
        <v>341</v>
      </c>
    </row>
    <row r="86" spans="1:12" ht="16.149999999999999" customHeight="1" x14ac:dyDescent="0.25">
      <c r="A86" s="6" t="s">
        <v>35</v>
      </c>
      <c r="B86" s="21"/>
      <c r="C86" s="47"/>
      <c r="D86" s="47"/>
      <c r="E86" s="47"/>
      <c r="F86" s="47"/>
      <c r="G86" s="47"/>
      <c r="H86" s="48"/>
      <c r="I86" s="212"/>
      <c r="J86" t="e">
        <f>RADIANS(E84)</f>
        <v>#N/A</v>
      </c>
      <c r="K86" t="e">
        <f>B84*COS(J86)</f>
        <v>#N/A</v>
      </c>
      <c r="L86" t="e">
        <f>B84*SIN(J86)</f>
        <v>#N/A</v>
      </c>
    </row>
    <row r="87" spans="1:12" ht="16.149999999999999" customHeight="1" x14ac:dyDescent="0.25">
      <c r="A87" s="58" t="s">
        <v>12</v>
      </c>
      <c r="B87" s="211"/>
      <c r="C87" s="106" t="s">
        <v>13</v>
      </c>
      <c r="D87" s="21" t="s">
        <v>170</v>
      </c>
      <c r="E87" s="23"/>
      <c r="F87" s="9"/>
      <c r="G87" s="9"/>
      <c r="H87" s="10"/>
      <c r="I87" s="212"/>
      <c r="J87">
        <f>RADIANS(E89)</f>
        <v>0</v>
      </c>
      <c r="K87">
        <f>B89*COS(J87)</f>
        <v>0</v>
      </c>
      <c r="L87">
        <f>B89*SIN(J87)</f>
        <v>0</v>
      </c>
    </row>
    <row r="88" spans="1:12" ht="16.149999999999999" customHeight="1" x14ac:dyDescent="0.25">
      <c r="A88" s="58" t="s">
        <v>14</v>
      </c>
      <c r="B88" s="211"/>
      <c r="C88" s="106" t="s">
        <v>13</v>
      </c>
      <c r="D88" s="94" t="s">
        <v>170</v>
      </c>
      <c r="E88" s="95"/>
      <c r="F88" s="32"/>
      <c r="G88" s="32"/>
      <c r="H88" s="33"/>
      <c r="I88" s="212"/>
      <c r="J88">
        <f>RADIANS(E90)</f>
        <v>1.5707963267948966</v>
      </c>
      <c r="K88">
        <f>B90*COS(J88)</f>
        <v>0</v>
      </c>
      <c r="L88">
        <f>B90*SIN(J88)</f>
        <v>0</v>
      </c>
    </row>
    <row r="89" spans="1:12" ht="16.149999999999999" customHeight="1" x14ac:dyDescent="0.25">
      <c r="A89" s="6" t="s">
        <v>154</v>
      </c>
      <c r="B89" s="76">
        <f>B85*B87</f>
        <v>0</v>
      </c>
      <c r="C89" s="7" t="s">
        <v>5</v>
      </c>
      <c r="D89" s="6" t="s">
        <v>6</v>
      </c>
      <c r="E89" s="20">
        <v>0</v>
      </c>
      <c r="F89" s="8" t="s">
        <v>2</v>
      </c>
      <c r="G89" s="9"/>
      <c r="H89" s="10"/>
      <c r="K89" t="e">
        <f>SUM(K86:K88)</f>
        <v>#N/A</v>
      </c>
      <c r="L89" t="e">
        <f>SUM(L86:L88)</f>
        <v>#N/A</v>
      </c>
    </row>
    <row r="90" spans="1:12" ht="16.149999999999999" customHeight="1" x14ac:dyDescent="0.25">
      <c r="A90" s="6" t="s">
        <v>155</v>
      </c>
      <c r="B90" s="76">
        <f>B85*B88</f>
        <v>0</v>
      </c>
      <c r="C90" s="7" t="s">
        <v>5</v>
      </c>
      <c r="D90" s="6" t="s">
        <v>6</v>
      </c>
      <c r="E90" s="19">
        <v>90</v>
      </c>
      <c r="F90" s="8" t="s">
        <v>2</v>
      </c>
      <c r="G90" s="9"/>
      <c r="H90" s="10"/>
    </row>
    <row r="91" spans="1:12" ht="16.149999999999999" customHeight="1" x14ac:dyDescent="0.35">
      <c r="A91" s="58" t="s">
        <v>342</v>
      </c>
      <c r="B91" s="149" t="e">
        <f>SQRT(K89^2+L89^2)</f>
        <v>#N/A</v>
      </c>
      <c r="C91" s="11" t="s">
        <v>5</v>
      </c>
      <c r="D91" s="58" t="s">
        <v>6</v>
      </c>
      <c r="E91" s="146" t="e">
        <f>DEGREES(ATAN2(K89,L89))</f>
        <v>#N/A</v>
      </c>
      <c r="F91" s="147" t="s">
        <v>2</v>
      </c>
      <c r="G91" s="107"/>
      <c r="H91" s="108"/>
    </row>
    <row r="92" spans="1:12" ht="16.149999999999999" customHeight="1" x14ac:dyDescent="0.25">
      <c r="C92" s="57"/>
    </row>
    <row r="93" spans="1:12" x14ac:dyDescent="0.25">
      <c r="A93" t="s">
        <v>446</v>
      </c>
    </row>
    <row r="94" spans="1:12" ht="18" x14ac:dyDescent="0.35">
      <c r="A94" s="84" t="s">
        <v>307</v>
      </c>
      <c r="B94" s="85"/>
      <c r="C94" s="85"/>
      <c r="D94" s="85"/>
      <c r="E94" s="85"/>
      <c r="F94" s="85"/>
      <c r="G94" s="85"/>
      <c r="H94" s="86"/>
      <c r="J94" t="s">
        <v>186</v>
      </c>
    </row>
    <row r="95" spans="1:12" ht="16.149999999999999" customHeight="1" x14ac:dyDescent="0.35">
      <c r="A95" s="6" t="s">
        <v>343</v>
      </c>
      <c r="B95" s="28" t="e">
        <f>B42</f>
        <v>#N/A</v>
      </c>
      <c r="C95" s="7" t="s">
        <v>5</v>
      </c>
      <c r="D95" s="6" t="s">
        <v>6</v>
      </c>
      <c r="E95" s="28" t="e">
        <f>E42</f>
        <v>#N/A</v>
      </c>
      <c r="F95" s="8" t="s">
        <v>2</v>
      </c>
      <c r="G95" s="9"/>
      <c r="H95" s="10"/>
    </row>
    <row r="96" spans="1:12" ht="16.149999999999999" customHeight="1" x14ac:dyDescent="0.25">
      <c r="A96" s="6" t="s">
        <v>15</v>
      </c>
      <c r="B96" s="1">
        <f>B85</f>
        <v>1</v>
      </c>
      <c r="C96" s="8" t="s">
        <v>16</v>
      </c>
      <c r="D96" s="9"/>
      <c r="E96" s="9"/>
      <c r="F96" s="9"/>
      <c r="G96" s="9"/>
      <c r="H96" s="10"/>
      <c r="J96" t="s">
        <v>339</v>
      </c>
      <c r="K96" t="s">
        <v>340</v>
      </c>
      <c r="L96" t="s">
        <v>341</v>
      </c>
    </row>
    <row r="97" spans="1:12" ht="16.149999999999999" customHeight="1" x14ac:dyDescent="0.25">
      <c r="A97" s="6" t="s">
        <v>35</v>
      </c>
      <c r="B97" s="21">
        <f>B86</f>
        <v>0</v>
      </c>
      <c r="C97" s="47"/>
      <c r="D97" s="47"/>
      <c r="E97" s="47"/>
      <c r="F97" s="47"/>
      <c r="G97" s="47"/>
      <c r="H97" s="48"/>
      <c r="J97" t="e">
        <f>RADIANS(E95)</f>
        <v>#N/A</v>
      </c>
      <c r="K97" t="e">
        <f>B95*COS(J97)</f>
        <v>#N/A</v>
      </c>
      <c r="L97" t="e">
        <f>B95*SIN(J97)</f>
        <v>#N/A</v>
      </c>
    </row>
    <row r="98" spans="1:12" ht="16.149999999999999" customHeight="1" x14ac:dyDescent="0.25">
      <c r="A98" s="58" t="s">
        <v>12</v>
      </c>
      <c r="B98" s="105">
        <f>B87</f>
        <v>0</v>
      </c>
      <c r="C98" s="106" t="s">
        <v>13</v>
      </c>
      <c r="D98" s="21" t="s">
        <v>170</v>
      </c>
      <c r="E98" s="23"/>
      <c r="F98" s="9"/>
      <c r="G98" s="9"/>
      <c r="H98" s="10"/>
      <c r="J98">
        <f>RADIANS(E100)</f>
        <v>0</v>
      </c>
      <c r="K98">
        <f>B100*COS(J98)</f>
        <v>0</v>
      </c>
      <c r="L98">
        <f>B100*SIN(J98)</f>
        <v>0</v>
      </c>
    </row>
    <row r="99" spans="1:12" ht="16.149999999999999" customHeight="1" x14ac:dyDescent="0.25">
      <c r="A99" s="58" t="s">
        <v>14</v>
      </c>
      <c r="B99" s="105">
        <f>B88</f>
        <v>0</v>
      </c>
      <c r="C99" s="106" t="s">
        <v>13</v>
      </c>
      <c r="D99" s="94" t="s">
        <v>170</v>
      </c>
      <c r="E99" s="95"/>
      <c r="F99" s="32"/>
      <c r="G99" s="32"/>
      <c r="H99" s="33"/>
      <c r="J99">
        <f>RADIANS(E101)</f>
        <v>1.5707963267948966</v>
      </c>
      <c r="K99">
        <f>B101*COS(J99)</f>
        <v>0</v>
      </c>
      <c r="L99">
        <f>B101*SIN(J99)</f>
        <v>0</v>
      </c>
    </row>
    <row r="100" spans="1:12" ht="16.149999999999999" customHeight="1" x14ac:dyDescent="0.25">
      <c r="A100" s="6" t="s">
        <v>154</v>
      </c>
      <c r="B100" s="76">
        <f>B98*B96</f>
        <v>0</v>
      </c>
      <c r="C100" s="25" t="s">
        <v>5</v>
      </c>
      <c r="D100" s="26" t="s">
        <v>6</v>
      </c>
      <c r="E100" s="27">
        <v>0</v>
      </c>
      <c r="F100" s="8" t="s">
        <v>2</v>
      </c>
      <c r="G100" s="9"/>
      <c r="H100" s="10"/>
      <c r="K100" t="e">
        <f>SUM(K97:K99)</f>
        <v>#N/A</v>
      </c>
      <c r="L100" t="e">
        <f>SUM(L97:L99)</f>
        <v>#N/A</v>
      </c>
    </row>
    <row r="101" spans="1:12" ht="16.149999999999999" customHeight="1" x14ac:dyDescent="0.25">
      <c r="A101" s="6" t="s">
        <v>155</v>
      </c>
      <c r="B101" s="76">
        <f>B99*B96</f>
        <v>0</v>
      </c>
      <c r="C101" s="7" t="s">
        <v>5</v>
      </c>
      <c r="D101" s="6" t="s">
        <v>6</v>
      </c>
      <c r="E101" s="19">
        <v>90</v>
      </c>
      <c r="F101" s="8" t="s">
        <v>2</v>
      </c>
      <c r="G101" s="9"/>
      <c r="H101" s="10"/>
    </row>
    <row r="102" spans="1:12" ht="16.149999999999999" customHeight="1" x14ac:dyDescent="0.35">
      <c r="A102" s="58" t="s">
        <v>344</v>
      </c>
      <c r="B102" s="149" t="e">
        <f>SQRT(K100^2+L100^2)</f>
        <v>#N/A</v>
      </c>
      <c r="C102" s="11" t="s">
        <v>5</v>
      </c>
      <c r="D102" s="58" t="s">
        <v>6</v>
      </c>
      <c r="E102" s="146" t="e">
        <f>DEGREES(ATAN2(K100,L100))</f>
        <v>#N/A</v>
      </c>
      <c r="F102" s="147" t="s">
        <v>2</v>
      </c>
      <c r="G102" s="107"/>
      <c r="H102" s="108"/>
    </row>
    <row r="105" spans="1:12" x14ac:dyDescent="0.25">
      <c r="A105" s="84" t="s">
        <v>100</v>
      </c>
      <c r="B105" s="85" t="s">
        <v>229</v>
      </c>
      <c r="C105" s="85"/>
      <c r="D105" s="85"/>
      <c r="E105" s="85"/>
      <c r="F105" s="85"/>
      <c r="G105" s="85"/>
      <c r="H105" s="86"/>
    </row>
    <row r="106" spans="1:12" x14ac:dyDescent="0.25">
      <c r="A106" s="6" t="s">
        <v>204</v>
      </c>
      <c r="B106" s="89">
        <v>3</v>
      </c>
      <c r="C106" s="102"/>
      <c r="D106" s="103"/>
      <c r="E106" s="103"/>
      <c r="F106" s="103"/>
      <c r="G106" s="103"/>
      <c r="H106" s="104"/>
      <c r="I106" t="s">
        <v>456</v>
      </c>
    </row>
    <row r="107" spans="1:12" ht="18" x14ac:dyDescent="0.35">
      <c r="A107" s="6" t="s">
        <v>191</v>
      </c>
      <c r="B107" s="56"/>
      <c r="C107" s="8" t="s">
        <v>18</v>
      </c>
      <c r="D107" s="9"/>
      <c r="E107" s="9"/>
      <c r="F107" s="9"/>
      <c r="G107" s="9"/>
      <c r="H107" s="10"/>
    </row>
    <row r="108" spans="1:12" ht="18" x14ac:dyDescent="0.35">
      <c r="A108" s="6" t="s">
        <v>192</v>
      </c>
      <c r="B108" s="56"/>
      <c r="C108" s="8" t="s">
        <v>18</v>
      </c>
      <c r="D108" s="9"/>
      <c r="E108" s="9"/>
      <c r="F108" s="9"/>
      <c r="G108" s="9"/>
      <c r="H108" s="10"/>
    </row>
    <row r="111" spans="1:12" x14ac:dyDescent="0.25">
      <c r="A111" t="s">
        <v>468</v>
      </c>
    </row>
    <row r="114" spans="1:1" x14ac:dyDescent="0.25">
      <c r="A114" t="s">
        <v>469</v>
      </c>
    </row>
    <row r="115" spans="1:1" x14ac:dyDescent="0.25">
      <c r="A115" t="s">
        <v>470</v>
      </c>
    </row>
    <row r="116" spans="1:1" x14ac:dyDescent="0.25">
      <c r="A116" t="s">
        <v>471</v>
      </c>
    </row>
    <row r="117" spans="1:1" x14ac:dyDescent="0.25">
      <c r="A117" t="s">
        <v>472</v>
      </c>
    </row>
    <row r="118" spans="1:1" x14ac:dyDescent="0.25">
      <c r="A118" t="s">
        <v>473</v>
      </c>
    </row>
    <row r="119" spans="1:1" x14ac:dyDescent="0.25">
      <c r="A119" s="189" t="s">
        <v>474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7"/>
  <sheetViews>
    <sheetView workbookViewId="0">
      <selection activeCell="B5" sqref="B5"/>
    </sheetView>
  </sheetViews>
  <sheetFormatPr defaultRowHeight="15" x14ac:dyDescent="0.25"/>
  <cols>
    <col min="1" max="1" width="27.85546875" bestFit="1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  <col min="10" max="10" width="12.28515625" bestFit="1" customWidth="1"/>
  </cols>
  <sheetData>
    <row r="2" spans="1:10" x14ac:dyDescent="0.25">
      <c r="A2" t="s">
        <v>500</v>
      </c>
    </row>
    <row r="3" spans="1:10" ht="18" x14ac:dyDescent="0.35">
      <c r="A3" s="84" t="s">
        <v>176</v>
      </c>
      <c r="B3" s="85" t="s">
        <v>325</v>
      </c>
      <c r="C3" s="85"/>
      <c r="D3" s="85"/>
      <c r="E3" s="85"/>
      <c r="F3" s="85"/>
      <c r="G3" s="85"/>
      <c r="H3" s="86"/>
    </row>
    <row r="4" spans="1:10" x14ac:dyDescent="0.25">
      <c r="A4" s="6" t="s">
        <v>35</v>
      </c>
      <c r="B4" s="21">
        <f>'IM. Linje'!B86</f>
        <v>0</v>
      </c>
      <c r="C4" s="47"/>
      <c r="D4" s="47"/>
      <c r="E4" s="47"/>
      <c r="F4" s="47"/>
      <c r="G4" s="47"/>
      <c r="H4" s="48"/>
    </row>
    <row r="5" spans="1:10" ht="18" x14ac:dyDescent="0.35">
      <c r="A5" s="6" t="s">
        <v>108</v>
      </c>
      <c r="B5" s="17"/>
      <c r="C5" s="6" t="s">
        <v>18</v>
      </c>
      <c r="D5" s="21" t="s">
        <v>170</v>
      </c>
      <c r="E5" s="23"/>
      <c r="F5" s="8"/>
      <c r="G5" s="9"/>
      <c r="H5" s="10"/>
      <c r="I5" s="210"/>
      <c r="J5" s="212"/>
    </row>
    <row r="6" spans="1:10" ht="18" x14ac:dyDescent="0.35">
      <c r="A6" s="6" t="s">
        <v>121</v>
      </c>
      <c r="B6" s="17"/>
      <c r="C6" s="6"/>
      <c r="D6" s="21" t="s">
        <v>172</v>
      </c>
      <c r="E6" s="23" t="s">
        <v>171</v>
      </c>
      <c r="F6" s="8"/>
      <c r="G6" s="9"/>
      <c r="H6" s="10"/>
      <c r="I6" s="210"/>
      <c r="J6" s="212"/>
    </row>
    <row r="7" spans="1:10" ht="18" x14ac:dyDescent="0.35">
      <c r="A7" s="6" t="s">
        <v>167</v>
      </c>
      <c r="B7" s="17"/>
      <c r="C7" s="6"/>
      <c r="D7" s="21" t="s">
        <v>172</v>
      </c>
      <c r="E7" s="23" t="s">
        <v>173</v>
      </c>
      <c r="F7" s="8"/>
      <c r="G7" s="9"/>
      <c r="H7" s="10"/>
      <c r="I7" s="210"/>
      <c r="J7" s="212"/>
    </row>
    <row r="8" spans="1:10" ht="18" x14ac:dyDescent="0.35">
      <c r="A8" s="6" t="s">
        <v>168</v>
      </c>
      <c r="B8" s="17"/>
      <c r="C8" s="6"/>
      <c r="D8" s="21" t="s">
        <v>172</v>
      </c>
      <c r="E8" s="23" t="s">
        <v>174</v>
      </c>
      <c r="F8" s="8"/>
      <c r="G8" s="9"/>
      <c r="H8" s="10"/>
      <c r="I8" s="210"/>
      <c r="J8" s="212"/>
    </row>
    <row r="9" spans="1:10" ht="18" x14ac:dyDescent="0.35">
      <c r="A9" s="6" t="s">
        <v>122</v>
      </c>
      <c r="B9" s="17"/>
      <c r="C9" s="13"/>
      <c r="D9" s="21" t="s">
        <v>172</v>
      </c>
      <c r="E9" s="23" t="s">
        <v>175</v>
      </c>
      <c r="F9" s="8"/>
      <c r="G9" s="9"/>
      <c r="H9" s="10"/>
      <c r="I9" s="210"/>
      <c r="J9" s="212"/>
    </row>
    <row r="10" spans="1:10" ht="18" x14ac:dyDescent="0.35">
      <c r="A10" s="13" t="s">
        <v>169</v>
      </c>
      <c r="B10" s="97">
        <f>B5*(B6*B7*B8*B9)</f>
        <v>0</v>
      </c>
      <c r="C10" s="36" t="s">
        <v>18</v>
      </c>
      <c r="D10" s="37"/>
      <c r="E10" s="37"/>
      <c r="F10" s="37"/>
      <c r="G10" s="37"/>
      <c r="H10" s="38"/>
    </row>
    <row r="11" spans="1:10" x14ac:dyDescent="0.25">
      <c r="A11" s="90" t="s">
        <v>181</v>
      </c>
      <c r="B11" s="91"/>
      <c r="C11" s="91"/>
      <c r="D11" s="91"/>
      <c r="E11" s="91"/>
      <c r="F11" s="91"/>
      <c r="G11" s="91"/>
      <c r="H11" s="92"/>
    </row>
    <row r="12" spans="1:10" ht="18" x14ac:dyDescent="0.35">
      <c r="A12" s="26" t="s">
        <v>287</v>
      </c>
      <c r="B12" s="93"/>
      <c r="C12" s="31" t="s">
        <v>82</v>
      </c>
      <c r="D12" s="94" t="s">
        <v>170</v>
      </c>
      <c r="E12" s="95"/>
      <c r="F12" s="32"/>
      <c r="G12" s="32"/>
      <c r="H12" s="33"/>
      <c r="I12" s="210"/>
      <c r="J12" s="212"/>
    </row>
    <row r="13" spans="1:10" ht="18" x14ac:dyDescent="0.35">
      <c r="A13" s="6" t="s">
        <v>253</v>
      </c>
      <c r="B13" s="46"/>
      <c r="C13" s="31" t="s">
        <v>82</v>
      </c>
      <c r="D13" s="21" t="s">
        <v>170</v>
      </c>
      <c r="E13" s="23"/>
      <c r="F13" s="32"/>
      <c r="G13" s="32"/>
      <c r="H13" s="33"/>
      <c r="I13" s="210"/>
      <c r="J13" s="212"/>
    </row>
    <row r="16" spans="1:10" x14ac:dyDescent="0.25">
      <c r="A16" s="84" t="s">
        <v>100</v>
      </c>
      <c r="B16" s="85" t="s">
        <v>325</v>
      </c>
      <c r="C16" s="85"/>
      <c r="D16" s="85"/>
      <c r="E16" s="85"/>
      <c r="F16" s="85"/>
      <c r="G16" s="85"/>
      <c r="H16" s="86"/>
      <c r="I16" t="s">
        <v>457</v>
      </c>
    </row>
    <row r="17" spans="1:10" ht="18" x14ac:dyDescent="0.35">
      <c r="A17" s="6" t="s">
        <v>458</v>
      </c>
      <c r="B17" s="75">
        <f>B10</f>
        <v>0</v>
      </c>
      <c r="C17" s="37" t="s">
        <v>18</v>
      </c>
      <c r="D17" s="37"/>
      <c r="E17" s="37"/>
      <c r="F17" s="37"/>
      <c r="G17" s="37"/>
      <c r="H17" s="38"/>
      <c r="I17" s="210"/>
      <c r="J17" t="s">
        <v>520</v>
      </c>
    </row>
    <row r="18" spans="1:10" x14ac:dyDescent="0.25">
      <c r="A18" s="6" t="s">
        <v>455</v>
      </c>
      <c r="B18" s="185">
        <v>1.1000000000000001</v>
      </c>
      <c r="C18" s="8"/>
      <c r="D18" s="9"/>
      <c r="E18" s="9"/>
      <c r="F18" s="9"/>
      <c r="G18" s="9"/>
      <c r="H18" s="10"/>
    </row>
    <row r="19" spans="1:10" ht="18" x14ac:dyDescent="0.35">
      <c r="A19" s="6" t="s">
        <v>460</v>
      </c>
      <c r="B19" s="187">
        <f>B17*B18</f>
        <v>0</v>
      </c>
      <c r="C19" s="8"/>
      <c r="D19" s="9"/>
      <c r="E19" s="9"/>
      <c r="F19" s="9"/>
      <c r="G19" s="9"/>
      <c r="H19" s="10"/>
    </row>
    <row r="20" spans="1:10" x14ac:dyDescent="0.25">
      <c r="A20" s="6" t="s">
        <v>204</v>
      </c>
      <c r="B20" s="89">
        <v>3</v>
      </c>
      <c r="C20" s="102"/>
      <c r="D20" s="103"/>
      <c r="E20" s="103"/>
      <c r="F20" s="103"/>
      <c r="G20" s="103"/>
      <c r="H20" s="104"/>
    </row>
    <row r="21" spans="1:10" ht="18" x14ac:dyDescent="0.35">
      <c r="A21" s="6" t="s">
        <v>191</v>
      </c>
      <c r="B21" s="56"/>
      <c r="C21" s="8" t="s">
        <v>18</v>
      </c>
      <c r="D21" s="9"/>
      <c r="E21" s="9"/>
      <c r="F21" s="9"/>
      <c r="G21" s="9"/>
      <c r="H21" s="10"/>
      <c r="I21" s="210"/>
      <c r="J21" t="s">
        <v>519</v>
      </c>
    </row>
    <row r="22" spans="1:10" ht="18" x14ac:dyDescent="0.35">
      <c r="A22" s="6" t="s">
        <v>192</v>
      </c>
      <c r="B22" s="56">
        <v>5</v>
      </c>
      <c r="C22" s="8" t="s">
        <v>18</v>
      </c>
      <c r="D22" s="9"/>
      <c r="E22" s="9"/>
      <c r="F22" s="9"/>
      <c r="G22" s="9"/>
      <c r="H22" s="10"/>
    </row>
    <row r="23" spans="1:10" ht="18" x14ac:dyDescent="0.35">
      <c r="A23" s="6" t="s">
        <v>461</v>
      </c>
      <c r="B23" s="76" t="e">
        <f>B22/B21</f>
        <v>#DIV/0!</v>
      </c>
      <c r="C23" s="8"/>
      <c r="D23" s="9"/>
      <c r="E23" s="9"/>
      <c r="F23" s="9"/>
      <c r="G23" s="9"/>
      <c r="H23" s="10"/>
    </row>
    <row r="26" spans="1:10" x14ac:dyDescent="0.25">
      <c r="A26" s="84" t="s">
        <v>454</v>
      </c>
      <c r="B26" s="85" t="s">
        <v>325</v>
      </c>
      <c r="C26" s="85"/>
      <c r="D26" s="85"/>
      <c r="E26" s="85"/>
      <c r="F26" s="85"/>
      <c r="G26" s="85"/>
      <c r="H26" s="86"/>
    </row>
    <row r="27" spans="1:10" ht="18" x14ac:dyDescent="0.35">
      <c r="A27" s="6" t="s">
        <v>459</v>
      </c>
      <c r="B27" s="139">
        <f>B19</f>
        <v>0</v>
      </c>
      <c r="C27" s="8" t="s">
        <v>18</v>
      </c>
      <c r="D27" s="9"/>
      <c r="E27" s="9"/>
      <c r="F27" s="9"/>
      <c r="G27" s="9"/>
      <c r="H27" s="10"/>
    </row>
    <row r="28" spans="1:10" ht="18" x14ac:dyDescent="0.35">
      <c r="A28" s="6" t="s">
        <v>462</v>
      </c>
      <c r="B28" s="154" t="e">
        <f>B23</f>
        <v>#DIV/0!</v>
      </c>
      <c r="C28" s="8"/>
      <c r="D28" s="9"/>
      <c r="E28" s="9"/>
      <c r="F28" s="9"/>
      <c r="G28" s="9"/>
      <c r="H28" s="10"/>
    </row>
    <row r="29" spans="1:10" ht="18" x14ac:dyDescent="0.35">
      <c r="A29" s="6" t="s">
        <v>463</v>
      </c>
      <c r="B29" s="29">
        <f>B21</f>
        <v>0</v>
      </c>
      <c r="C29" s="8" t="s">
        <v>18</v>
      </c>
      <c r="D29" s="9"/>
      <c r="E29" s="9"/>
      <c r="F29" s="9"/>
      <c r="G29" s="9"/>
      <c r="H29" s="10"/>
    </row>
    <row r="30" spans="1:10" ht="18" x14ac:dyDescent="0.35">
      <c r="A30" s="6" t="s">
        <v>464</v>
      </c>
      <c r="B30" s="62" t="e">
        <f>B27/(B28*B29)</f>
        <v>#DIV/0!</v>
      </c>
      <c r="C30" s="8"/>
      <c r="D30" s="9"/>
      <c r="E30" s="9"/>
      <c r="F30" s="9"/>
      <c r="G30" s="9"/>
      <c r="H30" s="10"/>
    </row>
    <row r="33" spans="1:8" x14ac:dyDescent="0.25">
      <c r="A33" s="84" t="s">
        <v>465</v>
      </c>
      <c r="B33" s="85" t="s">
        <v>325</v>
      </c>
      <c r="C33" s="85"/>
      <c r="D33" s="85"/>
      <c r="E33" s="85"/>
      <c r="F33" s="85"/>
      <c r="G33" s="85"/>
      <c r="H33" s="86"/>
    </row>
    <row r="34" spans="1:8" ht="18" x14ac:dyDescent="0.35">
      <c r="A34" s="26" t="s">
        <v>303</v>
      </c>
      <c r="B34" s="30">
        <v>10</v>
      </c>
      <c r="C34" s="49" t="s">
        <v>8</v>
      </c>
      <c r="D34" s="53"/>
      <c r="E34" s="53"/>
      <c r="F34" s="53"/>
      <c r="G34" s="53"/>
      <c r="H34" s="50"/>
    </row>
    <row r="35" spans="1:8" ht="18" x14ac:dyDescent="0.35">
      <c r="A35" s="6" t="s">
        <v>302</v>
      </c>
      <c r="B35" s="186">
        <f>'IM. Linje'!B29</f>
        <v>0</v>
      </c>
      <c r="C35" s="8" t="s">
        <v>9</v>
      </c>
      <c r="D35" s="9"/>
      <c r="E35" s="9"/>
      <c r="F35" s="9"/>
      <c r="G35" s="118"/>
      <c r="H35" s="117"/>
    </row>
    <row r="36" spans="1:8" ht="18" x14ac:dyDescent="0.35">
      <c r="A36" s="6" t="s">
        <v>312</v>
      </c>
      <c r="B36" s="3">
        <f>(B35*10^6)/(SQRT(3)*(B34*10^3))*10^-3</f>
        <v>0</v>
      </c>
      <c r="C36" s="31" t="s">
        <v>82</v>
      </c>
      <c r="D36" s="32"/>
      <c r="E36" s="32"/>
      <c r="F36" s="32"/>
      <c r="G36" s="32"/>
      <c r="H36" s="33"/>
    </row>
    <row r="37" spans="1:8" ht="18" x14ac:dyDescent="0.35">
      <c r="A37" s="6" t="s">
        <v>466</v>
      </c>
      <c r="B37" s="3">
        <f>(B35*10^6)/(2*(B34*10^3))*10^-3</f>
        <v>0</v>
      </c>
      <c r="C37" s="32" t="s">
        <v>82</v>
      </c>
      <c r="D37" s="32"/>
      <c r="E37" s="32"/>
      <c r="F37" s="32"/>
      <c r="G37" s="32"/>
      <c r="H37" s="33"/>
    </row>
    <row r="38" spans="1:8" x14ac:dyDescent="0.25">
      <c r="A38" s="6" t="s">
        <v>35</v>
      </c>
      <c r="B38" s="21">
        <f>B4</f>
        <v>0</v>
      </c>
      <c r="C38" s="22"/>
      <c r="D38" s="22"/>
      <c r="E38" s="22"/>
      <c r="F38" s="22"/>
      <c r="G38" s="22"/>
      <c r="H38" s="23"/>
    </row>
    <row r="39" spans="1:8" ht="18" x14ac:dyDescent="0.35">
      <c r="A39" s="26" t="s">
        <v>287</v>
      </c>
      <c r="B39" s="93">
        <f>B12</f>
        <v>0</v>
      </c>
      <c r="C39" s="31" t="s">
        <v>82</v>
      </c>
      <c r="D39" s="94" t="s">
        <v>170</v>
      </c>
      <c r="E39" s="95"/>
      <c r="F39" s="32"/>
      <c r="G39" s="32"/>
      <c r="H39" s="33"/>
    </row>
    <row r="40" spans="1:8" ht="18.75" x14ac:dyDescent="0.35">
      <c r="A40" s="6" t="s">
        <v>182</v>
      </c>
      <c r="B40" s="2" t="e">
        <f>(B39/B36)^2</f>
        <v>#DIV/0!</v>
      </c>
      <c r="C40" s="8" t="s">
        <v>37</v>
      </c>
      <c r="D40" s="9"/>
      <c r="E40" s="9"/>
      <c r="F40" s="9"/>
      <c r="G40" s="9"/>
      <c r="H40" s="10"/>
    </row>
    <row r="41" spans="1:8" ht="18" x14ac:dyDescent="0.35">
      <c r="A41" s="6" t="s">
        <v>253</v>
      </c>
      <c r="B41" s="93">
        <f>B13</f>
        <v>0</v>
      </c>
      <c r="C41" s="31" t="s">
        <v>82</v>
      </c>
      <c r="D41" s="94" t="s">
        <v>170</v>
      </c>
      <c r="E41" s="95"/>
      <c r="F41" s="32"/>
      <c r="G41" s="32"/>
      <c r="H41" s="33"/>
    </row>
    <row r="42" spans="1:8" ht="18.75" x14ac:dyDescent="0.35">
      <c r="A42" s="6" t="s">
        <v>467</v>
      </c>
      <c r="B42" s="62" t="e">
        <f>(B41/B37)^2</f>
        <v>#DIV/0!</v>
      </c>
      <c r="C42" s="8" t="s">
        <v>37</v>
      </c>
      <c r="D42" s="9"/>
      <c r="E42" s="9"/>
      <c r="F42" s="9"/>
      <c r="G42" s="9"/>
      <c r="H42" s="10"/>
    </row>
    <row r="45" spans="1:8" x14ac:dyDescent="0.25">
      <c r="A45" s="84" t="s">
        <v>326</v>
      </c>
      <c r="B45" s="85" t="s">
        <v>325</v>
      </c>
      <c r="C45" s="85"/>
      <c r="D45" s="85"/>
      <c r="E45" s="85"/>
      <c r="F45" s="85"/>
      <c r="G45" s="85"/>
      <c r="H45" s="86"/>
    </row>
    <row r="46" spans="1:8" ht="18" x14ac:dyDescent="0.35">
      <c r="A46" s="6" t="s">
        <v>193</v>
      </c>
      <c r="B46" s="4" t="e">
        <f>B30</f>
        <v>#DIV/0!</v>
      </c>
      <c r="C46" s="8" t="s">
        <v>18</v>
      </c>
      <c r="D46" s="9"/>
      <c r="E46" s="9"/>
      <c r="F46" s="9"/>
      <c r="G46" s="9"/>
      <c r="H46" s="10"/>
    </row>
    <row r="47" spans="1:8" ht="18" x14ac:dyDescent="0.35">
      <c r="A47" s="6" t="s">
        <v>200</v>
      </c>
      <c r="B47" s="96">
        <f>B10</f>
        <v>0</v>
      </c>
      <c r="C47" s="8" t="s">
        <v>18</v>
      </c>
      <c r="D47" s="9"/>
      <c r="E47" s="9"/>
      <c r="F47" s="9"/>
      <c r="G47" s="9"/>
      <c r="H47" s="10"/>
    </row>
    <row r="48" spans="1:8" ht="18" x14ac:dyDescent="0.35">
      <c r="A48" s="6" t="s">
        <v>201</v>
      </c>
      <c r="B48" s="60" t="s">
        <v>202</v>
      </c>
      <c r="C48" s="66"/>
      <c r="D48" s="66"/>
      <c r="E48" s="61" t="e">
        <f>IF(B46&lt;B47,"OK","Ikke OK")</f>
        <v>#DIV/0!</v>
      </c>
      <c r="F48" s="109"/>
      <c r="G48" s="110"/>
      <c r="H48" s="111"/>
    </row>
    <row r="51" spans="1:10" hidden="1" x14ac:dyDescent="0.25">
      <c r="A51" s="84" t="s">
        <v>454</v>
      </c>
      <c r="B51" s="85" t="s">
        <v>325</v>
      </c>
      <c r="C51" s="85"/>
      <c r="D51" s="85"/>
      <c r="E51" s="85"/>
      <c r="F51" s="85"/>
      <c r="G51" s="85"/>
      <c r="H51" s="86"/>
    </row>
    <row r="52" spans="1:10" ht="18" hidden="1" x14ac:dyDescent="0.35">
      <c r="A52" s="6" t="s">
        <v>200</v>
      </c>
      <c r="B52" s="75" t="e">
        <f>#REF!</f>
        <v>#REF!</v>
      </c>
      <c r="C52" s="8" t="s">
        <v>18</v>
      </c>
      <c r="D52" s="9"/>
      <c r="E52" s="9"/>
      <c r="F52" s="9"/>
      <c r="G52" s="9"/>
      <c r="H52" s="10"/>
    </row>
    <row r="53" spans="1:10" ht="18" hidden="1" x14ac:dyDescent="0.35">
      <c r="A53" s="6" t="s">
        <v>180</v>
      </c>
      <c r="B53" s="96" t="e">
        <f>B52</f>
        <v>#REF!</v>
      </c>
      <c r="C53" s="8" t="s">
        <v>18</v>
      </c>
      <c r="D53" s="9"/>
      <c r="E53" s="9"/>
      <c r="F53" s="9"/>
      <c r="G53" s="9"/>
      <c r="H53" s="10"/>
    </row>
    <row r="54" spans="1:10" hidden="1" x14ac:dyDescent="0.25"/>
    <row r="55" spans="1:10" hidden="1" x14ac:dyDescent="0.25">
      <c r="A55" t="s">
        <v>183</v>
      </c>
    </row>
    <row r="56" spans="1:10" hidden="1" x14ac:dyDescent="0.25">
      <c r="A56" s="84" t="s">
        <v>327</v>
      </c>
      <c r="B56" s="85" t="s">
        <v>325</v>
      </c>
      <c r="C56" s="85"/>
      <c r="D56" s="85"/>
      <c r="E56" s="85"/>
      <c r="F56" s="85"/>
      <c r="G56" s="85"/>
      <c r="H56" s="86"/>
    </row>
    <row r="57" spans="1:10" ht="18" hidden="1" x14ac:dyDescent="0.35">
      <c r="A57" s="6" t="s">
        <v>308</v>
      </c>
      <c r="B57" s="67"/>
      <c r="C57" s="8" t="s">
        <v>18</v>
      </c>
      <c r="D57" s="9"/>
      <c r="E57" s="9"/>
      <c r="F57" s="9"/>
      <c r="G57" s="9"/>
      <c r="H57" s="10"/>
      <c r="J57" t="s">
        <v>147</v>
      </c>
    </row>
    <row r="58" spans="1:10" ht="18" hidden="1" x14ac:dyDescent="0.35">
      <c r="A58" s="6" t="s">
        <v>309</v>
      </c>
      <c r="B58" s="1"/>
      <c r="C58" s="8" t="s">
        <v>37</v>
      </c>
      <c r="D58" s="9"/>
      <c r="E58" s="9"/>
      <c r="F58" s="9"/>
      <c r="G58" s="9"/>
      <c r="H58" s="10"/>
      <c r="J58" t="s">
        <v>148</v>
      </c>
    </row>
    <row r="59" spans="1:10" ht="18" hidden="1" x14ac:dyDescent="0.35">
      <c r="A59" s="6" t="s">
        <v>180</v>
      </c>
      <c r="B59" s="96">
        <f>B10</f>
        <v>0</v>
      </c>
      <c r="C59" s="8" t="s">
        <v>18</v>
      </c>
      <c r="D59" s="9"/>
      <c r="E59" s="9"/>
      <c r="F59" s="9"/>
      <c r="G59" s="9"/>
      <c r="H59" s="10"/>
    </row>
    <row r="60" spans="1:10" ht="18" hidden="1" x14ac:dyDescent="0.35">
      <c r="A60" s="6" t="s">
        <v>310</v>
      </c>
      <c r="B60" s="56">
        <f>B58*0.5</f>
        <v>0</v>
      </c>
      <c r="C60" s="8" t="s">
        <v>37</v>
      </c>
      <c r="D60" s="9"/>
      <c r="E60" s="9"/>
      <c r="F60" s="9"/>
      <c r="G60" s="9"/>
      <c r="H60" s="10"/>
    </row>
    <row r="61" spans="1:10" ht="18" hidden="1" x14ac:dyDescent="0.35">
      <c r="A61" s="6" t="s">
        <v>311</v>
      </c>
      <c r="B61" s="56">
        <f>B58-0.2</f>
        <v>-0.2</v>
      </c>
      <c r="C61" s="8" t="s">
        <v>37</v>
      </c>
      <c r="D61" s="9"/>
      <c r="E61" s="9"/>
      <c r="F61" s="9"/>
      <c r="G61" s="9"/>
      <c r="H61" s="10"/>
    </row>
    <row r="62" spans="1:10" hidden="1" x14ac:dyDescent="0.25"/>
    <row r="63" spans="1:10" hidden="1" x14ac:dyDescent="0.25"/>
    <row r="64" spans="1:10" hidden="1" x14ac:dyDescent="0.25">
      <c r="A64" s="84" t="s">
        <v>208</v>
      </c>
      <c r="B64" s="85" t="s">
        <v>325</v>
      </c>
      <c r="C64" s="85"/>
      <c r="D64" s="85"/>
      <c r="E64" s="85"/>
      <c r="F64" s="85"/>
      <c r="G64" s="85"/>
      <c r="H64" s="86"/>
    </row>
    <row r="65" spans="1:10" ht="18" hidden="1" x14ac:dyDescent="0.35">
      <c r="A65" s="26" t="s">
        <v>303</v>
      </c>
      <c r="B65" s="30">
        <v>10</v>
      </c>
      <c r="C65" s="49" t="s">
        <v>8</v>
      </c>
      <c r="D65" s="53"/>
      <c r="E65" s="53"/>
      <c r="F65" s="53"/>
      <c r="G65" s="53"/>
      <c r="H65" s="50"/>
    </row>
    <row r="66" spans="1:10" ht="18" hidden="1" x14ac:dyDescent="0.35">
      <c r="A66" s="6" t="s">
        <v>302</v>
      </c>
      <c r="B66" s="122">
        <f>'IM. Linje'!B6</f>
        <v>0</v>
      </c>
      <c r="C66" s="8" t="s">
        <v>9</v>
      </c>
      <c r="D66" s="9"/>
      <c r="E66" s="9"/>
      <c r="F66" s="9"/>
      <c r="G66" s="118"/>
      <c r="H66" s="117"/>
    </row>
    <row r="67" spans="1:10" ht="18" hidden="1" x14ac:dyDescent="0.35">
      <c r="A67" s="6" t="s">
        <v>312</v>
      </c>
      <c r="B67" s="3">
        <f>(B66*10^6)/(SQRT(3)*(B65*10^3))*10^-3</f>
        <v>0</v>
      </c>
      <c r="C67" s="31" t="s">
        <v>82</v>
      </c>
      <c r="D67" s="32"/>
      <c r="E67" s="32"/>
      <c r="F67" s="32"/>
      <c r="G67" s="32"/>
      <c r="H67" s="33"/>
    </row>
    <row r="68" spans="1:10" hidden="1" x14ac:dyDescent="0.25">
      <c r="A68" s="6" t="s">
        <v>35</v>
      </c>
      <c r="B68" s="21">
        <f>B4</f>
        <v>0</v>
      </c>
      <c r="C68" s="22"/>
      <c r="D68" s="22"/>
      <c r="E68" s="22"/>
      <c r="F68" s="22"/>
      <c r="G68" s="22"/>
      <c r="H68" s="23"/>
    </row>
    <row r="69" spans="1:10" ht="18" hidden="1" x14ac:dyDescent="0.35">
      <c r="A69" s="6" t="s">
        <v>253</v>
      </c>
      <c r="B69" s="93">
        <f>B13</f>
        <v>0</v>
      </c>
      <c r="C69" s="31" t="s">
        <v>82</v>
      </c>
      <c r="D69" s="94" t="s">
        <v>170</v>
      </c>
      <c r="E69" s="95"/>
      <c r="F69" s="32"/>
      <c r="G69" s="32"/>
      <c r="H69" s="33"/>
    </row>
    <row r="70" spans="1:10" ht="18.75" hidden="1" x14ac:dyDescent="0.35">
      <c r="A70" s="6" t="s">
        <v>182</v>
      </c>
      <c r="B70" s="2" t="e">
        <f>(B69/B67)^2</f>
        <v>#DIV/0!</v>
      </c>
      <c r="C70" s="8" t="s">
        <v>37</v>
      </c>
      <c r="D70" s="9"/>
      <c r="E70" s="9"/>
      <c r="F70" s="9"/>
      <c r="G70" s="9"/>
      <c r="H70" s="10"/>
    </row>
    <row r="72" spans="1:10" x14ac:dyDescent="0.25">
      <c r="A72" t="s">
        <v>184</v>
      </c>
    </row>
    <row r="73" spans="1:10" x14ac:dyDescent="0.25">
      <c r="A73" s="84" t="s">
        <v>328</v>
      </c>
      <c r="B73" s="85" t="s">
        <v>325</v>
      </c>
      <c r="C73" s="85"/>
      <c r="D73" s="85"/>
      <c r="E73" s="85"/>
      <c r="F73" s="85"/>
      <c r="G73" s="85"/>
      <c r="H73" s="86"/>
      <c r="J73" t="s">
        <v>149</v>
      </c>
    </row>
    <row r="74" spans="1:10" ht="18" x14ac:dyDescent="0.35">
      <c r="A74" s="26" t="s">
        <v>412</v>
      </c>
      <c r="B74" s="182">
        <v>10</v>
      </c>
      <c r="C74" s="9" t="s">
        <v>8</v>
      </c>
      <c r="D74" s="9"/>
      <c r="E74" s="9"/>
      <c r="F74" s="9"/>
      <c r="G74" s="9"/>
      <c r="H74" s="10"/>
    </row>
    <row r="75" spans="1:10" ht="18" x14ac:dyDescent="0.35">
      <c r="A75" s="6" t="s">
        <v>313</v>
      </c>
      <c r="B75" s="28" t="e">
        <f>'IM. Linje'!B95</f>
        <v>#N/A</v>
      </c>
      <c r="C75" s="9" t="s">
        <v>5</v>
      </c>
      <c r="D75" s="9"/>
      <c r="E75" s="9"/>
      <c r="F75" s="9"/>
      <c r="G75" s="9"/>
      <c r="H75" s="10"/>
    </row>
    <row r="76" spans="1:10" ht="18" x14ac:dyDescent="0.35">
      <c r="A76" s="6" t="s">
        <v>438</v>
      </c>
      <c r="B76" s="2" t="e">
        <f>B74/(B75*SQRT(3))</f>
        <v>#N/A</v>
      </c>
      <c r="C76" s="9" t="s">
        <v>82</v>
      </c>
      <c r="D76" s="9"/>
      <c r="E76" s="9"/>
      <c r="F76" s="9"/>
      <c r="G76" s="9"/>
      <c r="H76" s="10"/>
    </row>
    <row r="77" spans="1:10" ht="18" x14ac:dyDescent="0.35">
      <c r="A77" s="6" t="s">
        <v>439</v>
      </c>
      <c r="B77" s="2" t="e">
        <f>(SQRT(3)/2)*B76</f>
        <v>#N/A</v>
      </c>
      <c r="C77" s="9" t="s">
        <v>82</v>
      </c>
      <c r="D77" s="9"/>
      <c r="E77" s="9"/>
      <c r="F77" s="9"/>
      <c r="G77" s="9"/>
      <c r="H77" s="10"/>
    </row>
    <row r="78" spans="1:10" ht="18" x14ac:dyDescent="0.35">
      <c r="A78" s="6" t="s">
        <v>440</v>
      </c>
      <c r="B78" s="62" t="e">
        <f>B77*0.75</f>
        <v>#N/A</v>
      </c>
      <c r="C78" s="9" t="s">
        <v>82</v>
      </c>
      <c r="D78" s="9"/>
      <c r="E78" s="9"/>
      <c r="F78" s="9"/>
      <c r="G78" s="9"/>
      <c r="H78" s="10"/>
    </row>
    <row r="81" spans="1:10" x14ac:dyDescent="0.25">
      <c r="A81" s="84" t="s">
        <v>208</v>
      </c>
      <c r="B81" s="85" t="s">
        <v>325</v>
      </c>
      <c r="C81" s="85"/>
      <c r="D81" s="85"/>
      <c r="E81" s="85"/>
      <c r="F81" s="85"/>
      <c r="G81" s="85"/>
      <c r="H81" s="86"/>
    </row>
    <row r="82" spans="1:10" ht="18" x14ac:dyDescent="0.35">
      <c r="A82" s="6" t="s">
        <v>36</v>
      </c>
      <c r="B82" s="182">
        <v>0.04</v>
      </c>
      <c r="C82" s="8" t="s">
        <v>37</v>
      </c>
      <c r="D82" s="9"/>
      <c r="E82" s="9"/>
      <c r="F82" s="9"/>
      <c r="G82" s="9"/>
      <c r="H82" s="10"/>
      <c r="I82" s="213"/>
      <c r="J82" s="212" t="s">
        <v>150</v>
      </c>
    </row>
    <row r="83" spans="1:10" ht="18" x14ac:dyDescent="0.35">
      <c r="A83" s="26" t="s">
        <v>303</v>
      </c>
      <c r="B83" s="30">
        <v>10</v>
      </c>
      <c r="C83" s="49" t="s">
        <v>8</v>
      </c>
      <c r="D83" s="53"/>
      <c r="E83" s="53"/>
      <c r="F83" s="53"/>
      <c r="G83" s="53"/>
      <c r="H83" s="50"/>
    </row>
    <row r="84" spans="1:10" ht="18" x14ac:dyDescent="0.35">
      <c r="A84" s="6" t="s">
        <v>302</v>
      </c>
      <c r="B84" s="188">
        <f>'IM. Linje'!B29</f>
        <v>0</v>
      </c>
      <c r="C84" s="8" t="s">
        <v>9</v>
      </c>
      <c r="D84" s="9"/>
      <c r="E84" s="9"/>
      <c r="F84" s="9"/>
      <c r="G84" s="118"/>
      <c r="H84" s="117"/>
    </row>
    <row r="85" spans="1:10" ht="18" x14ac:dyDescent="0.35">
      <c r="A85" s="6" t="s">
        <v>312</v>
      </c>
      <c r="B85" s="3">
        <f>(B84*10^6)/(SQRT(3)*(B83*10^3))*10^-3</f>
        <v>0</v>
      </c>
      <c r="C85" s="31" t="s">
        <v>82</v>
      </c>
      <c r="D85" s="32"/>
      <c r="E85" s="32"/>
      <c r="F85" s="32"/>
      <c r="G85" s="32"/>
      <c r="H85" s="33"/>
    </row>
    <row r="86" spans="1:10" ht="18" x14ac:dyDescent="0.35">
      <c r="A86" s="6" t="s">
        <v>466</v>
      </c>
      <c r="B86" s="3">
        <f>(B84*10^6)/(2*(B83*10^3))*10^-3</f>
        <v>0</v>
      </c>
      <c r="C86" s="32"/>
      <c r="D86" s="32"/>
      <c r="E86" s="32"/>
      <c r="F86" s="32"/>
      <c r="G86" s="32"/>
      <c r="H86" s="33"/>
    </row>
    <row r="87" spans="1:10" x14ac:dyDescent="0.25">
      <c r="A87" s="6" t="s">
        <v>35</v>
      </c>
      <c r="B87" s="21">
        <f>B4</f>
        <v>0</v>
      </c>
      <c r="C87" s="22"/>
      <c r="D87" s="22"/>
      <c r="E87" s="22"/>
      <c r="F87" s="22"/>
      <c r="G87" s="22"/>
      <c r="H87" s="23"/>
    </row>
    <row r="88" spans="1:10" ht="18" x14ac:dyDescent="0.35">
      <c r="A88" s="26" t="s">
        <v>287</v>
      </c>
      <c r="B88" s="93">
        <f>B12</f>
        <v>0</v>
      </c>
      <c r="C88" s="31" t="s">
        <v>82</v>
      </c>
      <c r="D88" s="94" t="s">
        <v>170</v>
      </c>
      <c r="E88" s="95"/>
      <c r="F88" s="32"/>
      <c r="G88" s="32"/>
      <c r="H88" s="33"/>
    </row>
    <row r="89" spans="1:10" ht="18" x14ac:dyDescent="0.35">
      <c r="A89" s="6" t="s">
        <v>253</v>
      </c>
      <c r="B89" s="46">
        <f>B13</f>
        <v>0</v>
      </c>
      <c r="C89" s="31" t="s">
        <v>82</v>
      </c>
      <c r="D89" s="21" t="s">
        <v>170</v>
      </c>
      <c r="E89" s="23"/>
      <c r="F89" s="32"/>
      <c r="G89" s="32"/>
      <c r="H89" s="33"/>
    </row>
    <row r="90" spans="1:10" ht="18.75" x14ac:dyDescent="0.35">
      <c r="A90" s="6" t="s">
        <v>314</v>
      </c>
      <c r="B90" s="2" t="e">
        <f>((B12/B85^2)-B82)</f>
        <v>#DIV/0!</v>
      </c>
      <c r="C90" s="8" t="s">
        <v>37</v>
      </c>
      <c r="D90" s="9"/>
      <c r="E90" s="9"/>
      <c r="F90" s="9"/>
      <c r="G90" s="9"/>
      <c r="H90" s="10"/>
    </row>
    <row r="91" spans="1:10" ht="18.75" x14ac:dyDescent="0.35">
      <c r="A91" s="6" t="s">
        <v>315</v>
      </c>
      <c r="B91" s="2" t="e">
        <f>((B13/B86^2)-B82)</f>
        <v>#DIV/0!</v>
      </c>
      <c r="C91" s="8" t="s">
        <v>37</v>
      </c>
      <c r="D91" s="9"/>
      <c r="E91" s="9"/>
      <c r="F91" s="9"/>
      <c r="G91" s="9"/>
      <c r="H91" s="10"/>
    </row>
    <row r="92" spans="1:10" ht="18" x14ac:dyDescent="0.35">
      <c r="A92" s="6" t="s">
        <v>102</v>
      </c>
      <c r="B92" s="62" t="e">
        <f>B91</f>
        <v>#DIV/0!</v>
      </c>
      <c r="C92" s="8" t="s">
        <v>37</v>
      </c>
      <c r="D92" s="9"/>
      <c r="E92" s="9"/>
      <c r="F92" s="9"/>
      <c r="G92" s="9"/>
      <c r="H92" s="10"/>
    </row>
    <row r="93" spans="1:10" x14ac:dyDescent="0.25">
      <c r="B93" s="81"/>
    </row>
    <row r="95" spans="1:10" x14ac:dyDescent="0.25">
      <c r="A95" s="84" t="s">
        <v>151</v>
      </c>
      <c r="B95" s="85" t="s">
        <v>325</v>
      </c>
      <c r="C95" s="85"/>
      <c r="D95" s="85"/>
      <c r="E95" s="85"/>
      <c r="F95" s="85"/>
      <c r="G95" s="85"/>
      <c r="H95" s="86"/>
    </row>
    <row r="96" spans="1:10" ht="18" x14ac:dyDescent="0.35">
      <c r="A96" s="6" t="s">
        <v>193</v>
      </c>
      <c r="B96" s="62">
        <f>B59</f>
        <v>0</v>
      </c>
      <c r="C96" s="8" t="s">
        <v>18</v>
      </c>
      <c r="D96" s="9"/>
      <c r="E96" s="9"/>
      <c r="F96" s="9"/>
      <c r="G96" s="9"/>
      <c r="H96" s="10"/>
      <c r="I96" s="210"/>
      <c r="J96" s="212"/>
    </row>
    <row r="97" spans="1:10" ht="18" x14ac:dyDescent="0.35">
      <c r="A97" s="6" t="s">
        <v>38</v>
      </c>
      <c r="B97" s="62" t="e">
        <f>B42</f>
        <v>#DIV/0!</v>
      </c>
      <c r="C97" s="8" t="s">
        <v>37</v>
      </c>
      <c r="D97" s="9"/>
      <c r="E97" s="9"/>
      <c r="F97" s="9"/>
      <c r="G97" s="9"/>
      <c r="H97" s="10"/>
      <c r="I97" s="210"/>
      <c r="J97" s="212"/>
    </row>
    <row r="98" spans="1:10" ht="18" x14ac:dyDescent="0.35">
      <c r="A98" s="6" t="s">
        <v>194</v>
      </c>
      <c r="B98" s="62" t="e">
        <f>B78*10^3</f>
        <v>#N/A</v>
      </c>
      <c r="C98" s="8" t="s">
        <v>18</v>
      </c>
      <c r="D98" s="9"/>
      <c r="E98" s="9"/>
      <c r="F98" s="9"/>
      <c r="G98" s="9"/>
      <c r="H98" s="10"/>
      <c r="I98" s="210"/>
      <c r="J98" s="212"/>
    </row>
    <row r="99" spans="1:10" ht="18" x14ac:dyDescent="0.35">
      <c r="A99" s="6" t="s">
        <v>195</v>
      </c>
      <c r="B99" s="62" t="e">
        <f>B92</f>
        <v>#DIV/0!</v>
      </c>
      <c r="C99" s="8" t="s">
        <v>37</v>
      </c>
      <c r="D99" s="9"/>
      <c r="E99" s="9"/>
      <c r="F99" s="9"/>
      <c r="G99" s="9"/>
      <c r="H99" s="10"/>
      <c r="I99" s="210"/>
      <c r="J99" s="212"/>
    </row>
    <row r="100" spans="1:10" ht="18" x14ac:dyDescent="0.35">
      <c r="A100" s="6" t="s">
        <v>36</v>
      </c>
      <c r="B100" s="148">
        <f>B82</f>
        <v>0.04</v>
      </c>
      <c r="C100" s="31" t="s">
        <v>37</v>
      </c>
      <c r="D100" s="32"/>
      <c r="E100" s="32"/>
      <c r="F100" s="32"/>
      <c r="G100" s="32"/>
      <c r="H100" s="33"/>
      <c r="I100" s="210" t="s">
        <v>337</v>
      </c>
      <c r="J100" s="212"/>
    </row>
    <row r="101" spans="1:10" x14ac:dyDescent="0.25">
      <c r="B101" s="81"/>
    </row>
    <row r="102" spans="1:10" x14ac:dyDescent="0.25">
      <c r="A102" s="53" t="s">
        <v>501</v>
      </c>
      <c r="B102" s="81"/>
    </row>
    <row r="103" spans="1:10" x14ac:dyDescent="0.25">
      <c r="A103" s="84" t="s">
        <v>269</v>
      </c>
      <c r="B103" s="85" t="s">
        <v>325</v>
      </c>
      <c r="C103" s="85"/>
      <c r="D103" s="85"/>
      <c r="E103" s="85"/>
      <c r="F103" s="85"/>
      <c r="G103" s="85"/>
      <c r="H103" s="86"/>
    </row>
    <row r="104" spans="1:10" ht="18" x14ac:dyDescent="0.35">
      <c r="A104" s="6" t="s">
        <v>20</v>
      </c>
      <c r="B104" s="67">
        <v>10</v>
      </c>
      <c r="C104" s="8" t="s">
        <v>8</v>
      </c>
      <c r="D104" s="9"/>
      <c r="E104" s="9"/>
      <c r="F104" s="9"/>
      <c r="G104" s="9"/>
      <c r="H104" s="10"/>
    </row>
    <row r="105" spans="1:10" ht="18" x14ac:dyDescent="0.35">
      <c r="A105" s="6" t="s">
        <v>21</v>
      </c>
      <c r="B105" s="67">
        <v>0.4</v>
      </c>
      <c r="C105" s="8" t="s">
        <v>8</v>
      </c>
      <c r="D105" s="9"/>
      <c r="E105" s="9"/>
      <c r="F105" s="9"/>
      <c r="G105" s="9"/>
      <c r="H105" s="10"/>
    </row>
    <row r="106" spans="1:10" ht="18" x14ac:dyDescent="0.35">
      <c r="A106" s="58" t="s">
        <v>450</v>
      </c>
      <c r="B106" s="183">
        <f>B35</f>
        <v>0</v>
      </c>
      <c r="C106" s="106" t="s">
        <v>9</v>
      </c>
      <c r="D106" s="107"/>
      <c r="E106" s="107"/>
      <c r="F106" s="107"/>
      <c r="G106" s="107"/>
      <c r="H106" s="108"/>
    </row>
    <row r="107" spans="1:10" ht="18" x14ac:dyDescent="0.35">
      <c r="A107" s="26" t="s">
        <v>479</v>
      </c>
      <c r="B107" s="184">
        <f>(B106*10^6)/(SQRT(3)*(B104*10^3))*10^-3</f>
        <v>0</v>
      </c>
      <c r="C107" s="131" t="s">
        <v>82</v>
      </c>
      <c r="D107" s="123"/>
      <c r="E107" s="123"/>
      <c r="F107" s="123"/>
      <c r="G107" s="123"/>
      <c r="H107" s="124"/>
    </row>
    <row r="108" spans="1:10" ht="18" x14ac:dyDescent="0.35">
      <c r="A108" s="26" t="s">
        <v>480</v>
      </c>
      <c r="B108" s="2">
        <f>(B106*10^6)/(2*(B104*10^3))*10^-3</f>
        <v>0</v>
      </c>
      <c r="C108" s="8" t="s">
        <v>82</v>
      </c>
      <c r="D108" s="9"/>
      <c r="E108" s="9"/>
      <c r="F108" s="9"/>
      <c r="G108" s="9"/>
      <c r="H108" s="10"/>
    </row>
    <row r="109" spans="1:10" ht="18" x14ac:dyDescent="0.35">
      <c r="A109" s="6" t="s">
        <v>36</v>
      </c>
      <c r="B109" s="101">
        <f>B100</f>
        <v>0.04</v>
      </c>
      <c r="C109" s="31" t="s">
        <v>37</v>
      </c>
      <c r="D109" s="32"/>
      <c r="E109" s="32"/>
      <c r="F109" s="32"/>
      <c r="G109" s="32"/>
      <c r="H109" s="33"/>
    </row>
    <row r="110" spans="1:10" x14ac:dyDescent="0.25">
      <c r="A110" s="6" t="s">
        <v>34</v>
      </c>
      <c r="B110" s="4" t="e">
        <f>B97</f>
        <v>#DIV/0!</v>
      </c>
      <c r="C110" s="8" t="s">
        <v>37</v>
      </c>
      <c r="D110" s="9"/>
      <c r="E110" s="9"/>
      <c r="F110" s="9"/>
      <c r="G110" s="9"/>
      <c r="H110" s="10"/>
    </row>
    <row r="111" spans="1:10" hidden="1" x14ac:dyDescent="0.25">
      <c r="A111" s="84" t="s">
        <v>86</v>
      </c>
      <c r="B111" s="85"/>
      <c r="C111" s="85"/>
      <c r="D111" s="85"/>
      <c r="E111" s="85"/>
      <c r="F111" s="85"/>
      <c r="G111" s="85"/>
      <c r="H111" s="86"/>
    </row>
    <row r="112" spans="1:10" ht="18" hidden="1" x14ac:dyDescent="0.35">
      <c r="A112" s="6" t="s">
        <v>89</v>
      </c>
      <c r="B112" s="155">
        <f>[1]Trafo.!C33</f>
        <v>40.010373654841068</v>
      </c>
      <c r="C112" s="8" t="s">
        <v>18</v>
      </c>
      <c r="D112" s="9"/>
      <c r="E112" s="9"/>
      <c r="F112" s="9"/>
      <c r="G112" s="9"/>
      <c r="H112" s="10"/>
    </row>
    <row r="113" spans="1:8" ht="18" hidden="1" x14ac:dyDescent="0.35">
      <c r="A113" s="6" t="s">
        <v>200</v>
      </c>
      <c r="B113" s="75">
        <f>B10</f>
        <v>0</v>
      </c>
      <c r="C113" s="8" t="s">
        <v>18</v>
      </c>
      <c r="D113" s="9"/>
      <c r="E113" s="9"/>
      <c r="F113" s="9"/>
      <c r="G113" s="9"/>
      <c r="H113" s="10"/>
    </row>
    <row r="114" spans="1:8" ht="18" hidden="1" x14ac:dyDescent="0.35">
      <c r="A114" s="6" t="s">
        <v>365</v>
      </c>
      <c r="B114" s="56" t="str">
        <f>IF(B112&lt;=B113,"OK","Ikke OK")</f>
        <v>Ikke OK</v>
      </c>
      <c r="C114" s="8"/>
      <c r="D114" s="9"/>
      <c r="E114" s="9"/>
      <c r="F114" s="9"/>
      <c r="G114" s="9"/>
      <c r="H114" s="10"/>
    </row>
    <row r="115" spans="1:8" x14ac:dyDescent="0.25">
      <c r="A115" s="84" t="s">
        <v>87</v>
      </c>
      <c r="B115" s="85"/>
      <c r="C115" s="85"/>
      <c r="D115" s="85"/>
      <c r="E115" s="85"/>
      <c r="F115" s="85"/>
      <c r="G115" s="85"/>
      <c r="H115" s="86"/>
    </row>
    <row r="116" spans="1:8" ht="18" x14ac:dyDescent="0.35">
      <c r="A116" s="26" t="s">
        <v>287</v>
      </c>
      <c r="B116" s="17">
        <f>B12</f>
        <v>0</v>
      </c>
      <c r="C116" s="8" t="s">
        <v>82</v>
      </c>
      <c r="D116" s="9"/>
      <c r="E116" s="9"/>
      <c r="F116" s="9"/>
      <c r="G116" s="9"/>
      <c r="H116" s="10"/>
    </row>
    <row r="117" spans="1:8" ht="18" x14ac:dyDescent="0.35">
      <c r="A117" s="6" t="s">
        <v>483</v>
      </c>
      <c r="B117" s="3" t="e">
        <f>(B107)*SQRT(B110+B109)</f>
        <v>#DIV/0!</v>
      </c>
      <c r="C117" s="8" t="s">
        <v>82</v>
      </c>
      <c r="D117" s="9"/>
      <c r="E117" s="9"/>
      <c r="F117" s="9"/>
      <c r="G117" s="9"/>
      <c r="H117" s="10"/>
    </row>
    <row r="118" spans="1:8" ht="18" x14ac:dyDescent="0.35">
      <c r="A118" s="6" t="s">
        <v>484</v>
      </c>
      <c r="B118" s="56" t="e">
        <f>IF(B116&gt;=B117,"OK","Ikke OK")</f>
        <v>#DIV/0!</v>
      </c>
      <c r="C118" s="8"/>
      <c r="D118" s="9"/>
      <c r="E118" s="9"/>
      <c r="F118" s="9"/>
      <c r="G118" s="9"/>
      <c r="H118" s="10"/>
    </row>
    <row r="119" spans="1:8" x14ac:dyDescent="0.25">
      <c r="A119" s="84" t="s">
        <v>88</v>
      </c>
      <c r="B119" s="85"/>
      <c r="C119" s="85"/>
      <c r="D119" s="85"/>
      <c r="E119" s="85"/>
      <c r="F119" s="85"/>
      <c r="G119" s="85"/>
      <c r="H119" s="86"/>
    </row>
    <row r="120" spans="1:8" ht="18" x14ac:dyDescent="0.35">
      <c r="A120" s="6" t="s">
        <v>253</v>
      </c>
      <c r="B120" s="17">
        <f>B13</f>
        <v>0</v>
      </c>
      <c r="C120" s="8" t="s">
        <v>82</v>
      </c>
      <c r="D120" s="9"/>
      <c r="E120" s="9"/>
      <c r="F120" s="9"/>
      <c r="G120" s="9"/>
      <c r="H120" s="10"/>
    </row>
    <row r="121" spans="1:8" ht="18" x14ac:dyDescent="0.35">
      <c r="A121" s="6" t="s">
        <v>485</v>
      </c>
      <c r="B121" s="3" t="e">
        <f>(B108*10^3)*SQRT(B110+B109)*10^-3</f>
        <v>#DIV/0!</v>
      </c>
      <c r="C121" s="8" t="s">
        <v>82</v>
      </c>
      <c r="D121" s="9"/>
      <c r="E121" s="9"/>
      <c r="F121" s="9"/>
      <c r="G121" s="9"/>
      <c r="H121" s="10"/>
    </row>
    <row r="122" spans="1:8" ht="18" x14ac:dyDescent="0.35">
      <c r="A122" s="6" t="s">
        <v>486</v>
      </c>
      <c r="B122" s="56" t="e">
        <f>IF(B120&gt;=B121,"OK","Ikke OK")</f>
        <v>#DIV/0!</v>
      </c>
      <c r="C122" s="8"/>
      <c r="D122" s="9"/>
      <c r="E122" s="9"/>
      <c r="F122" s="9"/>
      <c r="G122" s="9"/>
      <c r="H122" s="10"/>
    </row>
    <row r="123" spans="1:8" x14ac:dyDescent="0.25">
      <c r="B123" s="81"/>
    </row>
    <row r="124" spans="1:8" x14ac:dyDescent="0.25">
      <c r="A124" s="53" t="s">
        <v>502</v>
      </c>
      <c r="B124" s="81"/>
    </row>
    <row r="125" spans="1:8" x14ac:dyDescent="0.25">
      <c r="A125" s="84" t="s">
        <v>269</v>
      </c>
      <c r="B125" s="85" t="s">
        <v>325</v>
      </c>
      <c r="C125" s="85"/>
      <c r="D125" s="85"/>
      <c r="E125" s="85"/>
      <c r="F125" s="85"/>
      <c r="G125" s="85"/>
      <c r="H125" s="86"/>
    </row>
    <row r="126" spans="1:8" ht="18" x14ac:dyDescent="0.35">
      <c r="A126" s="6" t="s">
        <v>20</v>
      </c>
      <c r="B126" s="67">
        <v>10</v>
      </c>
      <c r="C126" s="8" t="s">
        <v>8</v>
      </c>
      <c r="D126" s="9"/>
      <c r="E126" s="9"/>
      <c r="F126" s="9"/>
      <c r="G126" s="9"/>
      <c r="H126" s="10"/>
    </row>
    <row r="127" spans="1:8" ht="18" x14ac:dyDescent="0.35">
      <c r="A127" s="6" t="s">
        <v>21</v>
      </c>
      <c r="B127" s="67">
        <v>0.4</v>
      </c>
      <c r="C127" s="8" t="s">
        <v>8</v>
      </c>
      <c r="D127" s="9"/>
      <c r="E127" s="9"/>
      <c r="F127" s="9"/>
      <c r="G127" s="9"/>
      <c r="H127" s="10"/>
    </row>
    <row r="128" spans="1:8" ht="18" x14ac:dyDescent="0.35">
      <c r="A128" s="58" t="s">
        <v>450</v>
      </c>
      <c r="B128" s="183">
        <f>B106</f>
        <v>0</v>
      </c>
      <c r="C128" s="106" t="s">
        <v>9</v>
      </c>
      <c r="D128" s="107"/>
      <c r="E128" s="107"/>
      <c r="F128" s="107"/>
      <c r="G128" s="107"/>
      <c r="H128" s="108"/>
    </row>
    <row r="129" spans="1:8" ht="18" x14ac:dyDescent="0.35">
      <c r="A129" s="26" t="s">
        <v>479</v>
      </c>
      <c r="B129" s="184">
        <f>(B128*10^6)/(SQRT(3)*(B126*10^3))*10^-3</f>
        <v>0</v>
      </c>
      <c r="C129" s="131" t="s">
        <v>18</v>
      </c>
      <c r="D129" s="123"/>
      <c r="E129" s="123"/>
      <c r="F129" s="123"/>
      <c r="G129" s="123"/>
      <c r="H129" s="124"/>
    </row>
    <row r="130" spans="1:8" ht="18" x14ac:dyDescent="0.35">
      <c r="A130" s="26" t="s">
        <v>480</v>
      </c>
      <c r="B130" s="2">
        <f>(B128*10^6)/(2*(B126*10^3))*10^-3</f>
        <v>0</v>
      </c>
      <c r="C130" s="8" t="s">
        <v>18</v>
      </c>
      <c r="D130" s="9"/>
      <c r="E130" s="9"/>
      <c r="F130" s="9"/>
      <c r="G130" s="9"/>
      <c r="H130" s="10"/>
    </row>
    <row r="131" spans="1:8" ht="18" x14ac:dyDescent="0.35">
      <c r="A131" s="6" t="s">
        <v>36</v>
      </c>
      <c r="B131" s="101">
        <f>B100</f>
        <v>0.04</v>
      </c>
      <c r="C131" s="31" t="s">
        <v>37</v>
      </c>
      <c r="D131" s="32"/>
      <c r="E131" s="32"/>
      <c r="F131" s="32"/>
      <c r="G131" s="32"/>
      <c r="H131" s="33"/>
    </row>
    <row r="132" spans="1:8" x14ac:dyDescent="0.25">
      <c r="A132" s="6" t="s">
        <v>40</v>
      </c>
      <c r="B132" s="4" t="e">
        <f>B99</f>
        <v>#DIV/0!</v>
      </c>
      <c r="C132" s="8" t="s">
        <v>37</v>
      </c>
      <c r="D132" s="9"/>
      <c r="E132" s="9"/>
      <c r="F132" s="9"/>
      <c r="G132" s="9"/>
      <c r="H132" s="10"/>
    </row>
    <row r="133" spans="1:8" hidden="1" x14ac:dyDescent="0.25">
      <c r="A133" s="84" t="s">
        <v>86</v>
      </c>
      <c r="B133" s="85"/>
      <c r="C133" s="85"/>
      <c r="D133" s="85"/>
      <c r="E133" s="85"/>
      <c r="F133" s="85"/>
      <c r="G133" s="85"/>
      <c r="H133" s="86"/>
    </row>
    <row r="134" spans="1:8" ht="18" hidden="1" x14ac:dyDescent="0.35">
      <c r="A134" s="6" t="s">
        <v>89</v>
      </c>
      <c r="B134" s="155">
        <f>[1]Trafo.!C33</f>
        <v>40.010373654841068</v>
      </c>
      <c r="C134" s="8" t="s">
        <v>18</v>
      </c>
      <c r="D134" s="9"/>
      <c r="E134" s="9"/>
      <c r="F134" s="9"/>
      <c r="G134" s="9"/>
      <c r="H134" s="10"/>
    </row>
    <row r="135" spans="1:8" ht="18" hidden="1" x14ac:dyDescent="0.35">
      <c r="A135" s="6" t="s">
        <v>200</v>
      </c>
      <c r="B135" s="75">
        <f>B10</f>
        <v>0</v>
      </c>
      <c r="C135" s="8" t="s">
        <v>18</v>
      </c>
      <c r="D135" s="9"/>
      <c r="E135" s="9"/>
      <c r="F135" s="9"/>
      <c r="G135" s="9"/>
      <c r="H135" s="10"/>
    </row>
    <row r="136" spans="1:8" ht="18" hidden="1" x14ac:dyDescent="0.35">
      <c r="A136" s="6" t="s">
        <v>365</v>
      </c>
      <c r="B136" s="56" t="str">
        <f>IF(B134&lt;=B135,"OK","Ikke OK")</f>
        <v>Ikke OK</v>
      </c>
      <c r="C136" s="8"/>
      <c r="D136" s="9"/>
      <c r="E136" s="9"/>
      <c r="F136" s="9"/>
      <c r="G136" s="9"/>
      <c r="H136" s="10"/>
    </row>
    <row r="137" spans="1:8" x14ac:dyDescent="0.25">
      <c r="A137" s="84" t="s">
        <v>87</v>
      </c>
      <c r="B137" s="85"/>
      <c r="C137" s="85"/>
      <c r="D137" s="85"/>
      <c r="E137" s="85"/>
      <c r="F137" s="85"/>
      <c r="G137" s="85"/>
      <c r="H137" s="86"/>
    </row>
    <row r="138" spans="1:8" ht="18" x14ac:dyDescent="0.35">
      <c r="A138" s="26" t="s">
        <v>287</v>
      </c>
      <c r="B138" s="17">
        <f>B12</f>
        <v>0</v>
      </c>
      <c r="C138" s="8" t="s">
        <v>82</v>
      </c>
      <c r="D138" s="9"/>
      <c r="E138" s="9"/>
      <c r="F138" s="9"/>
      <c r="G138" s="9"/>
      <c r="H138" s="10"/>
    </row>
    <row r="139" spans="1:8" ht="18" x14ac:dyDescent="0.35">
      <c r="A139" s="6" t="s">
        <v>277</v>
      </c>
      <c r="B139" s="3" t="e">
        <f>(B129*10^3)*SQRT(B132+B131)*10^-3</f>
        <v>#DIV/0!</v>
      </c>
      <c r="C139" s="8" t="s">
        <v>82</v>
      </c>
      <c r="D139" s="9"/>
      <c r="E139" s="9"/>
      <c r="F139" s="9"/>
      <c r="G139" s="9"/>
      <c r="H139" s="10"/>
    </row>
    <row r="140" spans="1:8" ht="18" x14ac:dyDescent="0.35">
      <c r="A140" s="6" t="s">
        <v>285</v>
      </c>
      <c r="B140" s="56" t="e">
        <f>IF(B138&gt;=B139,"OK","Ikke OK")</f>
        <v>#DIV/0!</v>
      </c>
      <c r="C140" s="8"/>
      <c r="D140" s="9"/>
      <c r="E140" s="9"/>
      <c r="F140" s="9"/>
      <c r="G140" s="9"/>
      <c r="H140" s="10"/>
    </row>
    <row r="141" spans="1:8" x14ac:dyDescent="0.25">
      <c r="A141" s="84" t="s">
        <v>88</v>
      </c>
      <c r="B141" s="85"/>
      <c r="C141" s="85"/>
      <c r="D141" s="85"/>
      <c r="E141" s="85"/>
      <c r="F141" s="85"/>
      <c r="G141" s="85"/>
      <c r="H141" s="86"/>
    </row>
    <row r="142" spans="1:8" ht="18" x14ac:dyDescent="0.35">
      <c r="A142" s="6" t="s">
        <v>253</v>
      </c>
      <c r="B142" s="17">
        <f>B13</f>
        <v>0</v>
      </c>
      <c r="C142" s="8" t="s">
        <v>82</v>
      </c>
      <c r="D142" s="9"/>
      <c r="E142" s="9"/>
      <c r="F142" s="9"/>
      <c r="G142" s="9"/>
      <c r="H142" s="10"/>
    </row>
    <row r="143" spans="1:8" ht="18" x14ac:dyDescent="0.35">
      <c r="A143" s="6" t="s">
        <v>481</v>
      </c>
      <c r="B143" s="71" t="e">
        <f>(B130*10^3)*SQRT(B132+B131)*10^-3</f>
        <v>#DIV/0!</v>
      </c>
      <c r="C143" s="8" t="s">
        <v>82</v>
      </c>
      <c r="D143" s="9"/>
      <c r="E143" s="9"/>
      <c r="F143" s="9"/>
      <c r="G143" s="9"/>
      <c r="H143" s="10"/>
    </row>
    <row r="144" spans="1:8" ht="18" x14ac:dyDescent="0.35">
      <c r="A144" s="6" t="s">
        <v>482</v>
      </c>
      <c r="B144" s="56" t="e">
        <f>IF(B142&gt;=B143,"OK","Ikke OK")</f>
        <v>#DIV/0!</v>
      </c>
      <c r="C144" s="8"/>
      <c r="D144" s="9"/>
      <c r="E144" s="9"/>
      <c r="F144" s="9"/>
      <c r="G144" s="9"/>
      <c r="H144" s="10"/>
    </row>
    <row r="145" spans="1:10" x14ac:dyDescent="0.25">
      <c r="B145" s="81"/>
    </row>
    <row r="146" spans="1:10" x14ac:dyDescent="0.25">
      <c r="B146" s="81"/>
    </row>
    <row r="147" spans="1:10" ht="18" x14ac:dyDescent="0.35">
      <c r="A147" s="84" t="s">
        <v>220</v>
      </c>
      <c r="B147" s="85" t="s">
        <v>325</v>
      </c>
      <c r="C147" s="85"/>
      <c r="D147" s="85"/>
      <c r="E147" s="85"/>
      <c r="F147" s="85"/>
      <c r="G147" s="85"/>
      <c r="H147" s="86"/>
    </row>
    <row r="148" spans="1:10" ht="18" x14ac:dyDescent="0.35">
      <c r="A148" s="6" t="s">
        <v>193</v>
      </c>
      <c r="B148" s="4">
        <f>B96</f>
        <v>0</v>
      </c>
      <c r="C148" s="8" t="s">
        <v>18</v>
      </c>
      <c r="D148" s="9"/>
      <c r="E148" s="9"/>
      <c r="F148" s="9"/>
      <c r="G148" s="9"/>
      <c r="H148" s="10"/>
    </row>
    <row r="149" spans="1:10" ht="18" x14ac:dyDescent="0.35">
      <c r="A149" s="26" t="s">
        <v>303</v>
      </c>
      <c r="B149" s="150">
        <v>10</v>
      </c>
      <c r="C149" s="49" t="s">
        <v>8</v>
      </c>
      <c r="D149" s="53"/>
      <c r="E149" s="53"/>
      <c r="F149" s="53"/>
      <c r="G149" s="53"/>
      <c r="H149" s="50"/>
    </row>
    <row r="150" spans="1:10" ht="18" x14ac:dyDescent="0.35">
      <c r="A150" s="6" t="s">
        <v>313</v>
      </c>
      <c r="B150" s="151" t="e">
        <f>'IM. Linje'!B102</f>
        <v>#N/A</v>
      </c>
      <c r="C150" s="24" t="s">
        <v>5</v>
      </c>
      <c r="D150" s="9"/>
      <c r="E150" s="9"/>
      <c r="F150" s="9"/>
      <c r="G150" s="9"/>
      <c r="H150" s="10"/>
    </row>
    <row r="151" spans="1:10" ht="18" x14ac:dyDescent="0.35">
      <c r="A151" s="6" t="s">
        <v>316</v>
      </c>
      <c r="B151" s="2" t="e">
        <f>(B149*10^3)/(2*B150)</f>
        <v>#N/A</v>
      </c>
      <c r="C151" s="8" t="s">
        <v>18</v>
      </c>
      <c r="D151" s="9"/>
      <c r="E151" s="9"/>
      <c r="F151" s="9"/>
      <c r="G151" s="9"/>
      <c r="H151" s="10"/>
    </row>
    <row r="152" spans="1:10" ht="18" x14ac:dyDescent="0.35">
      <c r="A152" s="6" t="s">
        <v>218</v>
      </c>
      <c r="B152" s="40" t="e">
        <f>B151*0.75</f>
        <v>#N/A</v>
      </c>
      <c r="C152" s="36" t="s">
        <v>18</v>
      </c>
      <c r="D152" s="37"/>
      <c r="E152" s="9"/>
      <c r="F152" s="9"/>
      <c r="G152" s="9"/>
      <c r="H152" s="10"/>
    </row>
    <row r="153" spans="1:10" ht="18" x14ac:dyDescent="0.35">
      <c r="A153" s="8" t="s">
        <v>317</v>
      </c>
      <c r="B153" s="60" t="s">
        <v>219</v>
      </c>
      <c r="C153" s="66"/>
      <c r="D153" s="61" t="e">
        <f>IF(J153=1,"OK","Ikke OK")</f>
        <v>#N/A</v>
      </c>
      <c r="E153" s="8"/>
      <c r="F153" s="9"/>
      <c r="G153" s="9"/>
      <c r="H153" s="10"/>
      <c r="J153" t="e">
        <f>IF(B148&lt;B152,1,0)</f>
        <v>#N/A</v>
      </c>
    </row>
    <row r="154" spans="1:10" x14ac:dyDescent="0.25">
      <c r="B154" s="81"/>
    </row>
    <row r="156" spans="1:10" ht="18" x14ac:dyDescent="0.35">
      <c r="A156" s="84" t="s">
        <v>217</v>
      </c>
      <c r="B156" s="85" t="s">
        <v>325</v>
      </c>
      <c r="C156" s="85"/>
      <c r="D156" s="85"/>
      <c r="E156" s="85"/>
      <c r="F156" s="85"/>
      <c r="G156" s="85"/>
      <c r="H156" s="86"/>
    </row>
    <row r="157" spans="1:10" x14ac:dyDescent="0.25">
      <c r="A157" s="6" t="s">
        <v>35</v>
      </c>
      <c r="B157" s="21">
        <f>B4</f>
        <v>0</v>
      </c>
      <c r="C157" s="22"/>
      <c r="D157" s="22"/>
      <c r="E157" s="22"/>
      <c r="F157" s="22"/>
      <c r="G157" s="22"/>
      <c r="H157" s="23"/>
    </row>
    <row r="158" spans="1:10" ht="18" x14ac:dyDescent="0.35">
      <c r="A158" s="26" t="s">
        <v>303</v>
      </c>
      <c r="B158" s="30">
        <f>'IM. Linje'!B4</f>
        <v>400</v>
      </c>
      <c r="C158" s="49" t="s">
        <v>8</v>
      </c>
      <c r="D158" s="53"/>
      <c r="E158" s="53"/>
      <c r="F158" s="53"/>
      <c r="G158" s="53"/>
      <c r="H158" s="50"/>
    </row>
    <row r="159" spans="1:10" ht="18" x14ac:dyDescent="0.35">
      <c r="A159" s="6" t="s">
        <v>302</v>
      </c>
      <c r="B159" s="1">
        <f>'IM. Linje'!B6</f>
        <v>0</v>
      </c>
      <c r="C159" s="8" t="s">
        <v>9</v>
      </c>
      <c r="D159" s="9"/>
      <c r="E159" s="9"/>
      <c r="F159" s="9"/>
      <c r="G159" s="118"/>
      <c r="H159" s="117"/>
    </row>
    <row r="160" spans="1:10" ht="18" x14ac:dyDescent="0.35">
      <c r="A160" s="6" t="s">
        <v>36</v>
      </c>
      <c r="B160" s="89">
        <f>B82</f>
        <v>0.04</v>
      </c>
      <c r="C160" s="31" t="s">
        <v>37</v>
      </c>
      <c r="D160" s="32"/>
      <c r="E160" s="32"/>
      <c r="F160" s="32"/>
      <c r="G160" s="32"/>
      <c r="H160" s="33"/>
    </row>
    <row r="161" spans="1:8" x14ac:dyDescent="0.25">
      <c r="A161" s="6" t="s">
        <v>34</v>
      </c>
      <c r="B161" s="101" t="e">
        <f>B97</f>
        <v>#DIV/0!</v>
      </c>
      <c r="C161" s="8" t="s">
        <v>37</v>
      </c>
      <c r="D161" s="9"/>
      <c r="E161" s="9"/>
      <c r="F161" s="9"/>
      <c r="G161" s="9"/>
      <c r="H161" s="10"/>
    </row>
    <row r="162" spans="1:8" ht="18" x14ac:dyDescent="0.35">
      <c r="A162" s="6" t="s">
        <v>312</v>
      </c>
      <c r="B162" s="3">
        <f>(B159*10^6)/(SQRT(3)*(B158*10^3))*10^-3</f>
        <v>0</v>
      </c>
      <c r="C162" s="8" t="s">
        <v>82</v>
      </c>
      <c r="D162" s="9"/>
      <c r="E162" s="9"/>
      <c r="F162" s="9"/>
      <c r="G162" s="9"/>
      <c r="H162" s="10"/>
    </row>
    <row r="163" spans="1:8" ht="18" x14ac:dyDescent="0.35">
      <c r="A163" s="6" t="s">
        <v>254</v>
      </c>
      <c r="B163" s="3">
        <f>((SQRT(3)/2)*B162)</f>
        <v>0</v>
      </c>
      <c r="C163" s="8" t="s">
        <v>82</v>
      </c>
      <c r="D163" s="9"/>
      <c r="E163" s="9"/>
      <c r="F163" s="9"/>
      <c r="G163" s="9"/>
      <c r="H163" s="10"/>
    </row>
    <row r="164" spans="1:8" ht="16.149999999999999" customHeight="1" x14ac:dyDescent="0.25">
      <c r="A164" s="90" t="s">
        <v>98</v>
      </c>
      <c r="B164" s="91"/>
      <c r="C164" s="91"/>
      <c r="D164" s="91"/>
      <c r="E164" s="91"/>
      <c r="F164" s="91"/>
      <c r="G164" s="91"/>
      <c r="H164" s="92"/>
    </row>
    <row r="165" spans="1:8" ht="16.149999999999999" customHeight="1" x14ac:dyDescent="0.35">
      <c r="A165" s="26" t="s">
        <v>287</v>
      </c>
      <c r="B165" s="93">
        <f>B12</f>
        <v>0</v>
      </c>
      <c r="C165" s="31" t="s">
        <v>82</v>
      </c>
      <c r="D165" s="94" t="s">
        <v>170</v>
      </c>
      <c r="E165" s="95"/>
      <c r="F165" s="32"/>
      <c r="G165" s="32"/>
      <c r="H165" s="33"/>
    </row>
    <row r="166" spans="1:8" ht="16.149999999999999" customHeight="1" x14ac:dyDescent="0.35">
      <c r="A166" s="6" t="s">
        <v>318</v>
      </c>
      <c r="B166" s="14" t="e">
        <f>B162*(SQRT(B161+B160))</f>
        <v>#DIV/0!</v>
      </c>
      <c r="C166" s="49"/>
      <c r="D166" s="53"/>
      <c r="E166" s="53"/>
      <c r="F166" s="32"/>
      <c r="G166" s="32"/>
      <c r="H166" s="33"/>
    </row>
    <row r="167" spans="1:8" ht="16.149999999999999" customHeight="1" x14ac:dyDescent="0.35">
      <c r="A167" s="8" t="s">
        <v>319</v>
      </c>
      <c r="B167" s="60" t="s">
        <v>214</v>
      </c>
      <c r="C167" s="66"/>
      <c r="D167" s="66"/>
      <c r="E167" s="61" t="e">
        <f>IF(B165&gt;=B166,"OK","Ikke OK")</f>
        <v>#DIV/0!</v>
      </c>
      <c r="F167" s="9"/>
      <c r="G167" s="9"/>
      <c r="H167" s="10"/>
    </row>
    <row r="168" spans="1:8" ht="16.149999999999999" customHeight="1" x14ac:dyDescent="0.25">
      <c r="A168" s="90" t="s">
        <v>97</v>
      </c>
      <c r="B168" s="120"/>
      <c r="C168" s="120"/>
      <c r="D168" s="120"/>
      <c r="E168" s="120"/>
      <c r="F168" s="91"/>
      <c r="G168" s="91"/>
      <c r="H168" s="92"/>
    </row>
    <row r="169" spans="1:8" ht="16.149999999999999" customHeight="1" x14ac:dyDescent="0.35">
      <c r="A169" s="26" t="s">
        <v>253</v>
      </c>
      <c r="B169" s="93">
        <f>B13</f>
        <v>0</v>
      </c>
      <c r="C169" s="31" t="s">
        <v>82</v>
      </c>
      <c r="D169" s="94" t="s">
        <v>170</v>
      </c>
      <c r="E169" s="95"/>
      <c r="F169" s="32"/>
      <c r="G169" s="32"/>
      <c r="H169" s="33"/>
    </row>
    <row r="170" spans="1:8" ht="16.149999999999999" customHeight="1" x14ac:dyDescent="0.35">
      <c r="A170" s="6" t="s">
        <v>251</v>
      </c>
      <c r="B170" s="40" t="e">
        <f>B163*(B161+B160)</f>
        <v>#DIV/0!</v>
      </c>
      <c r="C170" s="49"/>
      <c r="D170" s="53"/>
      <c r="E170" s="53"/>
      <c r="F170" s="53"/>
      <c r="G170" s="53"/>
      <c r="H170" s="50"/>
    </row>
    <row r="171" spans="1:8" ht="16.149999999999999" customHeight="1" x14ac:dyDescent="0.35">
      <c r="A171" s="8" t="s">
        <v>252</v>
      </c>
      <c r="B171" s="60" t="s">
        <v>214</v>
      </c>
      <c r="C171" s="66"/>
      <c r="D171" s="66"/>
      <c r="E171" s="61" t="e">
        <f>IF(B169&gt;=B170,"OK","Ikke OK")</f>
        <v>#DIV/0!</v>
      </c>
      <c r="F171" s="9"/>
      <c r="G171" s="9"/>
      <c r="H171" s="10"/>
    </row>
    <row r="174" spans="1:8" ht="18" x14ac:dyDescent="0.35">
      <c r="A174" s="84" t="s">
        <v>215</v>
      </c>
      <c r="B174" s="85" t="s">
        <v>325</v>
      </c>
      <c r="C174" s="85"/>
      <c r="D174" s="85"/>
      <c r="E174" s="85"/>
      <c r="F174" s="85"/>
      <c r="G174" s="85"/>
      <c r="H174" s="86"/>
    </row>
    <row r="175" spans="1:8" ht="18" x14ac:dyDescent="0.35">
      <c r="A175" s="6" t="s">
        <v>194</v>
      </c>
      <c r="B175" s="4" t="e">
        <f>B98</f>
        <v>#N/A</v>
      </c>
      <c r="C175" s="8" t="s">
        <v>18</v>
      </c>
      <c r="D175" s="9"/>
      <c r="E175" s="9"/>
      <c r="F175" s="9"/>
      <c r="G175" s="9"/>
      <c r="H175" s="10"/>
    </row>
    <row r="176" spans="1:8" ht="18" x14ac:dyDescent="0.35">
      <c r="A176" s="26" t="s">
        <v>303</v>
      </c>
      <c r="B176" s="30">
        <v>10</v>
      </c>
      <c r="C176" s="49" t="s">
        <v>8</v>
      </c>
      <c r="D176" s="53"/>
      <c r="E176" s="53"/>
      <c r="F176" s="53"/>
      <c r="G176" s="53"/>
      <c r="H176" s="50"/>
    </row>
    <row r="177" spans="1:10" ht="18" x14ac:dyDescent="0.35">
      <c r="A177" s="6" t="s">
        <v>313</v>
      </c>
      <c r="B177" s="151" t="e">
        <f>B150</f>
        <v>#N/A</v>
      </c>
      <c r="C177" s="24" t="s">
        <v>5</v>
      </c>
      <c r="D177" s="9"/>
      <c r="E177" s="9"/>
      <c r="F177" s="9"/>
      <c r="G177" s="9"/>
      <c r="H177" s="10"/>
    </row>
    <row r="178" spans="1:10" ht="18" x14ac:dyDescent="0.35">
      <c r="A178" s="6" t="s">
        <v>320</v>
      </c>
      <c r="B178" s="2" t="e">
        <f>(B176*10^3)/(2*B177)</f>
        <v>#N/A</v>
      </c>
      <c r="C178" s="8" t="s">
        <v>18</v>
      </c>
      <c r="D178" s="9"/>
      <c r="E178" s="9"/>
      <c r="F178" s="9"/>
      <c r="G178" s="9"/>
      <c r="H178" s="10"/>
    </row>
    <row r="179" spans="1:10" ht="18" x14ac:dyDescent="0.35">
      <c r="A179" s="6" t="s">
        <v>218</v>
      </c>
      <c r="B179" s="40" t="e">
        <f>B178*0.75</f>
        <v>#N/A</v>
      </c>
      <c r="C179" s="36" t="s">
        <v>18</v>
      </c>
      <c r="D179" s="37"/>
      <c r="E179" s="9"/>
      <c r="F179" s="9"/>
      <c r="G179" s="9"/>
      <c r="H179" s="10"/>
    </row>
    <row r="180" spans="1:10" ht="18" x14ac:dyDescent="0.35">
      <c r="A180" s="8" t="s">
        <v>317</v>
      </c>
      <c r="B180" s="60" t="s">
        <v>219</v>
      </c>
      <c r="C180" s="66"/>
      <c r="D180" s="61" t="e">
        <f>IF(J180=1,"OK","Ikke OK")</f>
        <v>#N/A</v>
      </c>
      <c r="E180" s="8"/>
      <c r="F180" s="9"/>
      <c r="G180" s="9"/>
      <c r="H180" s="10"/>
      <c r="J180" t="e">
        <f>IF(B175&lt;B179,1,0)</f>
        <v>#N/A</v>
      </c>
    </row>
    <row r="183" spans="1:10" ht="16.149999999999999" customHeight="1" x14ac:dyDescent="0.35">
      <c r="A183" s="84" t="s">
        <v>216</v>
      </c>
      <c r="B183" s="85" t="s">
        <v>325</v>
      </c>
      <c r="C183" s="85"/>
      <c r="D183" s="85"/>
      <c r="E183" s="85"/>
      <c r="F183" s="85"/>
      <c r="G183" s="85"/>
      <c r="H183" s="86"/>
    </row>
    <row r="184" spans="1:10" ht="16.149999999999999" customHeight="1" x14ac:dyDescent="0.25">
      <c r="A184" s="6" t="s">
        <v>35</v>
      </c>
      <c r="B184" s="21">
        <f>B157</f>
        <v>0</v>
      </c>
      <c r="C184" s="22"/>
      <c r="D184" s="22"/>
      <c r="E184" s="22"/>
      <c r="F184" s="22"/>
      <c r="G184" s="22"/>
      <c r="H184" s="23"/>
    </row>
    <row r="185" spans="1:10" ht="16.149999999999999" customHeight="1" x14ac:dyDescent="0.35">
      <c r="A185" s="26" t="s">
        <v>303</v>
      </c>
      <c r="B185" s="30">
        <f>B158</f>
        <v>400</v>
      </c>
      <c r="C185" s="49" t="s">
        <v>8</v>
      </c>
      <c r="D185" s="53"/>
      <c r="E185" s="53"/>
      <c r="F185" s="53"/>
      <c r="G185" s="53"/>
      <c r="H185" s="50"/>
    </row>
    <row r="186" spans="1:10" ht="18" x14ac:dyDescent="0.35">
      <c r="A186" s="6" t="s">
        <v>302</v>
      </c>
      <c r="B186" s="1">
        <f>B159</f>
        <v>0</v>
      </c>
      <c r="C186" s="8" t="s">
        <v>9</v>
      </c>
      <c r="D186" s="9"/>
      <c r="E186" s="9"/>
      <c r="F186" s="9"/>
      <c r="G186" s="118"/>
      <c r="H186" s="117"/>
    </row>
    <row r="187" spans="1:10" ht="16.149999999999999" customHeight="1" x14ac:dyDescent="0.35">
      <c r="A187" s="6" t="s">
        <v>36</v>
      </c>
      <c r="B187" s="89">
        <f>100*10^-3</f>
        <v>0.1</v>
      </c>
      <c r="C187" s="31" t="s">
        <v>37</v>
      </c>
      <c r="D187" s="32"/>
      <c r="E187" s="32"/>
      <c r="F187" s="32"/>
      <c r="G187" s="32"/>
      <c r="H187" s="33"/>
    </row>
    <row r="188" spans="1:10" ht="16.149999999999999" customHeight="1" x14ac:dyDescent="0.25">
      <c r="A188" s="6" t="s">
        <v>40</v>
      </c>
      <c r="B188" s="101" t="e">
        <f>B99</f>
        <v>#DIV/0!</v>
      </c>
      <c r="C188" s="8" t="s">
        <v>37</v>
      </c>
      <c r="D188" s="9"/>
      <c r="E188" s="9"/>
      <c r="F188" s="9"/>
      <c r="G188" s="9"/>
      <c r="H188" s="10"/>
    </row>
    <row r="189" spans="1:10" ht="15.6" customHeight="1" x14ac:dyDescent="0.35">
      <c r="A189" s="6" t="s">
        <v>312</v>
      </c>
      <c r="B189" s="3">
        <f>(B186*10^6)/(SQRT(3)*(B185*10^3))*10^-3</f>
        <v>0</v>
      </c>
      <c r="C189" s="8" t="s">
        <v>82</v>
      </c>
      <c r="D189" s="9"/>
      <c r="E189" s="9"/>
      <c r="F189" s="9"/>
      <c r="G189" s="9"/>
      <c r="H189" s="10"/>
    </row>
    <row r="190" spans="1:10" ht="18" x14ac:dyDescent="0.35">
      <c r="A190" s="6" t="s">
        <v>254</v>
      </c>
      <c r="B190" s="3">
        <f>((SQRT(3)/2)*B189)</f>
        <v>0</v>
      </c>
      <c r="C190" s="8" t="s">
        <v>82</v>
      </c>
      <c r="D190" s="9"/>
      <c r="E190" s="9"/>
      <c r="F190" s="9"/>
      <c r="G190" s="9"/>
      <c r="H190" s="10"/>
    </row>
    <row r="191" spans="1:10" x14ac:dyDescent="0.25">
      <c r="A191" s="90" t="s">
        <v>98</v>
      </c>
      <c r="B191" s="91"/>
      <c r="C191" s="91"/>
      <c r="D191" s="91"/>
      <c r="E191" s="91"/>
      <c r="F191" s="91"/>
      <c r="G191" s="91"/>
      <c r="H191" s="92"/>
    </row>
    <row r="192" spans="1:10" ht="18" x14ac:dyDescent="0.35">
      <c r="A192" s="26" t="s">
        <v>287</v>
      </c>
      <c r="B192" s="93">
        <f>B12</f>
        <v>0</v>
      </c>
      <c r="C192" s="31" t="s">
        <v>82</v>
      </c>
      <c r="D192" s="94" t="s">
        <v>170</v>
      </c>
      <c r="E192" s="95"/>
      <c r="F192" s="32"/>
      <c r="G192" s="32"/>
      <c r="H192" s="33"/>
    </row>
    <row r="193" spans="1:12" ht="18" x14ac:dyDescent="0.35">
      <c r="A193" s="6" t="s">
        <v>321</v>
      </c>
      <c r="B193" s="14" t="e">
        <f>B189*(SQRT(B188+B187))</f>
        <v>#DIV/0!</v>
      </c>
      <c r="C193" s="49"/>
      <c r="D193" s="53"/>
      <c r="E193" s="53"/>
      <c r="F193" s="32"/>
      <c r="G193" s="32"/>
      <c r="H193" s="33"/>
    </row>
    <row r="194" spans="1:12" ht="18" x14ac:dyDescent="0.35">
      <c r="A194" s="8" t="s">
        <v>322</v>
      </c>
      <c r="B194" s="60" t="s">
        <v>214</v>
      </c>
      <c r="C194" s="66"/>
      <c r="D194" s="66"/>
      <c r="E194" s="61" t="e">
        <f>IF(B192&gt;=B193,"OK","Ikke OK")</f>
        <v>#DIV/0!</v>
      </c>
      <c r="F194" s="9"/>
      <c r="G194" s="9"/>
      <c r="H194" s="10"/>
    </row>
    <row r="195" spans="1:12" x14ac:dyDescent="0.25">
      <c r="A195" s="90" t="s">
        <v>97</v>
      </c>
      <c r="B195" s="120"/>
      <c r="C195" s="120"/>
      <c r="D195" s="120"/>
      <c r="E195" s="120"/>
      <c r="F195" s="91"/>
      <c r="G195" s="91"/>
      <c r="H195" s="92"/>
    </row>
    <row r="196" spans="1:12" ht="18" x14ac:dyDescent="0.35">
      <c r="A196" s="26" t="s">
        <v>253</v>
      </c>
      <c r="B196" s="93">
        <f>B13</f>
        <v>0</v>
      </c>
      <c r="C196" s="31" t="s">
        <v>82</v>
      </c>
      <c r="D196" s="94" t="s">
        <v>170</v>
      </c>
      <c r="E196" s="95"/>
      <c r="F196" s="32"/>
      <c r="G196" s="32"/>
      <c r="H196" s="33"/>
    </row>
    <row r="197" spans="1:12" ht="18" x14ac:dyDescent="0.35">
      <c r="A197" s="6" t="s">
        <v>323</v>
      </c>
      <c r="B197" s="14" t="e">
        <f>B190*(B188+B187)</f>
        <v>#DIV/0!</v>
      </c>
      <c r="C197" s="49"/>
      <c r="D197" s="53"/>
      <c r="E197" s="53"/>
      <c r="F197" s="53"/>
      <c r="G197" s="53"/>
      <c r="H197" s="50"/>
    </row>
    <row r="198" spans="1:12" ht="18" x14ac:dyDescent="0.35">
      <c r="A198" s="8" t="s">
        <v>324</v>
      </c>
      <c r="B198" s="60" t="s">
        <v>214</v>
      </c>
      <c r="C198" s="66"/>
      <c r="D198" s="66"/>
      <c r="E198" s="61" t="e">
        <f>IF(B196&gt;=B197,"OK","Ikke OK")</f>
        <v>#DIV/0!</v>
      </c>
      <c r="F198" s="9"/>
      <c r="G198" s="9"/>
      <c r="H198" s="10"/>
    </row>
    <row r="201" spans="1:12" s="5" customFormat="1" ht="15.75" x14ac:dyDescent="0.25">
      <c r="A201" s="84" t="s">
        <v>58</v>
      </c>
      <c r="B201" s="85" t="s">
        <v>325</v>
      </c>
      <c r="C201" s="85"/>
      <c r="D201" s="85"/>
      <c r="E201" s="85"/>
      <c r="F201" s="85"/>
      <c r="G201" s="85"/>
      <c r="H201" s="86"/>
      <c r="I201"/>
      <c r="J201"/>
      <c r="K201"/>
      <c r="L201"/>
    </row>
    <row r="202" spans="1:12" ht="16.149999999999999" customHeight="1" x14ac:dyDescent="0.35">
      <c r="A202" s="6" t="s">
        <v>20</v>
      </c>
      <c r="B202" s="67">
        <v>10</v>
      </c>
      <c r="C202" s="8" t="s">
        <v>8</v>
      </c>
      <c r="D202" s="9"/>
      <c r="E202" s="9"/>
      <c r="F202" s="9"/>
      <c r="G202" s="9"/>
      <c r="H202" s="10"/>
    </row>
    <row r="203" spans="1:12" ht="16.149999999999999" customHeight="1" x14ac:dyDescent="0.35">
      <c r="A203" s="6" t="s">
        <v>21</v>
      </c>
      <c r="B203" s="67">
        <v>0.4</v>
      </c>
      <c r="C203" s="8" t="s">
        <v>8</v>
      </c>
      <c r="D203" s="9"/>
      <c r="E203" s="9"/>
      <c r="F203" s="9"/>
      <c r="G203" s="9"/>
      <c r="H203" s="10"/>
    </row>
    <row r="204" spans="1:12" ht="16.149999999999999" customHeight="1" x14ac:dyDescent="0.35">
      <c r="A204" s="6" t="s">
        <v>42</v>
      </c>
      <c r="B204" s="3">
        <f>B202/B203</f>
        <v>25</v>
      </c>
      <c r="C204" s="8"/>
      <c r="D204" s="9"/>
      <c r="E204" s="9"/>
      <c r="F204" s="9"/>
      <c r="G204" s="9"/>
      <c r="H204" s="10"/>
    </row>
    <row r="205" spans="1:12" ht="16.149999999999999" customHeight="1" x14ac:dyDescent="0.35">
      <c r="A205" s="6" t="s">
        <v>302</v>
      </c>
      <c r="B205" s="1">
        <f>'IM. Linje'!B6</f>
        <v>0</v>
      </c>
      <c r="C205" s="8" t="s">
        <v>9</v>
      </c>
      <c r="D205" s="9"/>
      <c r="E205" s="9"/>
      <c r="F205" s="9"/>
      <c r="G205" s="118"/>
      <c r="H205" s="10"/>
    </row>
    <row r="206" spans="1:12" ht="16.149999999999999" customHeight="1" x14ac:dyDescent="0.35">
      <c r="A206" s="6" t="s">
        <v>312</v>
      </c>
      <c r="B206" s="3">
        <f>(B205*10^6)/(SQRT(3)*(B202*10^3))</f>
        <v>0</v>
      </c>
      <c r="C206" s="8" t="s">
        <v>18</v>
      </c>
      <c r="D206" s="9"/>
      <c r="E206" s="9"/>
      <c r="F206" s="9"/>
      <c r="G206" s="9"/>
      <c r="H206" s="10"/>
    </row>
    <row r="207" spans="1:12" ht="16.149999999999999" customHeight="1" x14ac:dyDescent="0.35">
      <c r="A207" s="6" t="s">
        <v>254</v>
      </c>
      <c r="B207" s="3">
        <f>((SQRT(3)/2)*B206)</f>
        <v>0</v>
      </c>
      <c r="C207" s="8" t="s">
        <v>18</v>
      </c>
      <c r="D207" s="9"/>
      <c r="E207" s="9"/>
      <c r="F207" s="9"/>
      <c r="G207" s="9"/>
      <c r="H207" s="10"/>
    </row>
    <row r="208" spans="1:12" ht="16.149999999999999" customHeight="1" x14ac:dyDescent="0.35">
      <c r="A208" s="58" t="s">
        <v>355</v>
      </c>
      <c r="B208" s="138" t="e">
        <f>'IM. Trafo.'!B54</f>
        <v>#N/A</v>
      </c>
      <c r="C208" s="24" t="s">
        <v>5</v>
      </c>
      <c r="D208" s="103"/>
      <c r="E208" s="103"/>
      <c r="F208" s="103"/>
      <c r="G208" s="103"/>
      <c r="H208" s="104"/>
    </row>
    <row r="209" spans="1:8" ht="16.149999999999999" customHeight="1" x14ac:dyDescent="0.35">
      <c r="A209" s="6" t="s">
        <v>381</v>
      </c>
      <c r="B209" s="3" t="e">
        <f>(B203)/(SQRT(3)*B208)*10^3</f>
        <v>#N/A</v>
      </c>
      <c r="C209" s="31" t="s">
        <v>18</v>
      </c>
      <c r="D209" s="32"/>
      <c r="E209" s="32"/>
      <c r="F209" s="32"/>
      <c r="G209" s="32"/>
      <c r="H209" s="33"/>
    </row>
    <row r="210" spans="1:8" ht="16.149999999999999" customHeight="1" x14ac:dyDescent="0.35">
      <c r="A210" s="26" t="s">
        <v>382</v>
      </c>
      <c r="B210" s="3" t="e">
        <f>B209</f>
        <v>#N/A</v>
      </c>
      <c r="C210" s="31" t="s">
        <v>18</v>
      </c>
      <c r="D210" s="32"/>
      <c r="E210" s="32"/>
      <c r="F210" s="32"/>
      <c r="G210" s="32"/>
      <c r="H210" s="33"/>
    </row>
    <row r="211" spans="1:8" ht="18" x14ac:dyDescent="0.35">
      <c r="A211" s="58" t="s">
        <v>271</v>
      </c>
      <c r="B211" s="135" t="e">
        <f>B97</f>
        <v>#DIV/0!</v>
      </c>
      <c r="C211" s="8" t="s">
        <v>37</v>
      </c>
      <c r="D211" s="9"/>
      <c r="E211" s="9"/>
      <c r="F211" s="9"/>
      <c r="G211" s="9"/>
      <c r="H211" s="10"/>
    </row>
    <row r="212" spans="1:8" ht="18" x14ac:dyDescent="0.35">
      <c r="A212" s="58" t="s">
        <v>62</v>
      </c>
      <c r="B212" s="161">
        <f>L.relæ!B100</f>
        <v>0.04</v>
      </c>
      <c r="C212" s="8" t="s">
        <v>37</v>
      </c>
      <c r="D212" s="9"/>
      <c r="E212" s="9"/>
      <c r="F212" s="9"/>
      <c r="G212" s="9"/>
      <c r="H212" s="10"/>
    </row>
    <row r="213" spans="1:8" ht="16.149999999999999" customHeight="1" x14ac:dyDescent="0.25">
      <c r="A213" s="58" t="s">
        <v>51</v>
      </c>
      <c r="B213" s="129">
        <v>226</v>
      </c>
      <c r="C213" s="8" t="s">
        <v>54</v>
      </c>
      <c r="D213" s="9"/>
      <c r="E213" s="9"/>
      <c r="F213" s="9"/>
      <c r="G213" s="9"/>
      <c r="H213" s="10"/>
    </row>
    <row r="214" spans="1:8" ht="16.149999999999999" customHeight="1" x14ac:dyDescent="0.35">
      <c r="A214" s="58" t="s">
        <v>63</v>
      </c>
      <c r="B214" s="129"/>
      <c r="C214" s="24" t="s">
        <v>55</v>
      </c>
      <c r="D214" s="9"/>
      <c r="E214" s="9"/>
      <c r="F214" s="9"/>
      <c r="G214" s="9"/>
      <c r="H214" s="10"/>
    </row>
    <row r="215" spans="1:8" ht="16.149999999999999" customHeight="1" x14ac:dyDescent="0.35">
      <c r="A215" s="58" t="s">
        <v>64</v>
      </c>
      <c r="B215" s="129">
        <v>300</v>
      </c>
      <c r="C215" s="24" t="s">
        <v>55</v>
      </c>
      <c r="D215" s="9"/>
      <c r="E215" s="9"/>
      <c r="F215" s="9"/>
      <c r="G215" s="9"/>
      <c r="H215" s="10"/>
    </row>
    <row r="216" spans="1:8" ht="16.149999999999999" customHeight="1" x14ac:dyDescent="0.25">
      <c r="A216" s="58" t="s">
        <v>52</v>
      </c>
      <c r="B216" s="129">
        <v>234.5</v>
      </c>
      <c r="C216" s="24" t="s">
        <v>55</v>
      </c>
      <c r="D216" s="9"/>
      <c r="E216" s="9"/>
      <c r="F216" s="9"/>
      <c r="G216" s="9"/>
      <c r="H216" s="10"/>
    </row>
    <row r="217" spans="1:8" ht="16.149999999999999" customHeight="1" x14ac:dyDescent="0.25">
      <c r="A217" s="90" t="s">
        <v>60</v>
      </c>
      <c r="B217" s="91"/>
      <c r="C217" s="91"/>
      <c r="D217" s="91"/>
      <c r="E217" s="91"/>
      <c r="F217" s="91"/>
      <c r="G217" s="91"/>
      <c r="H217" s="92"/>
    </row>
    <row r="218" spans="1:8" ht="16.149999999999999" customHeight="1" x14ac:dyDescent="0.25">
      <c r="A218" s="35"/>
      <c r="B218" s="54"/>
      <c r="C218" s="36"/>
      <c r="D218" s="37"/>
      <c r="E218" s="37"/>
      <c r="F218" s="37"/>
      <c r="G218" s="37"/>
      <c r="H218" s="38"/>
    </row>
    <row r="219" spans="1:8" x14ac:dyDescent="0.25">
      <c r="A219" s="35"/>
      <c r="B219" s="55"/>
      <c r="C219" s="49"/>
      <c r="D219" s="53"/>
      <c r="E219" s="53"/>
      <c r="F219" s="53"/>
      <c r="G219" s="53"/>
      <c r="H219" s="50"/>
    </row>
    <row r="220" spans="1:8" ht="17.25" x14ac:dyDescent="0.25">
      <c r="A220" s="26"/>
      <c r="B220" s="141" t="e">
        <f>(B206/B213)*(SQRT((B211+B212)/LN((B215+B216)/(B214+B216))))</f>
        <v>#DIV/0!</v>
      </c>
      <c r="C220" s="31" t="s">
        <v>53</v>
      </c>
      <c r="D220" s="32"/>
      <c r="E220" s="32"/>
      <c r="F220" s="32"/>
      <c r="G220" s="32"/>
      <c r="H220" s="33"/>
    </row>
    <row r="221" spans="1:8" ht="16.149999999999999" customHeight="1" x14ac:dyDescent="0.25">
      <c r="A221" s="13"/>
      <c r="B221" s="119"/>
      <c r="C221" s="36"/>
      <c r="D221" s="37"/>
      <c r="E221" s="37"/>
      <c r="F221" s="37"/>
      <c r="G221" s="37"/>
      <c r="H221" s="38"/>
    </row>
    <row r="222" spans="1:8" ht="16.149999999999999" customHeight="1" x14ac:dyDescent="0.25">
      <c r="A222" s="35"/>
      <c r="B222" s="137"/>
      <c r="C222" s="49"/>
      <c r="D222" s="53"/>
      <c r="E222" s="53"/>
      <c r="F222" s="53"/>
      <c r="G222" s="53"/>
      <c r="H222" s="50"/>
    </row>
    <row r="223" spans="1:8" ht="16.149999999999999" customHeight="1" x14ac:dyDescent="0.25">
      <c r="A223" s="26"/>
      <c r="B223" s="83"/>
      <c r="C223" s="31" t="s">
        <v>53</v>
      </c>
      <c r="D223" s="32"/>
      <c r="E223" s="32"/>
      <c r="F223" s="32"/>
      <c r="G223" s="32"/>
      <c r="H223" s="33"/>
    </row>
    <row r="224" spans="1:8" ht="16.149999999999999" customHeight="1" x14ac:dyDescent="0.25">
      <c r="A224" s="90" t="s">
        <v>57</v>
      </c>
      <c r="B224" s="91"/>
      <c r="C224" s="91"/>
      <c r="D224" s="91"/>
      <c r="E224" s="91"/>
      <c r="F224" s="91"/>
      <c r="G224" s="91"/>
      <c r="H224" s="92"/>
    </row>
    <row r="225" spans="1:12" ht="16.149999999999999" customHeight="1" x14ac:dyDescent="0.25">
      <c r="A225" s="35"/>
      <c r="B225" s="54"/>
      <c r="C225" s="36"/>
      <c r="D225" s="37"/>
      <c r="E225" s="37"/>
      <c r="F225" s="37"/>
      <c r="G225" s="37"/>
      <c r="H225" s="38"/>
    </row>
    <row r="226" spans="1:12" ht="16.149999999999999" customHeight="1" x14ac:dyDescent="0.25">
      <c r="A226" s="35"/>
      <c r="B226" s="55"/>
      <c r="C226" s="49"/>
      <c r="D226" s="53"/>
      <c r="E226" s="53"/>
      <c r="F226" s="53"/>
      <c r="G226" s="53"/>
      <c r="H226" s="50"/>
    </row>
    <row r="227" spans="1:12" ht="17.25" x14ac:dyDescent="0.25">
      <c r="A227" s="26"/>
      <c r="B227" s="140" t="e">
        <f>(B209/B213)*(SQRT((B211+B212)/LN((B215+B216)/(B214+B216))))</f>
        <v>#N/A</v>
      </c>
      <c r="C227" s="31" t="s">
        <v>53</v>
      </c>
      <c r="D227" s="32"/>
      <c r="E227" s="32"/>
      <c r="F227" s="32"/>
      <c r="G227" s="32"/>
      <c r="H227" s="33"/>
    </row>
    <row r="228" spans="1:12" x14ac:dyDescent="0.25">
      <c r="A228" s="13"/>
      <c r="B228" s="119"/>
      <c r="C228" s="36"/>
      <c r="D228" s="37"/>
      <c r="E228" s="37"/>
      <c r="F228" s="37"/>
      <c r="G228" s="37"/>
      <c r="H228" s="38"/>
    </row>
    <row r="229" spans="1:12" x14ac:dyDescent="0.25">
      <c r="A229" s="35"/>
      <c r="B229" s="137"/>
      <c r="C229" s="49"/>
      <c r="D229" s="53"/>
      <c r="E229" s="53"/>
      <c r="F229" s="53"/>
      <c r="G229" s="53"/>
      <c r="H229" s="50"/>
    </row>
    <row r="230" spans="1:12" ht="17.25" x14ac:dyDescent="0.25">
      <c r="A230" s="26"/>
      <c r="B230" s="83"/>
      <c r="C230" s="31" t="s">
        <v>53</v>
      </c>
      <c r="D230" s="32"/>
      <c r="E230" s="32"/>
      <c r="F230" s="32"/>
      <c r="G230" s="32"/>
      <c r="H230" s="33"/>
    </row>
    <row r="233" spans="1:12" x14ac:dyDescent="0.25">
      <c r="A233" s="84" t="s">
        <v>213</v>
      </c>
      <c r="B233" s="85"/>
      <c r="C233" s="85"/>
      <c r="D233" s="85"/>
      <c r="E233" s="85"/>
      <c r="F233" s="85"/>
      <c r="G233" s="85"/>
      <c r="H233" s="86"/>
    </row>
    <row r="234" spans="1:12" ht="18" x14ac:dyDescent="0.35">
      <c r="A234" s="6" t="s">
        <v>212</v>
      </c>
      <c r="B234" s="1"/>
      <c r="C234" s="8" t="s">
        <v>18</v>
      </c>
      <c r="D234" s="9"/>
      <c r="E234" s="9"/>
      <c r="F234" s="9"/>
      <c r="G234" s="9"/>
      <c r="H234" s="10"/>
      <c r="J234" t="s">
        <v>329</v>
      </c>
    </row>
    <row r="235" spans="1:12" x14ac:dyDescent="0.25">
      <c r="A235" s="6" t="s">
        <v>283</v>
      </c>
      <c r="B235" s="1"/>
      <c r="C235" s="8"/>
      <c r="D235" s="9"/>
      <c r="E235" s="9"/>
      <c r="F235" s="9"/>
      <c r="G235" s="9"/>
      <c r="H235" s="10"/>
    </row>
    <row r="236" spans="1:12" ht="18" x14ac:dyDescent="0.35">
      <c r="A236" s="6" t="s">
        <v>179</v>
      </c>
      <c r="B236" s="1">
        <f>K236+L236</f>
        <v>80</v>
      </c>
      <c r="C236" s="8" t="s">
        <v>72</v>
      </c>
      <c r="D236" s="9"/>
      <c r="E236" s="9"/>
      <c r="F236" s="9"/>
      <c r="G236" s="9"/>
      <c r="H236" s="10"/>
      <c r="J236">
        <f>IF(B235="TT",1,0)</f>
        <v>0</v>
      </c>
      <c r="K236">
        <f>IF(J236=0,80,0)</f>
        <v>80</v>
      </c>
      <c r="L236">
        <f>IF(J236=1,250,0)</f>
        <v>0</v>
      </c>
    </row>
    <row r="237" spans="1:12" ht="18" x14ac:dyDescent="0.35">
      <c r="A237" s="7" t="s">
        <v>73</v>
      </c>
      <c r="B237" s="62" t="e">
        <f>B236/B234</f>
        <v>#DIV/0!</v>
      </c>
      <c r="C237" s="24" t="s">
        <v>71</v>
      </c>
      <c r="D237" s="9"/>
      <c r="E237" s="9"/>
      <c r="F237" s="9"/>
      <c r="G237" s="9"/>
      <c r="H237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43"/>
  <sheetViews>
    <sheetView workbookViewId="0">
      <selection activeCell="L30" sqref="L30"/>
    </sheetView>
  </sheetViews>
  <sheetFormatPr defaultRowHeight="15" x14ac:dyDescent="0.25"/>
  <cols>
    <col min="1" max="1" width="30.710937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</cols>
  <sheetData>
    <row r="3" spans="1:10" x14ac:dyDescent="0.25">
      <c r="A3" s="84" t="s">
        <v>19</v>
      </c>
      <c r="B3" s="85" t="s">
        <v>229</v>
      </c>
      <c r="C3" s="85" t="s">
        <v>503</v>
      </c>
      <c r="D3" s="85"/>
      <c r="E3" s="85"/>
      <c r="F3" s="85"/>
      <c r="G3" s="85"/>
      <c r="H3" s="86"/>
    </row>
    <row r="4" spans="1:10" x14ac:dyDescent="0.25">
      <c r="A4" s="8" t="s">
        <v>431</v>
      </c>
      <c r="B4" s="182"/>
      <c r="C4" s="9" t="s">
        <v>432</v>
      </c>
      <c r="D4" s="9"/>
      <c r="E4" s="9"/>
      <c r="F4" s="9"/>
      <c r="G4" s="9"/>
      <c r="H4" s="10"/>
      <c r="I4" s="210"/>
    </row>
    <row r="5" spans="1:10" x14ac:dyDescent="0.25">
      <c r="A5" s="8" t="s">
        <v>4</v>
      </c>
      <c r="B5" s="182"/>
      <c r="C5" s="9"/>
      <c r="D5" s="9"/>
      <c r="E5" s="9"/>
      <c r="F5" s="9"/>
      <c r="G5" s="9"/>
      <c r="H5" s="10"/>
      <c r="I5" s="210"/>
      <c r="J5" t="s">
        <v>152</v>
      </c>
    </row>
    <row r="6" spans="1:10" ht="18" x14ac:dyDescent="0.35">
      <c r="A6" s="8" t="s">
        <v>441</v>
      </c>
      <c r="B6" s="71" t="e">
        <f>B4/B5</f>
        <v>#DIV/0!</v>
      </c>
      <c r="C6" s="9" t="s">
        <v>7</v>
      </c>
      <c r="D6" s="9"/>
      <c r="E6" s="9"/>
      <c r="F6" s="9"/>
      <c r="G6" s="9"/>
      <c r="H6" s="10"/>
    </row>
    <row r="7" spans="1:10" ht="18" x14ac:dyDescent="0.35">
      <c r="A7" s="6" t="s">
        <v>28</v>
      </c>
      <c r="B7" s="56"/>
      <c r="C7" s="8" t="s">
        <v>7</v>
      </c>
      <c r="D7" s="9"/>
      <c r="E7" s="9"/>
      <c r="F7" s="9"/>
      <c r="G7" s="9"/>
      <c r="H7" s="10"/>
      <c r="J7" t="s">
        <v>189</v>
      </c>
    </row>
    <row r="8" spans="1:10" ht="18" x14ac:dyDescent="0.35">
      <c r="A8" s="6" t="s">
        <v>27</v>
      </c>
      <c r="B8" s="1"/>
      <c r="C8" s="8" t="s">
        <v>18</v>
      </c>
      <c r="D8" s="9"/>
      <c r="E8" s="9"/>
      <c r="F8" s="9"/>
      <c r="G8" s="9"/>
      <c r="H8" s="10"/>
      <c r="I8" s="210"/>
    </row>
    <row r="9" spans="1:10" ht="18" x14ac:dyDescent="0.35">
      <c r="A9" s="6" t="s">
        <v>345</v>
      </c>
      <c r="B9" s="2">
        <f>((B7*10^3)*SQRT(3)*B8)*10^-3</f>
        <v>0</v>
      </c>
      <c r="C9" s="8" t="s">
        <v>7</v>
      </c>
      <c r="D9" s="9"/>
      <c r="E9" s="9"/>
      <c r="F9" s="9"/>
      <c r="G9" s="9"/>
      <c r="H9" s="10"/>
    </row>
    <row r="10" spans="1:10" ht="18" x14ac:dyDescent="0.35">
      <c r="A10" s="6" t="s">
        <v>28</v>
      </c>
      <c r="B10" s="56">
        <f>B7</f>
        <v>0</v>
      </c>
      <c r="C10" s="8" t="s">
        <v>7</v>
      </c>
      <c r="D10" s="9"/>
      <c r="E10" s="9"/>
      <c r="F10" s="9"/>
      <c r="G10" s="9"/>
      <c r="H10" s="10"/>
    </row>
    <row r="11" spans="1:10" ht="18" x14ac:dyDescent="0.35">
      <c r="A11" s="6" t="s">
        <v>28</v>
      </c>
      <c r="B11" s="56"/>
      <c r="C11" s="8" t="s">
        <v>7</v>
      </c>
      <c r="D11" s="9"/>
      <c r="E11" s="9"/>
      <c r="F11" s="9"/>
      <c r="G11" s="9"/>
      <c r="H11" s="10"/>
    </row>
    <row r="14" spans="1:10" x14ac:dyDescent="0.25">
      <c r="A14" s="84" t="s">
        <v>29</v>
      </c>
      <c r="B14" s="85" t="s">
        <v>229</v>
      </c>
      <c r="C14" s="85" t="str">
        <f>C3</f>
        <v>T0234</v>
      </c>
      <c r="D14" s="85"/>
      <c r="E14" s="85"/>
      <c r="F14" s="85"/>
      <c r="G14" s="85"/>
      <c r="H14" s="86"/>
    </row>
    <row r="15" spans="1:10" ht="18" x14ac:dyDescent="0.35">
      <c r="A15" s="6" t="s">
        <v>17</v>
      </c>
      <c r="B15" s="1"/>
      <c r="C15" s="8" t="s">
        <v>7</v>
      </c>
      <c r="D15" s="9"/>
      <c r="E15" s="9"/>
      <c r="F15" s="9"/>
      <c r="G15" s="9"/>
      <c r="H15" s="10"/>
      <c r="I15" s="210"/>
      <c r="J15" s="212"/>
    </row>
    <row r="16" spans="1:10" ht="18" x14ac:dyDescent="0.35">
      <c r="A16" s="6" t="s">
        <v>20</v>
      </c>
      <c r="B16" s="1">
        <f>[2]Impedanser!B4</f>
        <v>10</v>
      </c>
      <c r="C16" s="8" t="s">
        <v>8</v>
      </c>
      <c r="D16" s="9"/>
      <c r="E16" s="9"/>
      <c r="F16" s="9"/>
      <c r="G16" s="9"/>
      <c r="H16" s="10"/>
    </row>
    <row r="17" spans="1:10" ht="18" x14ac:dyDescent="0.35">
      <c r="A17" s="6" t="s">
        <v>21</v>
      </c>
      <c r="B17" s="1">
        <f>[2]Impedanser!B5</f>
        <v>0.4</v>
      </c>
      <c r="C17" s="8" t="s">
        <v>8</v>
      </c>
      <c r="D17" s="9"/>
      <c r="E17" s="9"/>
      <c r="F17" s="9"/>
      <c r="G17" s="9"/>
      <c r="H17" s="10"/>
    </row>
    <row r="18" spans="1:10" ht="18" x14ac:dyDescent="0.35">
      <c r="A18" s="6" t="s">
        <v>22</v>
      </c>
      <c r="B18" s="1"/>
      <c r="C18" s="8" t="s">
        <v>23</v>
      </c>
      <c r="D18" s="9"/>
      <c r="E18" s="9"/>
      <c r="F18" s="9"/>
      <c r="G18" s="9"/>
      <c r="H18" s="10"/>
      <c r="I18" s="210"/>
      <c r="J18" s="212"/>
    </row>
    <row r="19" spans="1:10" ht="18" hidden="1" x14ac:dyDescent="0.35">
      <c r="A19" s="6" t="s">
        <v>24</v>
      </c>
      <c r="B19" s="1"/>
      <c r="C19" s="8" t="s">
        <v>23</v>
      </c>
      <c r="D19" s="9"/>
      <c r="E19" s="9"/>
      <c r="F19" s="9"/>
      <c r="G19" s="9"/>
      <c r="H19" s="10"/>
      <c r="I19" s="210"/>
      <c r="J19" s="212"/>
    </row>
    <row r="20" spans="1:10" ht="18" hidden="1" x14ac:dyDescent="0.35">
      <c r="A20" s="6" t="s">
        <v>30</v>
      </c>
      <c r="B20" s="1"/>
      <c r="C20" s="8" t="s">
        <v>23</v>
      </c>
      <c r="D20" s="9"/>
      <c r="E20" s="9"/>
      <c r="F20" s="9"/>
      <c r="G20" s="9"/>
      <c r="H20" s="10"/>
      <c r="I20" s="210"/>
      <c r="J20" s="212"/>
    </row>
    <row r="21" spans="1:10" ht="18" x14ac:dyDescent="0.35">
      <c r="A21" s="6" t="s">
        <v>25</v>
      </c>
      <c r="B21" s="1"/>
      <c r="C21" s="8" t="s">
        <v>26</v>
      </c>
      <c r="D21" s="9"/>
      <c r="E21" s="9"/>
      <c r="F21" s="9"/>
      <c r="G21" s="9"/>
      <c r="H21" s="10"/>
      <c r="I21" s="210"/>
      <c r="J21" s="212"/>
    </row>
    <row r="22" spans="1:10" ht="18" hidden="1" x14ac:dyDescent="0.35">
      <c r="A22" s="6" t="s">
        <v>27</v>
      </c>
      <c r="B22" s="1"/>
      <c r="C22" s="8" t="s">
        <v>18</v>
      </c>
      <c r="D22" s="9"/>
      <c r="E22" s="9"/>
      <c r="F22" s="9"/>
      <c r="G22" s="9"/>
      <c r="H22" s="10"/>
    </row>
    <row r="23" spans="1:10" ht="18" x14ac:dyDescent="0.35">
      <c r="A23" s="6" t="s">
        <v>42</v>
      </c>
      <c r="B23" s="19">
        <f>B16/B17</f>
        <v>25</v>
      </c>
      <c r="C23" s="8"/>
      <c r="D23" s="9"/>
      <c r="E23" s="9"/>
      <c r="F23" s="9"/>
      <c r="G23" s="9"/>
      <c r="H23" s="10"/>
    </row>
    <row r="26" spans="1:10" ht="18" x14ac:dyDescent="0.35">
      <c r="A26" s="168" t="s">
        <v>187</v>
      </c>
      <c r="B26" s="87" t="s">
        <v>229</v>
      </c>
      <c r="C26" s="85" t="str">
        <f>C14</f>
        <v>T0234</v>
      </c>
      <c r="D26" s="85"/>
      <c r="E26" s="85"/>
      <c r="F26" s="85"/>
      <c r="G26" s="85"/>
      <c r="H26" s="86"/>
    </row>
    <row r="27" spans="1:10" ht="18" x14ac:dyDescent="0.35">
      <c r="A27" s="8" t="s">
        <v>20</v>
      </c>
      <c r="B27" s="10"/>
      <c r="C27" s="77">
        <f>B16</f>
        <v>10</v>
      </c>
      <c r="D27" s="8" t="s">
        <v>8</v>
      </c>
      <c r="E27" s="9"/>
      <c r="F27" s="9"/>
      <c r="G27" s="9"/>
      <c r="H27" s="10"/>
    </row>
    <row r="28" spans="1:10" ht="18" x14ac:dyDescent="0.35">
      <c r="A28" s="8" t="s">
        <v>21</v>
      </c>
      <c r="B28" s="10"/>
      <c r="C28" s="77">
        <f>B17</f>
        <v>0.4</v>
      </c>
      <c r="D28" s="8" t="s">
        <v>8</v>
      </c>
      <c r="E28" s="9"/>
      <c r="F28" s="9"/>
      <c r="G28" s="9"/>
      <c r="H28" s="10"/>
    </row>
    <row r="29" spans="1:10" ht="18" x14ac:dyDescent="0.35">
      <c r="A29" s="8" t="s">
        <v>42</v>
      </c>
      <c r="B29" s="10"/>
      <c r="C29" s="169">
        <f>C27/C28</f>
        <v>25</v>
      </c>
      <c r="D29" s="8"/>
      <c r="E29" s="9"/>
      <c r="F29" s="9"/>
      <c r="G29" s="9"/>
      <c r="H29" s="10"/>
    </row>
    <row r="30" spans="1:10" x14ac:dyDescent="0.25">
      <c r="A30" s="49" t="s">
        <v>153</v>
      </c>
      <c r="B30" s="50"/>
      <c r="C30" s="77">
        <v>1.1000000000000001</v>
      </c>
      <c r="D30" s="8"/>
      <c r="E30" s="9"/>
      <c r="F30" s="9"/>
      <c r="G30" s="9"/>
      <c r="H30" s="10"/>
    </row>
    <row r="31" spans="1:10" ht="18" x14ac:dyDescent="0.35">
      <c r="A31" s="8" t="s">
        <v>17</v>
      </c>
      <c r="B31" s="10"/>
      <c r="C31" s="77">
        <f>B15</f>
        <v>0</v>
      </c>
      <c r="D31" s="8" t="s">
        <v>7</v>
      </c>
      <c r="E31" s="9"/>
      <c r="F31" s="9"/>
      <c r="G31" s="9"/>
      <c r="H31" s="10"/>
    </row>
    <row r="32" spans="1:10" ht="18" x14ac:dyDescent="0.35">
      <c r="A32" s="8" t="s">
        <v>20</v>
      </c>
      <c r="B32" s="10"/>
      <c r="C32" s="77">
        <v>10</v>
      </c>
      <c r="D32" s="8" t="s">
        <v>8</v>
      </c>
      <c r="E32" s="9"/>
      <c r="F32" s="9"/>
      <c r="G32" s="9"/>
      <c r="H32" s="10"/>
    </row>
    <row r="33" spans="1:8" ht="18" x14ac:dyDescent="0.35">
      <c r="A33" s="31" t="s">
        <v>188</v>
      </c>
      <c r="B33" s="33"/>
      <c r="C33" s="78">
        <f>(B15*10^3)/((B16*10^3)*SQRT(3))*C30</f>
        <v>0</v>
      </c>
      <c r="D33" s="8" t="s">
        <v>18</v>
      </c>
      <c r="E33" s="9"/>
      <c r="F33" s="9"/>
      <c r="G33" s="9"/>
      <c r="H33" s="10"/>
    </row>
    <row r="34" spans="1:8" ht="18" x14ac:dyDescent="0.35">
      <c r="A34" s="8" t="s">
        <v>116</v>
      </c>
      <c r="B34" s="10"/>
      <c r="C34" s="78">
        <f>C33*B23</f>
        <v>0</v>
      </c>
      <c r="D34" s="8" t="s">
        <v>18</v>
      </c>
      <c r="E34" s="9"/>
      <c r="F34" s="9"/>
      <c r="G34" s="9"/>
      <c r="H34" s="10"/>
    </row>
    <row r="37" spans="1:8" x14ac:dyDescent="0.25">
      <c r="A37" s="84" t="s">
        <v>256</v>
      </c>
      <c r="B37" s="85" t="s">
        <v>258</v>
      </c>
      <c r="C37" s="85" t="str">
        <f>C26</f>
        <v>T0234</v>
      </c>
      <c r="D37" s="85"/>
      <c r="E37" s="85"/>
      <c r="F37" s="85"/>
      <c r="G37" s="85"/>
      <c r="H37" s="86"/>
    </row>
    <row r="38" spans="1:8" ht="18" x14ac:dyDescent="0.35">
      <c r="A38" s="6" t="s">
        <v>442</v>
      </c>
      <c r="B38" s="28">
        <f>C33</f>
        <v>0</v>
      </c>
      <c r="C38" s="8" t="s">
        <v>18</v>
      </c>
      <c r="D38" s="9"/>
      <c r="E38" s="9"/>
      <c r="F38" s="9"/>
      <c r="G38" s="9"/>
      <c r="H38" s="10"/>
    </row>
    <row r="39" spans="1:8" x14ac:dyDescent="0.25">
      <c r="A39" s="6" t="s">
        <v>443</v>
      </c>
      <c r="B39" s="60" t="s">
        <v>444</v>
      </c>
      <c r="C39" s="66" t="s">
        <v>46</v>
      </c>
      <c r="D39" s="66"/>
      <c r="E39" s="66" t="s">
        <v>18</v>
      </c>
      <c r="F39" s="66" t="s">
        <v>445</v>
      </c>
      <c r="G39" s="61"/>
      <c r="H39" s="6"/>
    </row>
    <row r="42" spans="1:8" x14ac:dyDescent="0.25">
      <c r="A42" s="84" t="s">
        <v>100</v>
      </c>
      <c r="B42" s="85" t="s">
        <v>229</v>
      </c>
      <c r="C42" s="85" t="str">
        <f>C26</f>
        <v>T0234</v>
      </c>
      <c r="D42" s="85"/>
      <c r="E42" s="85"/>
      <c r="F42" s="85"/>
      <c r="G42" s="85"/>
      <c r="H42" s="86"/>
    </row>
    <row r="43" spans="1:8" x14ac:dyDescent="0.25">
      <c r="A43" s="6" t="s">
        <v>204</v>
      </c>
      <c r="B43" s="89">
        <v>3</v>
      </c>
      <c r="C43" s="102"/>
      <c r="D43" s="103"/>
      <c r="E43" s="103"/>
      <c r="F43" s="103"/>
      <c r="G43" s="103"/>
      <c r="H43" s="104"/>
    </row>
    <row r="44" spans="1:8" ht="18" x14ac:dyDescent="0.35">
      <c r="A44" s="6" t="s">
        <v>191</v>
      </c>
      <c r="B44" s="1"/>
      <c r="C44" s="8" t="s">
        <v>18</v>
      </c>
      <c r="D44" s="9"/>
      <c r="E44" s="9"/>
      <c r="F44" s="9"/>
      <c r="G44" s="9"/>
      <c r="H44" s="10"/>
    </row>
    <row r="45" spans="1:8" ht="18" x14ac:dyDescent="0.35">
      <c r="A45" s="6" t="s">
        <v>192</v>
      </c>
      <c r="B45" s="1"/>
      <c r="C45" s="8" t="s">
        <v>18</v>
      </c>
      <c r="D45" s="9"/>
      <c r="E45" s="9"/>
      <c r="F45" s="9"/>
      <c r="G45" s="9"/>
      <c r="H45" s="10"/>
    </row>
    <row r="46" spans="1:8" ht="16.149999999999999" customHeight="1" x14ac:dyDescent="0.25"/>
    <row r="47" spans="1:8" ht="16.149999999999999" customHeight="1" x14ac:dyDescent="0.25"/>
    <row r="48" spans="1:8" ht="16.149999999999999" customHeight="1" x14ac:dyDescent="0.25">
      <c r="A48" s="84" t="s">
        <v>228</v>
      </c>
      <c r="B48" s="85"/>
      <c r="C48" s="85"/>
      <c r="D48" s="85"/>
      <c r="E48" s="85"/>
      <c r="F48" s="85"/>
      <c r="G48" s="85"/>
      <c r="H48" s="86"/>
    </row>
    <row r="49" spans="1:8" ht="16.149999999999999" customHeight="1" x14ac:dyDescent="0.35">
      <c r="A49" s="6" t="s">
        <v>20</v>
      </c>
      <c r="B49" s="1">
        <v>10</v>
      </c>
      <c r="C49" s="8" t="s">
        <v>8</v>
      </c>
      <c r="D49" s="9"/>
      <c r="E49" s="9"/>
      <c r="F49" s="9"/>
      <c r="G49" s="9"/>
      <c r="H49" s="10"/>
    </row>
    <row r="50" spans="1:8" ht="16.149999999999999" customHeight="1" x14ac:dyDescent="0.25">
      <c r="A50" s="127" t="s">
        <v>230</v>
      </c>
      <c r="B50" s="127" t="s">
        <v>18</v>
      </c>
      <c r="C50" s="127" t="s">
        <v>238</v>
      </c>
      <c r="D50" s="127" t="s">
        <v>239</v>
      </c>
      <c r="E50" s="127" t="s">
        <v>240</v>
      </c>
      <c r="F50" s="127" t="s">
        <v>236</v>
      </c>
      <c r="G50" s="90" t="s">
        <v>237</v>
      </c>
      <c r="H50" s="92"/>
    </row>
    <row r="51" spans="1:8" ht="16.149999999999999" customHeight="1" x14ac:dyDescent="0.35">
      <c r="A51" s="6" t="s">
        <v>232</v>
      </c>
      <c r="B51" s="1"/>
      <c r="C51" s="1"/>
      <c r="D51" s="1"/>
      <c r="E51" s="1"/>
      <c r="F51" s="1"/>
      <c r="G51" s="1"/>
      <c r="H51" s="6"/>
    </row>
    <row r="52" spans="1:8" ht="16.149999999999999" customHeight="1" x14ac:dyDescent="0.35">
      <c r="A52" s="6" t="s">
        <v>243</v>
      </c>
      <c r="B52" s="1"/>
      <c r="C52" s="1"/>
      <c r="D52" s="1"/>
      <c r="E52" s="1"/>
      <c r="F52" s="1"/>
      <c r="G52" s="1"/>
      <c r="H52" s="6"/>
    </row>
    <row r="53" spans="1:8" ht="16.149999999999999" customHeight="1" x14ac:dyDescent="0.25">
      <c r="A53" s="6" t="s">
        <v>241</v>
      </c>
      <c r="B53" s="1">
        <v>3</v>
      </c>
      <c r="C53" s="1">
        <v>3</v>
      </c>
      <c r="D53" s="1">
        <v>3</v>
      </c>
      <c r="E53" s="1">
        <v>3</v>
      </c>
      <c r="F53" s="1">
        <v>3</v>
      </c>
      <c r="G53" s="1">
        <v>3</v>
      </c>
      <c r="H53" s="6"/>
    </row>
    <row r="54" spans="1:8" ht="16.149999999999999" customHeight="1" x14ac:dyDescent="0.35">
      <c r="A54" s="6" t="s">
        <v>235</v>
      </c>
      <c r="B54" s="3">
        <f t="shared" ref="B54:G54" si="0">(B52*10^3)/(SQRT(3)*($B$49*10^3))+B51</f>
        <v>0</v>
      </c>
      <c r="C54" s="3">
        <f t="shared" si="0"/>
        <v>0</v>
      </c>
      <c r="D54" s="3">
        <f t="shared" si="0"/>
        <v>0</v>
      </c>
      <c r="E54" s="3">
        <f t="shared" si="0"/>
        <v>0</v>
      </c>
      <c r="F54" s="3">
        <f t="shared" si="0"/>
        <v>0</v>
      </c>
      <c r="G54" s="3">
        <f t="shared" si="0"/>
        <v>0</v>
      </c>
      <c r="H54" s="121"/>
    </row>
    <row r="55" spans="1:8" ht="16.149999999999999" customHeight="1" x14ac:dyDescent="0.25">
      <c r="A55" s="6" t="s">
        <v>244</v>
      </c>
      <c r="B55" s="129">
        <f>'IM. Trafo.'!B7</f>
        <v>0</v>
      </c>
      <c r="C55" s="129">
        <f>B55</f>
        <v>0</v>
      </c>
      <c r="D55" s="129">
        <f t="shared" ref="D55:G55" si="1">C55</f>
        <v>0</v>
      </c>
      <c r="E55" s="129">
        <f t="shared" si="1"/>
        <v>0</v>
      </c>
      <c r="F55" s="129">
        <f t="shared" si="1"/>
        <v>0</v>
      </c>
      <c r="G55" s="129">
        <f t="shared" si="1"/>
        <v>0</v>
      </c>
      <c r="H55" s="6"/>
    </row>
    <row r="56" spans="1:8" ht="16.149999999999999" customHeight="1" x14ac:dyDescent="0.25">
      <c r="A56" s="6" t="s">
        <v>242</v>
      </c>
      <c r="B56" s="1"/>
      <c r="C56" s="1"/>
      <c r="D56" s="1"/>
      <c r="E56" s="1"/>
      <c r="F56" s="1"/>
      <c r="G56" s="1"/>
      <c r="H56" s="6"/>
    </row>
    <row r="57" spans="1:8" ht="16.149999999999999" customHeight="1" x14ac:dyDescent="0.25">
      <c r="A57" s="125" t="s">
        <v>245</v>
      </c>
      <c r="B57" s="126"/>
      <c r="C57" s="126"/>
      <c r="D57" s="126"/>
      <c r="E57" s="126"/>
      <c r="F57" s="126"/>
      <c r="G57" s="126"/>
      <c r="H57" s="18"/>
    </row>
    <row r="58" spans="1:8" ht="16.149999999999999" customHeight="1" x14ac:dyDescent="0.25">
      <c r="A58" s="7" t="s">
        <v>234</v>
      </c>
      <c r="B58" s="2">
        <f>C53*(C54+D54+E54)^2*C55*C56</f>
        <v>0</v>
      </c>
      <c r="C58" s="8" t="s">
        <v>26</v>
      </c>
      <c r="D58" s="9"/>
      <c r="E58" s="9"/>
      <c r="F58" s="9"/>
      <c r="G58" s="9"/>
      <c r="H58" s="10"/>
    </row>
    <row r="59" spans="1:8" x14ac:dyDescent="0.25">
      <c r="A59" s="7" t="s">
        <v>233</v>
      </c>
      <c r="B59" s="2">
        <f>D53*(D54+E54)^2*D55*D56</f>
        <v>0</v>
      </c>
      <c r="C59" s="8" t="s">
        <v>26</v>
      </c>
      <c r="D59" s="9"/>
      <c r="E59" s="9"/>
      <c r="F59" s="9"/>
      <c r="G59" s="9"/>
      <c r="H59" s="10"/>
    </row>
    <row r="60" spans="1:8" x14ac:dyDescent="0.25">
      <c r="A60" s="7" t="s">
        <v>231</v>
      </c>
      <c r="B60" s="128">
        <f>E53*(E54)^2*E55*E56</f>
        <v>0</v>
      </c>
      <c r="C60" s="8" t="s">
        <v>26</v>
      </c>
      <c r="D60" s="9"/>
      <c r="E60" s="9"/>
      <c r="F60" s="9"/>
      <c r="G60" s="9"/>
      <c r="H60" s="10"/>
    </row>
    <row r="61" spans="1:8" x14ac:dyDescent="0.25">
      <c r="A61" s="7" t="s">
        <v>246</v>
      </c>
      <c r="B61" s="19">
        <f>F53*(F54+G54)^2*F55*F56</f>
        <v>0</v>
      </c>
      <c r="C61" s="8" t="s">
        <v>26</v>
      </c>
      <c r="D61" s="9"/>
      <c r="E61" s="9"/>
      <c r="F61" s="9"/>
      <c r="G61" s="9"/>
      <c r="H61" s="10"/>
    </row>
    <row r="62" spans="1:8" x14ac:dyDescent="0.25">
      <c r="A62" s="7" t="s">
        <v>247</v>
      </c>
      <c r="B62" s="19">
        <f>G53*(G54)^2*G55*G56</f>
        <v>0</v>
      </c>
      <c r="C62" s="8" t="s">
        <v>26</v>
      </c>
      <c r="D62" s="9"/>
      <c r="E62" s="9"/>
      <c r="F62" s="9"/>
      <c r="G62" s="9"/>
      <c r="H62" s="10"/>
    </row>
    <row r="63" spans="1:8" ht="18" x14ac:dyDescent="0.35">
      <c r="A63" s="7" t="s">
        <v>248</v>
      </c>
      <c r="B63" s="2">
        <f>SUM(B58:B62)</f>
        <v>0</v>
      </c>
      <c r="C63" s="8" t="s">
        <v>26</v>
      </c>
      <c r="D63" s="9"/>
      <c r="E63" s="9"/>
      <c r="F63" s="9"/>
      <c r="G63" s="9"/>
      <c r="H63" s="10"/>
    </row>
    <row r="64" spans="1:8" ht="18" x14ac:dyDescent="0.35">
      <c r="A64" s="7" t="s">
        <v>249</v>
      </c>
      <c r="B64" s="62">
        <f>24*B63</f>
        <v>0</v>
      </c>
      <c r="C64" s="8" t="s">
        <v>250</v>
      </c>
      <c r="D64" s="9"/>
      <c r="E64" s="9"/>
      <c r="F64" s="9"/>
      <c r="G64" s="9"/>
      <c r="H64" s="10"/>
    </row>
    <row r="69" spans="1:10" x14ac:dyDescent="0.25">
      <c r="A69" t="s">
        <v>203</v>
      </c>
      <c r="J69" t="s">
        <v>190</v>
      </c>
    </row>
    <row r="70" spans="1:10" ht="18" x14ac:dyDescent="0.35">
      <c r="A70" s="84" t="s">
        <v>205</v>
      </c>
      <c r="B70" s="85" t="s">
        <v>229</v>
      </c>
      <c r="C70" s="85" t="str">
        <f>C3</f>
        <v>T0234</v>
      </c>
      <c r="D70" s="85"/>
      <c r="E70" s="85"/>
      <c r="F70" s="85"/>
      <c r="G70" s="85"/>
      <c r="H70" s="86"/>
    </row>
    <row r="71" spans="1:10" ht="18" x14ac:dyDescent="0.35">
      <c r="A71" s="6" t="s">
        <v>21</v>
      </c>
      <c r="B71" s="1">
        <v>0.4</v>
      </c>
      <c r="C71" s="36" t="s">
        <v>8</v>
      </c>
      <c r="D71" s="37"/>
      <c r="E71" s="37"/>
      <c r="F71" s="37"/>
      <c r="G71" s="37"/>
      <c r="H71" s="38"/>
    </row>
    <row r="72" spans="1:10" ht="18" x14ac:dyDescent="0.35">
      <c r="A72" s="58" t="s">
        <v>221</v>
      </c>
      <c r="B72" s="138" t="e">
        <f>'IM. Trafo.'!B44</f>
        <v>#N/A</v>
      </c>
      <c r="C72" s="24" t="s">
        <v>5</v>
      </c>
      <c r="D72" s="103"/>
      <c r="E72" s="103"/>
      <c r="F72" s="103"/>
      <c r="G72" s="103"/>
      <c r="H72" s="104"/>
    </row>
    <row r="73" spans="1:10" ht="18" x14ac:dyDescent="0.35">
      <c r="A73" s="6" t="s">
        <v>224</v>
      </c>
      <c r="B73" s="3" t="e">
        <f>(B71)/(SQRT(3)*B72)</f>
        <v>#N/A</v>
      </c>
      <c r="C73" s="31" t="s">
        <v>82</v>
      </c>
      <c r="D73" s="32"/>
      <c r="E73" s="32"/>
      <c r="F73" s="32"/>
      <c r="G73" s="32"/>
      <c r="H73" s="33"/>
    </row>
    <row r="75" spans="1:10" ht="18" x14ac:dyDescent="0.35">
      <c r="A75" s="84" t="s">
        <v>354</v>
      </c>
      <c r="B75" s="85" t="s">
        <v>229</v>
      </c>
      <c r="C75" s="85" t="str">
        <f>C70</f>
        <v>T0234</v>
      </c>
      <c r="D75" s="85"/>
      <c r="E75" s="85"/>
      <c r="F75" s="85"/>
      <c r="G75" s="85"/>
      <c r="H75" s="86"/>
    </row>
    <row r="76" spans="1:10" ht="18" x14ac:dyDescent="0.35">
      <c r="A76" s="6" t="s">
        <v>222</v>
      </c>
      <c r="B76" s="28" t="e">
        <f>B73</f>
        <v>#N/A</v>
      </c>
      <c r="C76" s="31" t="s">
        <v>82</v>
      </c>
      <c r="D76" s="32"/>
      <c r="E76" s="32"/>
      <c r="F76" s="32"/>
      <c r="G76" s="32"/>
      <c r="H76" s="33"/>
    </row>
    <row r="77" spans="1:10" ht="18" x14ac:dyDescent="0.35">
      <c r="A77" s="6" t="s">
        <v>335</v>
      </c>
      <c r="B77" s="2" t="e">
        <f>(SQRT(3)/2)*B73</f>
        <v>#N/A</v>
      </c>
      <c r="C77" s="8" t="s">
        <v>82</v>
      </c>
      <c r="D77" s="9"/>
      <c r="E77" s="9"/>
      <c r="F77" s="9"/>
      <c r="G77" s="9"/>
      <c r="H77" s="10"/>
    </row>
    <row r="80" spans="1:10" ht="18" x14ac:dyDescent="0.35">
      <c r="A80" s="84" t="s">
        <v>353</v>
      </c>
      <c r="B80" s="85" t="s">
        <v>229</v>
      </c>
      <c r="C80" s="85" t="str">
        <f>C73</f>
        <v>kA</v>
      </c>
      <c r="D80" s="85"/>
      <c r="E80" s="85"/>
      <c r="F80" s="85"/>
      <c r="G80" s="85"/>
      <c r="H80" s="86"/>
    </row>
    <row r="81" spans="1:8" ht="18" x14ac:dyDescent="0.35">
      <c r="A81" s="6" t="s">
        <v>21</v>
      </c>
      <c r="B81" s="1">
        <v>0.4</v>
      </c>
      <c r="C81" s="36" t="s">
        <v>8</v>
      </c>
      <c r="D81" s="37"/>
      <c r="E81" s="37"/>
      <c r="F81" s="37"/>
      <c r="G81" s="37"/>
      <c r="H81" s="38"/>
    </row>
    <row r="82" spans="1:8" ht="18" x14ac:dyDescent="0.35">
      <c r="A82" s="58" t="s">
        <v>355</v>
      </c>
      <c r="B82" s="138" t="e">
        <f>'IM. Trafo.'!B54</f>
        <v>#N/A</v>
      </c>
      <c r="C82" s="24" t="s">
        <v>5</v>
      </c>
      <c r="D82" s="103"/>
      <c r="E82" s="103"/>
      <c r="F82" s="103"/>
      <c r="G82" s="103"/>
      <c r="H82" s="104"/>
    </row>
    <row r="83" spans="1:8" ht="18" x14ac:dyDescent="0.35">
      <c r="A83" s="6" t="s">
        <v>356</v>
      </c>
      <c r="B83" s="3" t="e">
        <f>(B81)/(SQRT(3)*B82)</f>
        <v>#N/A</v>
      </c>
      <c r="C83" s="31" t="s">
        <v>82</v>
      </c>
      <c r="D83" s="32"/>
      <c r="E83" s="32"/>
      <c r="F83" s="32"/>
      <c r="G83" s="32"/>
      <c r="H83" s="33"/>
    </row>
    <row r="85" spans="1:8" ht="18" x14ac:dyDescent="0.35">
      <c r="A85" s="84" t="s">
        <v>206</v>
      </c>
      <c r="B85" s="85" t="s">
        <v>229</v>
      </c>
      <c r="C85" s="85" t="str">
        <f>C80</f>
        <v>kA</v>
      </c>
      <c r="D85" s="85"/>
      <c r="E85" s="85"/>
      <c r="F85" s="85"/>
      <c r="G85" s="85"/>
      <c r="H85" s="86"/>
    </row>
    <row r="86" spans="1:8" ht="18" x14ac:dyDescent="0.35">
      <c r="A86" s="6" t="s">
        <v>357</v>
      </c>
      <c r="B86" s="28" t="e">
        <f>B83</f>
        <v>#N/A</v>
      </c>
      <c r="C86" s="31" t="s">
        <v>82</v>
      </c>
      <c r="D86" s="32"/>
      <c r="E86" s="32"/>
      <c r="F86" s="32"/>
      <c r="G86" s="32"/>
      <c r="H86" s="33"/>
    </row>
    <row r="87" spans="1:8" ht="18" x14ac:dyDescent="0.35">
      <c r="A87" s="6" t="s">
        <v>358</v>
      </c>
      <c r="B87" s="2" t="e">
        <f>(SQRT(3)/2)*B83</f>
        <v>#N/A</v>
      </c>
      <c r="C87" s="8" t="s">
        <v>82</v>
      </c>
      <c r="D87" s="9"/>
      <c r="E87" s="9"/>
      <c r="F87" s="9"/>
      <c r="G87" s="9"/>
      <c r="H87" s="10"/>
    </row>
    <row r="94" spans="1:8" x14ac:dyDescent="0.25">
      <c r="A94" s="98" t="s">
        <v>198</v>
      </c>
      <c r="B94" s="85" t="s">
        <v>229</v>
      </c>
      <c r="C94" s="99" t="str">
        <f>C75</f>
        <v>T0234</v>
      </c>
      <c r="D94" s="99"/>
      <c r="E94" s="99"/>
      <c r="F94" s="99"/>
      <c r="G94" s="99"/>
      <c r="H94" s="100"/>
    </row>
    <row r="95" spans="1:8" ht="18" x14ac:dyDescent="0.35">
      <c r="A95" s="6" t="s">
        <v>21</v>
      </c>
      <c r="B95" s="1">
        <v>0.4</v>
      </c>
      <c r="C95" s="36" t="s">
        <v>8</v>
      </c>
      <c r="D95" s="37"/>
      <c r="E95" s="37"/>
      <c r="F95" s="37"/>
      <c r="G95" s="37"/>
      <c r="H95" s="38"/>
    </row>
    <row r="96" spans="1:8" ht="18" x14ac:dyDescent="0.35">
      <c r="A96" s="58" t="s">
        <v>221</v>
      </c>
      <c r="B96" s="138" t="e">
        <f>'IM. Trafo.'!B44</f>
        <v>#N/A</v>
      </c>
      <c r="C96" s="24" t="s">
        <v>5</v>
      </c>
      <c r="D96" s="103"/>
      <c r="E96" s="103"/>
      <c r="F96" s="103"/>
      <c r="G96" s="103"/>
      <c r="H96" s="104"/>
    </row>
    <row r="97" spans="1:8" ht="18" x14ac:dyDescent="0.35">
      <c r="A97" s="6" t="s">
        <v>225</v>
      </c>
      <c r="B97" s="3" t="e">
        <f>(B95)/(SQRT(3)*B96)</f>
        <v>#N/A</v>
      </c>
      <c r="C97" s="8" t="s">
        <v>82</v>
      </c>
      <c r="D97" s="9"/>
      <c r="E97" s="9"/>
      <c r="F97" s="9"/>
      <c r="G97" s="9"/>
      <c r="H97" s="10"/>
    </row>
    <row r="98" spans="1:8" ht="18" x14ac:dyDescent="0.35">
      <c r="A98" s="6" t="s">
        <v>199</v>
      </c>
      <c r="B98" s="34" t="e">
        <f>((B95*10^3)*SQRT(3)*B97)*10^-3</f>
        <v>#N/A</v>
      </c>
      <c r="C98" s="9" t="s">
        <v>7</v>
      </c>
      <c r="D98" s="9"/>
      <c r="E98" s="9"/>
      <c r="F98" s="9"/>
      <c r="G98" s="9"/>
      <c r="H98" s="10"/>
    </row>
    <row r="100" spans="1:8" x14ac:dyDescent="0.25">
      <c r="A100" s="98" t="s">
        <v>197</v>
      </c>
      <c r="B100" s="85" t="s">
        <v>229</v>
      </c>
      <c r="C100" s="99" t="str">
        <f>C94</f>
        <v>T0234</v>
      </c>
      <c r="D100" s="99"/>
      <c r="E100" s="99"/>
      <c r="F100" s="99"/>
      <c r="G100" s="99"/>
      <c r="H100" s="100"/>
    </row>
    <row r="101" spans="1:8" ht="18" x14ac:dyDescent="0.35">
      <c r="A101" s="6" t="s">
        <v>21</v>
      </c>
      <c r="B101" s="1">
        <v>0.4</v>
      </c>
      <c r="C101" s="36" t="s">
        <v>8</v>
      </c>
      <c r="D101" s="37"/>
      <c r="E101" s="37"/>
      <c r="F101" s="37"/>
      <c r="G101" s="37"/>
      <c r="H101" s="38"/>
    </row>
    <row r="102" spans="1:8" ht="18" x14ac:dyDescent="0.35">
      <c r="A102" s="58" t="s">
        <v>227</v>
      </c>
      <c r="B102" s="138" t="e">
        <f>'IM. Trafo.'!B54</f>
        <v>#N/A</v>
      </c>
      <c r="C102" s="24" t="s">
        <v>5</v>
      </c>
      <c r="D102" s="103"/>
      <c r="E102" s="103"/>
      <c r="F102" s="103"/>
      <c r="G102" s="103"/>
      <c r="H102" s="104"/>
    </row>
    <row r="103" spans="1:8" ht="18" x14ac:dyDescent="0.35">
      <c r="A103" s="6" t="s">
        <v>226</v>
      </c>
      <c r="B103" s="3" t="e">
        <f>B101/(SQRT(3)*B102)</f>
        <v>#N/A</v>
      </c>
      <c r="C103" s="8" t="s">
        <v>82</v>
      </c>
      <c r="D103" s="9"/>
      <c r="E103" s="9"/>
      <c r="F103" s="9"/>
      <c r="G103" s="9"/>
      <c r="H103" s="10"/>
    </row>
    <row r="104" spans="1:8" ht="18" x14ac:dyDescent="0.35">
      <c r="A104" s="6" t="s">
        <v>56</v>
      </c>
      <c r="B104" s="116" t="e">
        <f>((B101^3)*SQRT(3)*B103)*10^-3</f>
        <v>#N/A</v>
      </c>
      <c r="C104" s="9" t="s">
        <v>7</v>
      </c>
      <c r="D104" s="9"/>
      <c r="E104" s="9"/>
      <c r="F104" s="9"/>
      <c r="G104" s="9"/>
      <c r="H104" s="10"/>
    </row>
    <row r="108" spans="1:8" ht="15" customHeight="1" x14ac:dyDescent="0.25"/>
    <row r="118" spans="5:5" ht="16.149999999999999" customHeight="1" x14ac:dyDescent="0.25"/>
    <row r="128" spans="5:5" x14ac:dyDescent="0.25">
      <c r="E128" s="68"/>
    </row>
    <row r="129" spans="1:7" ht="16.149999999999999" customHeight="1" x14ac:dyDescent="0.25">
      <c r="E129" s="68"/>
    </row>
    <row r="130" spans="1:7" x14ac:dyDescent="0.25">
      <c r="E130" s="68"/>
    </row>
    <row r="131" spans="1:7" x14ac:dyDescent="0.25">
      <c r="E131" s="68"/>
    </row>
    <row r="132" spans="1:7" x14ac:dyDescent="0.25">
      <c r="E132" s="68"/>
    </row>
    <row r="133" spans="1:7" x14ac:dyDescent="0.25">
      <c r="A133" t="s">
        <v>106</v>
      </c>
      <c r="G133" t="s">
        <v>103</v>
      </c>
    </row>
    <row r="134" spans="1:7" ht="18" x14ac:dyDescent="0.35">
      <c r="A134" t="s">
        <v>17</v>
      </c>
      <c r="B134">
        <v>1000</v>
      </c>
      <c r="C134" t="s">
        <v>7</v>
      </c>
    </row>
    <row r="135" spans="1:7" x14ac:dyDescent="0.25">
      <c r="A135" t="s">
        <v>101</v>
      </c>
      <c r="B135">
        <v>700</v>
      </c>
      <c r="C135" t="s">
        <v>7</v>
      </c>
    </row>
    <row r="136" spans="1:7" x14ac:dyDescent="0.25">
      <c r="A136" t="s">
        <v>12</v>
      </c>
      <c r="B136">
        <v>0.02</v>
      </c>
    </row>
    <row r="137" spans="1:7" x14ac:dyDescent="0.25">
      <c r="A137" t="s">
        <v>3</v>
      </c>
    </row>
    <row r="138" spans="1:7" x14ac:dyDescent="0.25">
      <c r="A138" t="s">
        <v>104</v>
      </c>
      <c r="B138">
        <v>0.8</v>
      </c>
    </row>
    <row r="139" spans="1:7" ht="18" x14ac:dyDescent="0.35">
      <c r="A139" t="s">
        <v>105</v>
      </c>
      <c r="B139" s="68">
        <f>B134*B138</f>
        <v>800</v>
      </c>
      <c r="C139" t="s">
        <v>7</v>
      </c>
    </row>
    <row r="141" spans="1:7" x14ac:dyDescent="0.25">
      <c r="A141" t="s">
        <v>107</v>
      </c>
    </row>
    <row r="142" spans="1:7" x14ac:dyDescent="0.25">
      <c r="A142" s="69"/>
    </row>
    <row r="143" spans="1:7" x14ac:dyDescent="0.25">
      <c r="A143" s="30"/>
      <c r="B143">
        <f>-NPER(B136,B135,B134,B139)</f>
        <v>2.5902267219585529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zoomScaleNormal="100" workbookViewId="0">
      <selection activeCell="A47" sqref="A47"/>
    </sheetView>
  </sheetViews>
  <sheetFormatPr defaultRowHeight="15" x14ac:dyDescent="0.25"/>
  <cols>
    <col min="1" max="1" width="29" bestFit="1" customWidth="1"/>
    <col min="2" max="2" width="12.28515625" bestFit="1" customWidth="1"/>
    <col min="3" max="3" width="7.28515625" bestFit="1" customWidth="1"/>
    <col min="4" max="4" width="5.7109375" customWidth="1"/>
    <col min="5" max="5" width="12" bestFit="1" customWidth="1"/>
    <col min="6" max="6" width="8.5703125" bestFit="1" customWidth="1"/>
    <col min="7" max="7" width="12" bestFit="1" customWidth="1"/>
    <col min="8" max="8" width="1.7109375" bestFit="1" customWidth="1"/>
    <col min="14" max="14" width="9.42578125" bestFit="1" customWidth="1"/>
  </cols>
  <sheetData>
    <row r="1" spans="1:12" ht="16.149999999999999" customHeight="1" x14ac:dyDescent="0.25">
      <c r="B1" s="81"/>
      <c r="C1" s="57"/>
      <c r="E1" s="68"/>
    </row>
    <row r="3" spans="1:12" ht="18" x14ac:dyDescent="0.35">
      <c r="A3" s="84" t="s">
        <v>306</v>
      </c>
      <c r="B3" s="85" t="s">
        <v>258</v>
      </c>
      <c r="C3" s="85" t="str">
        <f>Trafo.!C3</f>
        <v>T0234</v>
      </c>
      <c r="D3" s="85"/>
      <c r="E3" s="85"/>
      <c r="F3" s="85"/>
      <c r="G3" s="85"/>
      <c r="H3" s="86"/>
      <c r="I3" t="s">
        <v>186</v>
      </c>
    </row>
    <row r="4" spans="1:12" ht="16.149999999999999" customHeight="1" x14ac:dyDescent="0.35">
      <c r="A4" s="6" t="s">
        <v>338</v>
      </c>
      <c r="B4" s="28" t="e">
        <f>'IM. Linje'!B41</f>
        <v>#N/A</v>
      </c>
      <c r="C4" s="7" t="s">
        <v>5</v>
      </c>
      <c r="D4" s="6" t="s">
        <v>6</v>
      </c>
      <c r="E4" s="28" t="e">
        <f>'IM. Linje'!E41</f>
        <v>#N/A</v>
      </c>
      <c r="F4" s="8" t="s">
        <v>2</v>
      </c>
      <c r="G4" s="9"/>
      <c r="H4" s="10"/>
    </row>
    <row r="5" spans="1:12" ht="16.149999999999999" customHeight="1" x14ac:dyDescent="0.25">
      <c r="A5" s="6" t="s">
        <v>15</v>
      </c>
      <c r="B5" s="1"/>
      <c r="C5" s="8" t="s">
        <v>16</v>
      </c>
      <c r="D5" s="9"/>
      <c r="E5" s="9"/>
      <c r="F5" s="9"/>
      <c r="G5" s="9"/>
      <c r="H5" s="10"/>
      <c r="I5" s="210"/>
      <c r="J5" t="s">
        <v>339</v>
      </c>
      <c r="K5" t="s">
        <v>340</v>
      </c>
      <c r="L5" t="s">
        <v>341</v>
      </c>
    </row>
    <row r="6" spans="1:12" ht="16.149999999999999" customHeight="1" x14ac:dyDescent="0.25">
      <c r="A6" s="6" t="s">
        <v>35</v>
      </c>
      <c r="B6" s="21">
        <f>'IM. Linje'!B86</f>
        <v>0</v>
      </c>
      <c r="C6" s="47"/>
      <c r="D6" s="47"/>
      <c r="E6" s="47"/>
      <c r="F6" s="47"/>
      <c r="G6" s="47"/>
      <c r="H6" s="48"/>
      <c r="J6" t="e">
        <f>RADIANS(E4)</f>
        <v>#N/A</v>
      </c>
      <c r="K6" t="e">
        <f>B4*COS(J6)</f>
        <v>#N/A</v>
      </c>
      <c r="L6" t="e">
        <f>B4*SIN(J6)</f>
        <v>#N/A</v>
      </c>
    </row>
    <row r="7" spans="1:12" ht="16.149999999999999" customHeight="1" x14ac:dyDescent="0.25">
      <c r="A7" s="58" t="s">
        <v>12</v>
      </c>
      <c r="B7" s="105">
        <f>'IM. Linje'!B87</f>
        <v>0</v>
      </c>
      <c r="C7" s="106" t="s">
        <v>13</v>
      </c>
      <c r="D7" s="21" t="s">
        <v>170</v>
      </c>
      <c r="E7" s="23"/>
      <c r="F7" s="9"/>
      <c r="G7" s="9"/>
      <c r="H7" s="10"/>
      <c r="J7">
        <f>RADIANS(E9)</f>
        <v>0</v>
      </c>
      <c r="K7">
        <f>B9*COS(J7)</f>
        <v>0</v>
      </c>
      <c r="L7">
        <f>B9*SIN(J7)</f>
        <v>0</v>
      </c>
    </row>
    <row r="8" spans="1:12" ht="16.149999999999999" customHeight="1" x14ac:dyDescent="0.25">
      <c r="A8" s="58" t="s">
        <v>14</v>
      </c>
      <c r="B8" s="105">
        <f>'IM. Linje'!B88</f>
        <v>0</v>
      </c>
      <c r="C8" s="106" t="s">
        <v>13</v>
      </c>
      <c r="D8" s="94" t="s">
        <v>170</v>
      </c>
      <c r="E8" s="95"/>
      <c r="F8" s="32"/>
      <c r="G8" s="32"/>
      <c r="H8" s="33"/>
      <c r="J8">
        <f>RADIANS(E10)</f>
        <v>1.5707963267948966</v>
      </c>
      <c r="K8">
        <f>B10*COS(J8)</f>
        <v>0</v>
      </c>
      <c r="L8">
        <f>B10*SIN(J8)</f>
        <v>0</v>
      </c>
    </row>
    <row r="9" spans="1:12" ht="16.149999999999999" customHeight="1" x14ac:dyDescent="0.25">
      <c r="A9" s="6" t="s">
        <v>154</v>
      </c>
      <c r="B9" s="76">
        <f>B5*B7</f>
        <v>0</v>
      </c>
      <c r="C9" s="7" t="s">
        <v>5</v>
      </c>
      <c r="D9" s="6" t="s">
        <v>6</v>
      </c>
      <c r="E9" s="20">
        <v>0</v>
      </c>
      <c r="F9" s="8" t="s">
        <v>2</v>
      </c>
      <c r="G9" s="9"/>
      <c r="H9" s="10"/>
      <c r="K9" t="e">
        <f>SUM(K6:K8)</f>
        <v>#N/A</v>
      </c>
      <c r="L9" t="e">
        <f>SUM(L6:L8)</f>
        <v>#N/A</v>
      </c>
    </row>
    <row r="10" spans="1:12" ht="16.149999999999999" customHeight="1" x14ac:dyDescent="0.25">
      <c r="A10" s="6" t="s">
        <v>155</v>
      </c>
      <c r="B10" s="76">
        <f>B5*B8</f>
        <v>0</v>
      </c>
      <c r="C10" s="7" t="s">
        <v>5</v>
      </c>
      <c r="D10" s="6" t="s">
        <v>6</v>
      </c>
      <c r="E10" s="19">
        <v>90</v>
      </c>
      <c r="F10" s="8" t="s">
        <v>2</v>
      </c>
      <c r="G10" s="9"/>
      <c r="H10" s="10"/>
    </row>
    <row r="11" spans="1:12" ht="16.149999999999999" customHeight="1" x14ac:dyDescent="0.35">
      <c r="A11" s="58" t="s">
        <v>342</v>
      </c>
      <c r="B11" s="149" t="e">
        <f>SQRT(K9^2+L9^2)</f>
        <v>#N/A</v>
      </c>
      <c r="C11" s="11" t="s">
        <v>5</v>
      </c>
      <c r="D11" s="58" t="s">
        <v>6</v>
      </c>
      <c r="E11" s="146" t="e">
        <f>DEGREES(ATAN2(K9,L9))</f>
        <v>#N/A</v>
      </c>
      <c r="F11" s="147" t="s">
        <v>2</v>
      </c>
      <c r="G11" s="107"/>
      <c r="H11" s="108"/>
    </row>
    <row r="12" spans="1:12" ht="16.149999999999999" customHeight="1" x14ac:dyDescent="0.25"/>
    <row r="14" spans="1:12" ht="18" x14ac:dyDescent="0.35">
      <c r="A14" s="84" t="s">
        <v>307</v>
      </c>
      <c r="B14" s="85" t="s">
        <v>262</v>
      </c>
      <c r="C14" s="85" t="str">
        <f>C3</f>
        <v>T0234</v>
      </c>
      <c r="D14" s="85"/>
      <c r="E14" s="85"/>
      <c r="F14" s="85"/>
      <c r="G14" s="85"/>
      <c r="H14" s="86"/>
      <c r="I14" t="s">
        <v>185</v>
      </c>
    </row>
    <row r="15" spans="1:12" ht="16.149999999999999" customHeight="1" x14ac:dyDescent="0.35">
      <c r="A15" s="6" t="s">
        <v>343</v>
      </c>
      <c r="B15" s="28" t="e">
        <f>'IM. Linje'!B42</f>
        <v>#N/A</v>
      </c>
      <c r="C15" s="7" t="s">
        <v>5</v>
      </c>
      <c r="D15" s="6" t="s">
        <v>6</v>
      </c>
      <c r="E15" s="28" t="e">
        <f>'IM. Linje'!E42</f>
        <v>#N/A</v>
      </c>
      <c r="F15" s="8" t="s">
        <v>2</v>
      </c>
      <c r="G15" s="9"/>
      <c r="H15" s="10"/>
    </row>
    <row r="16" spans="1:12" ht="16.149999999999999" customHeight="1" x14ac:dyDescent="0.25">
      <c r="A16" s="6" t="s">
        <v>15</v>
      </c>
      <c r="B16" s="1"/>
      <c r="C16" s="8" t="s">
        <v>16</v>
      </c>
      <c r="D16" s="9"/>
      <c r="E16" s="9"/>
      <c r="F16" s="9"/>
      <c r="G16" s="9"/>
      <c r="H16" s="10"/>
      <c r="I16" s="210"/>
      <c r="J16" t="s">
        <v>339</v>
      </c>
      <c r="K16" t="s">
        <v>340</v>
      </c>
      <c r="L16" t="s">
        <v>341</v>
      </c>
    </row>
    <row r="17" spans="1:12" ht="16.149999999999999" customHeight="1" x14ac:dyDescent="0.25">
      <c r="A17" s="6" t="s">
        <v>35</v>
      </c>
      <c r="B17" s="21">
        <f>B6</f>
        <v>0</v>
      </c>
      <c r="C17" s="47"/>
      <c r="D17" s="47"/>
      <c r="E17" s="47"/>
      <c r="F17" s="47"/>
      <c r="G17" s="47"/>
      <c r="H17" s="48"/>
      <c r="J17" t="e">
        <f>RADIANS(E15)</f>
        <v>#N/A</v>
      </c>
      <c r="K17" t="e">
        <f>B15*COS(J17)</f>
        <v>#N/A</v>
      </c>
      <c r="L17" t="e">
        <f>B15*SIN(J17)</f>
        <v>#N/A</v>
      </c>
    </row>
    <row r="18" spans="1:12" ht="16.149999999999999" customHeight="1" x14ac:dyDescent="0.25">
      <c r="A18" s="58" t="s">
        <v>12</v>
      </c>
      <c r="B18" s="105">
        <f>B7</f>
        <v>0</v>
      </c>
      <c r="C18" s="106" t="s">
        <v>13</v>
      </c>
      <c r="D18" s="21" t="s">
        <v>170</v>
      </c>
      <c r="E18" s="23"/>
      <c r="F18" s="9"/>
      <c r="G18" s="9"/>
      <c r="H18" s="10"/>
      <c r="J18">
        <f>RADIANS(E20)</f>
        <v>0</v>
      </c>
      <c r="K18">
        <f>B20*COS(J18)</f>
        <v>0</v>
      </c>
      <c r="L18">
        <f>B20*SIN(J18)</f>
        <v>0</v>
      </c>
    </row>
    <row r="19" spans="1:12" ht="16.149999999999999" customHeight="1" x14ac:dyDescent="0.25">
      <c r="A19" s="58" t="s">
        <v>14</v>
      </c>
      <c r="B19" s="105">
        <f>B8</f>
        <v>0</v>
      </c>
      <c r="C19" s="106" t="s">
        <v>13</v>
      </c>
      <c r="D19" s="94" t="s">
        <v>170</v>
      </c>
      <c r="E19" s="95"/>
      <c r="F19" s="32"/>
      <c r="G19" s="32"/>
      <c r="H19" s="33"/>
      <c r="J19">
        <f>RADIANS(E21)</f>
        <v>1.5707963267948966</v>
      </c>
      <c r="K19">
        <f>B21*COS(J19)</f>
        <v>0</v>
      </c>
      <c r="L19">
        <f>B21*SIN(J19)</f>
        <v>0</v>
      </c>
    </row>
    <row r="20" spans="1:12" ht="16.149999999999999" customHeight="1" x14ac:dyDescent="0.25">
      <c r="A20" s="6" t="s">
        <v>154</v>
      </c>
      <c r="B20" s="76">
        <f>B18*B16</f>
        <v>0</v>
      </c>
      <c r="C20" s="25" t="s">
        <v>5</v>
      </c>
      <c r="D20" s="26" t="s">
        <v>6</v>
      </c>
      <c r="E20" s="27">
        <v>0</v>
      </c>
      <c r="F20" s="8" t="s">
        <v>2</v>
      </c>
      <c r="G20" s="9"/>
      <c r="H20" s="10"/>
      <c r="K20" t="e">
        <f>SUM(K17:K19)</f>
        <v>#N/A</v>
      </c>
      <c r="L20" t="e">
        <f>SUM(L17:L19)</f>
        <v>#N/A</v>
      </c>
    </row>
    <row r="21" spans="1:12" ht="16.149999999999999" customHeight="1" x14ac:dyDescent="0.25">
      <c r="A21" s="6" t="s">
        <v>155</v>
      </c>
      <c r="B21" s="76">
        <f>B19*B16</f>
        <v>0</v>
      </c>
      <c r="C21" s="7" t="s">
        <v>5</v>
      </c>
      <c r="D21" s="6" t="s">
        <v>6</v>
      </c>
      <c r="E21" s="19">
        <v>90</v>
      </c>
      <c r="F21" s="8" t="s">
        <v>2</v>
      </c>
      <c r="G21" s="9"/>
      <c r="H21" s="10"/>
    </row>
    <row r="22" spans="1:12" ht="16.149999999999999" customHeight="1" x14ac:dyDescent="0.35">
      <c r="A22" s="58" t="s">
        <v>344</v>
      </c>
      <c r="B22" s="149" t="e">
        <f>SQRT(K20^2+L20^2)</f>
        <v>#N/A</v>
      </c>
      <c r="C22" s="11" t="s">
        <v>5</v>
      </c>
      <c r="D22" s="58" t="s">
        <v>6</v>
      </c>
      <c r="E22" s="146" t="e">
        <f>DEGREES(ATAN2(K20,L20))</f>
        <v>#N/A</v>
      </c>
      <c r="F22" s="147" t="s">
        <v>2</v>
      </c>
      <c r="G22" s="107"/>
      <c r="H22" s="108"/>
    </row>
    <row r="23" spans="1:12" ht="16.149999999999999" customHeight="1" x14ac:dyDescent="0.25"/>
    <row r="24" spans="1:12" ht="16.149999999999999" customHeight="1" x14ac:dyDescent="0.25"/>
    <row r="25" spans="1:12" ht="16.149999999999999" customHeight="1" x14ac:dyDescent="0.35">
      <c r="A25" s="84" t="s">
        <v>330</v>
      </c>
      <c r="B25" s="85" t="s">
        <v>229</v>
      </c>
      <c r="C25" s="87" t="str">
        <f>C14</f>
        <v>T0234</v>
      </c>
      <c r="D25" s="87"/>
      <c r="E25" s="87"/>
      <c r="F25" s="87"/>
      <c r="G25" s="87"/>
      <c r="H25" s="88"/>
    </row>
    <row r="26" spans="1:12" ht="18" x14ac:dyDescent="0.35">
      <c r="A26" s="6" t="s">
        <v>303</v>
      </c>
      <c r="B26" s="1">
        <v>10</v>
      </c>
      <c r="C26" s="8" t="s">
        <v>8</v>
      </c>
      <c r="D26" s="9"/>
      <c r="E26" s="9"/>
      <c r="F26" s="9"/>
      <c r="G26" s="9"/>
      <c r="H26" s="10"/>
    </row>
    <row r="27" spans="1:12" ht="18" x14ac:dyDescent="0.35">
      <c r="A27" s="6" t="s">
        <v>17</v>
      </c>
      <c r="B27" s="1">
        <f>Trafo.!B15</f>
        <v>0</v>
      </c>
      <c r="C27" s="8" t="s">
        <v>7</v>
      </c>
      <c r="D27" s="9"/>
      <c r="E27" s="9"/>
      <c r="F27" s="9"/>
      <c r="G27" s="9"/>
      <c r="H27" s="10"/>
    </row>
    <row r="28" spans="1:12" ht="18" x14ac:dyDescent="0.35">
      <c r="A28" s="6" t="s">
        <v>22</v>
      </c>
      <c r="B28" s="1">
        <f>Trafo.!B18</f>
        <v>0</v>
      </c>
      <c r="C28" s="8" t="s">
        <v>23</v>
      </c>
      <c r="D28" s="9"/>
      <c r="E28" s="9"/>
      <c r="F28" s="9"/>
      <c r="G28" s="9"/>
      <c r="H28" s="10"/>
    </row>
    <row r="29" spans="1:12" ht="18" x14ac:dyDescent="0.35">
      <c r="A29" s="6" t="s">
        <v>25</v>
      </c>
      <c r="B29" s="1">
        <f>Trafo.!B21</f>
        <v>0</v>
      </c>
      <c r="C29" s="8" t="s">
        <v>26</v>
      </c>
      <c r="D29" s="9"/>
      <c r="E29" s="9"/>
      <c r="F29" s="9"/>
      <c r="G29" s="9"/>
      <c r="H29" s="10"/>
    </row>
    <row r="30" spans="1:12" ht="18.75" x14ac:dyDescent="0.35">
      <c r="A30" s="26" t="s">
        <v>333</v>
      </c>
      <c r="B30" s="156" t="e">
        <f>(((B26*10^3)^2)*B28)/((B27*10^3)*100)</f>
        <v>#DIV/0!</v>
      </c>
      <c r="C30" s="24" t="s">
        <v>5</v>
      </c>
      <c r="D30" s="9"/>
      <c r="E30" s="9"/>
      <c r="F30" s="9"/>
      <c r="G30" s="9"/>
      <c r="H30" s="10"/>
    </row>
    <row r="31" spans="1:12" ht="18.75" x14ac:dyDescent="0.35">
      <c r="A31" s="6" t="s">
        <v>334</v>
      </c>
      <c r="B31" s="157" t="e">
        <f>(B29*((B26*10^3)^2)/((B27*10^3)^2))</f>
        <v>#DIV/0!</v>
      </c>
      <c r="C31" s="24" t="s">
        <v>5</v>
      </c>
      <c r="D31" s="9"/>
      <c r="E31" s="9"/>
      <c r="F31" s="9"/>
      <c r="G31" s="9"/>
      <c r="H31" s="10"/>
    </row>
    <row r="32" spans="1:12" ht="18" x14ac:dyDescent="0.35">
      <c r="A32" s="25" t="s">
        <v>165</v>
      </c>
      <c r="B32" s="76" t="e">
        <f>B31/B30</f>
        <v>#DIV/0!</v>
      </c>
      <c r="C32" s="31"/>
      <c r="D32" s="32"/>
      <c r="E32" s="32"/>
      <c r="F32" s="32"/>
      <c r="G32" s="32"/>
      <c r="H32" s="33"/>
    </row>
    <row r="33" spans="1:12" ht="17.25" x14ac:dyDescent="0.25">
      <c r="A33" s="7" t="s">
        <v>166</v>
      </c>
      <c r="B33" s="3" t="e">
        <f>DEGREES(ACOS(B32))</f>
        <v>#DIV/0!</v>
      </c>
      <c r="C33" s="8" t="s">
        <v>2</v>
      </c>
      <c r="D33" s="9"/>
      <c r="E33" s="9"/>
      <c r="F33" s="9"/>
      <c r="G33" s="9"/>
      <c r="H33" s="10"/>
    </row>
    <row r="34" spans="1:12" ht="18" x14ac:dyDescent="0.35">
      <c r="A34" s="7" t="s">
        <v>223</v>
      </c>
      <c r="B34" s="76" t="e">
        <f>B30</f>
        <v>#DIV/0!</v>
      </c>
      <c r="C34" s="25" t="s">
        <v>5</v>
      </c>
      <c r="D34" s="26" t="s">
        <v>6</v>
      </c>
      <c r="E34" s="3" t="e">
        <f>B33</f>
        <v>#DIV/0!</v>
      </c>
      <c r="F34" s="8" t="s">
        <v>2</v>
      </c>
      <c r="G34" s="9"/>
      <c r="H34" s="10"/>
    </row>
    <row r="37" spans="1:12" ht="18" x14ac:dyDescent="0.35">
      <c r="A37" s="112" t="s">
        <v>331</v>
      </c>
      <c r="B37" s="113" t="s">
        <v>258</v>
      </c>
      <c r="C37" s="113" t="str">
        <f>C25</f>
        <v>T0234</v>
      </c>
      <c r="D37" s="113"/>
      <c r="E37" s="113"/>
      <c r="F37" s="113"/>
      <c r="G37" s="113"/>
      <c r="H37" s="80"/>
    </row>
    <row r="38" spans="1:12" ht="18" x14ac:dyDescent="0.35">
      <c r="A38" s="26" t="s">
        <v>20</v>
      </c>
      <c r="B38" s="30">
        <v>10</v>
      </c>
      <c r="C38" s="31" t="s">
        <v>8</v>
      </c>
      <c r="D38" s="32"/>
      <c r="E38" s="32"/>
      <c r="F38" s="32"/>
      <c r="G38" s="32"/>
      <c r="H38" s="33"/>
    </row>
    <row r="39" spans="1:12" ht="18" x14ac:dyDescent="0.35">
      <c r="A39" s="6" t="s">
        <v>21</v>
      </c>
      <c r="B39" s="1">
        <v>0.4</v>
      </c>
      <c r="C39" s="8" t="s">
        <v>8</v>
      </c>
      <c r="D39" s="9"/>
      <c r="E39" s="9"/>
      <c r="F39" s="9"/>
      <c r="G39" s="9"/>
      <c r="H39" s="10"/>
    </row>
    <row r="40" spans="1:12" ht="18" x14ac:dyDescent="0.35">
      <c r="A40" s="6" t="s">
        <v>42</v>
      </c>
      <c r="B40" s="1">
        <f>B38/B39</f>
        <v>25</v>
      </c>
      <c r="C40" s="36"/>
      <c r="D40" s="37"/>
      <c r="E40" s="37"/>
      <c r="F40" s="37"/>
      <c r="G40" s="37"/>
      <c r="H40" s="38"/>
    </row>
    <row r="41" spans="1:12" ht="18" x14ac:dyDescent="0.35">
      <c r="A41" s="58" t="s">
        <v>346</v>
      </c>
      <c r="B41" s="152" t="e">
        <f>B4</f>
        <v>#N/A</v>
      </c>
      <c r="C41" s="11" t="s">
        <v>5</v>
      </c>
      <c r="D41" s="58" t="s">
        <v>6</v>
      </c>
      <c r="E41" s="152" t="e">
        <f>E4</f>
        <v>#N/A</v>
      </c>
      <c r="F41" s="147" t="s">
        <v>2</v>
      </c>
      <c r="G41" s="107"/>
      <c r="H41" s="108"/>
      <c r="J41" t="s">
        <v>339</v>
      </c>
      <c r="K41" t="s">
        <v>340</v>
      </c>
      <c r="L41" t="s">
        <v>341</v>
      </c>
    </row>
    <row r="42" spans="1:12" ht="18" x14ac:dyDescent="0.35">
      <c r="A42" s="7" t="s">
        <v>223</v>
      </c>
      <c r="B42" s="154" t="e">
        <f>B34</f>
        <v>#DIV/0!</v>
      </c>
      <c r="C42" s="25" t="s">
        <v>5</v>
      </c>
      <c r="D42" s="26" t="s">
        <v>6</v>
      </c>
      <c r="E42" s="155" t="e">
        <f>E34</f>
        <v>#DIV/0!</v>
      </c>
      <c r="F42" s="8" t="s">
        <v>2</v>
      </c>
      <c r="G42" s="9"/>
      <c r="H42" s="10"/>
      <c r="J42" t="e">
        <f>RADIANS(E41)</f>
        <v>#N/A</v>
      </c>
      <c r="K42" t="e">
        <f>B41*COS(J42)</f>
        <v>#N/A</v>
      </c>
      <c r="L42" t="e">
        <f>B41*SIN(J42)</f>
        <v>#N/A</v>
      </c>
    </row>
    <row r="43" spans="1:12" ht="18" x14ac:dyDescent="0.35">
      <c r="A43" s="58" t="s">
        <v>347</v>
      </c>
      <c r="B43" s="76" t="e">
        <f>SQRT(K44^2+L44^2)</f>
        <v>#N/A</v>
      </c>
      <c r="C43" s="25" t="s">
        <v>5</v>
      </c>
      <c r="D43" s="26" t="s">
        <v>6</v>
      </c>
      <c r="E43" s="3" t="e">
        <f>DEGREES(ATAN2(K44,L44))</f>
        <v>#N/A</v>
      </c>
      <c r="F43" s="8" t="s">
        <v>2</v>
      </c>
      <c r="G43" s="9"/>
      <c r="H43" s="10"/>
      <c r="J43" t="e">
        <f>RADIANS(E42)</f>
        <v>#DIV/0!</v>
      </c>
      <c r="K43" t="e">
        <f>B42*COS(J43)</f>
        <v>#DIV/0!</v>
      </c>
      <c r="L43" t="e">
        <f>B42*SIN(J43)</f>
        <v>#DIV/0!</v>
      </c>
    </row>
    <row r="44" spans="1:12" ht="18.75" x14ac:dyDescent="0.35">
      <c r="A44" s="58" t="s">
        <v>351</v>
      </c>
      <c r="B44" s="130" t="e">
        <f>B43/(B40^2)</f>
        <v>#N/A</v>
      </c>
      <c r="C44" s="106" t="s">
        <v>5</v>
      </c>
      <c r="D44" s="107"/>
      <c r="E44" s="107"/>
      <c r="F44" s="107"/>
      <c r="G44" s="107"/>
      <c r="H44" s="108"/>
      <c r="K44" t="e">
        <f>SUM(K42:K43)</f>
        <v>#N/A</v>
      </c>
      <c r="L44" t="e">
        <f>SUM(L42:L43)</f>
        <v>#N/A</v>
      </c>
    </row>
    <row r="45" spans="1:12" x14ac:dyDescent="0.25">
      <c r="A45" s="114"/>
      <c r="B45" s="142"/>
      <c r="C45" s="143"/>
      <c r="D45" s="114"/>
      <c r="E45" s="114"/>
      <c r="F45" s="114"/>
      <c r="G45" s="114"/>
      <c r="H45" s="114"/>
    </row>
    <row r="46" spans="1:12" x14ac:dyDescent="0.25">
      <c r="A46" s="114"/>
      <c r="B46" s="114"/>
      <c r="C46" s="114"/>
      <c r="D46" s="114"/>
      <c r="E46" s="114"/>
      <c r="F46" s="114"/>
      <c r="G46" s="114"/>
      <c r="H46" s="114"/>
    </row>
    <row r="47" spans="1:12" ht="18" x14ac:dyDescent="0.35">
      <c r="A47" s="112" t="s">
        <v>332</v>
      </c>
      <c r="B47" s="113" t="s">
        <v>258</v>
      </c>
      <c r="C47" s="113" t="str">
        <f>C37</f>
        <v>T0234</v>
      </c>
      <c r="D47" s="113"/>
      <c r="E47" s="113"/>
      <c r="F47" s="113"/>
      <c r="G47" s="113"/>
      <c r="H47" s="115"/>
    </row>
    <row r="48" spans="1:12" ht="18" x14ac:dyDescent="0.35">
      <c r="A48" s="26" t="s">
        <v>20</v>
      </c>
      <c r="B48" s="30">
        <v>10</v>
      </c>
      <c r="C48" s="31" t="s">
        <v>8</v>
      </c>
      <c r="D48" s="32"/>
      <c r="E48" s="32"/>
      <c r="F48" s="32"/>
      <c r="G48" s="32"/>
      <c r="H48" s="33"/>
    </row>
    <row r="49" spans="1:12" ht="18" x14ac:dyDescent="0.35">
      <c r="A49" s="6" t="s">
        <v>21</v>
      </c>
      <c r="B49" s="1">
        <v>0.4</v>
      </c>
      <c r="C49" s="8" t="s">
        <v>8</v>
      </c>
      <c r="D49" s="9"/>
      <c r="E49" s="9"/>
      <c r="F49" s="9"/>
      <c r="G49" s="9"/>
      <c r="H49" s="10"/>
    </row>
    <row r="50" spans="1:12" ht="18" x14ac:dyDescent="0.35">
      <c r="A50" s="6" t="s">
        <v>42</v>
      </c>
      <c r="B50" s="1">
        <f>B48/B49</f>
        <v>25</v>
      </c>
      <c r="C50" s="36"/>
      <c r="D50" s="37"/>
      <c r="E50" s="37"/>
      <c r="F50" s="37"/>
      <c r="G50" s="37"/>
      <c r="H50" s="38"/>
    </row>
    <row r="51" spans="1:12" ht="18" x14ac:dyDescent="0.35">
      <c r="A51" s="58" t="s">
        <v>348</v>
      </c>
      <c r="B51" s="152" t="e">
        <f>B15</f>
        <v>#N/A</v>
      </c>
      <c r="C51" s="11" t="s">
        <v>5</v>
      </c>
      <c r="D51" s="58" t="s">
        <v>6</v>
      </c>
      <c r="E51" s="152" t="e">
        <f>E15</f>
        <v>#N/A</v>
      </c>
      <c r="F51" s="147" t="s">
        <v>2</v>
      </c>
      <c r="G51" s="107"/>
      <c r="H51" s="108"/>
      <c r="J51" t="s">
        <v>339</v>
      </c>
      <c r="K51" t="s">
        <v>340</v>
      </c>
      <c r="L51" t="s">
        <v>341</v>
      </c>
    </row>
    <row r="52" spans="1:12" ht="18" x14ac:dyDescent="0.35">
      <c r="A52" s="7" t="s">
        <v>223</v>
      </c>
      <c r="B52" s="154" t="e">
        <f>B34</f>
        <v>#DIV/0!</v>
      </c>
      <c r="C52" s="25" t="s">
        <v>5</v>
      </c>
      <c r="D52" s="26" t="s">
        <v>6</v>
      </c>
      <c r="E52" s="155" t="e">
        <f>E34</f>
        <v>#DIV/0!</v>
      </c>
      <c r="F52" s="8" t="s">
        <v>2</v>
      </c>
      <c r="G52" s="9"/>
      <c r="H52" s="10"/>
      <c r="J52" t="e">
        <f>RADIANS(E51)</f>
        <v>#N/A</v>
      </c>
      <c r="K52" t="e">
        <f>B51*COS(J52)</f>
        <v>#N/A</v>
      </c>
      <c r="L52" t="e">
        <f>B51*SIN(J52)</f>
        <v>#N/A</v>
      </c>
    </row>
    <row r="53" spans="1:12" ht="18" x14ac:dyDescent="0.35">
      <c r="A53" s="58" t="s">
        <v>349</v>
      </c>
      <c r="B53" s="76" t="e">
        <f>SQRT(K54^2+L54^2)</f>
        <v>#N/A</v>
      </c>
      <c r="C53" s="25" t="s">
        <v>5</v>
      </c>
      <c r="D53" s="26" t="s">
        <v>6</v>
      </c>
      <c r="E53" s="3" t="e">
        <f>DEGREES(ATAN2(K54,L54))</f>
        <v>#N/A</v>
      </c>
      <c r="F53" s="8" t="s">
        <v>2</v>
      </c>
      <c r="G53" s="9"/>
      <c r="H53" s="10"/>
      <c r="J53" t="e">
        <f>RADIANS(E52)</f>
        <v>#DIV/0!</v>
      </c>
      <c r="K53" t="e">
        <f>B52*COS(J53)</f>
        <v>#DIV/0!</v>
      </c>
      <c r="L53" t="e">
        <f>B52*SIN(J53)</f>
        <v>#DIV/0!</v>
      </c>
    </row>
    <row r="54" spans="1:12" ht="18.75" x14ac:dyDescent="0.35">
      <c r="A54" s="58" t="s">
        <v>350</v>
      </c>
      <c r="B54" s="130" t="e">
        <f>B53/(B50^2)</f>
        <v>#N/A</v>
      </c>
      <c r="C54" s="106" t="s">
        <v>5</v>
      </c>
      <c r="D54" s="107"/>
      <c r="E54" s="107"/>
      <c r="F54" s="107"/>
      <c r="G54" s="107"/>
      <c r="H54" s="108"/>
      <c r="K54" t="e">
        <f>SUM(K52:K53)</f>
        <v>#N/A</v>
      </c>
      <c r="L54" t="e">
        <f>SUM(L52:L53)</f>
        <v>#N/A</v>
      </c>
    </row>
    <row r="57" spans="1:12" ht="18" hidden="1" x14ac:dyDescent="0.35">
      <c r="A57" s="84" t="s">
        <v>493</v>
      </c>
      <c r="B57" s="170" t="str">
        <f>B47</f>
        <v>Trafo.</v>
      </c>
      <c r="C57" s="197" t="str">
        <f>C47</f>
        <v>T0234</v>
      </c>
      <c r="D57" s="197"/>
      <c r="E57" s="87"/>
      <c r="F57" s="87"/>
      <c r="G57" s="198"/>
      <c r="H57" s="88"/>
    </row>
    <row r="58" spans="1:12" ht="18" hidden="1" x14ac:dyDescent="0.35">
      <c r="A58" s="26" t="s">
        <v>412</v>
      </c>
      <c r="B58" s="174">
        <v>0.4</v>
      </c>
      <c r="C58" s="193" t="s">
        <v>8</v>
      </c>
      <c r="D58" s="194"/>
      <c r="E58" s="194"/>
      <c r="F58" s="195"/>
      <c r="G58" s="195"/>
      <c r="H58" s="38"/>
    </row>
    <row r="59" spans="1:12" ht="18" hidden="1" x14ac:dyDescent="0.35">
      <c r="A59" s="8" t="s">
        <v>495</v>
      </c>
      <c r="B59" s="199" t="e">
        <f>B43</f>
        <v>#N/A</v>
      </c>
      <c r="C59" s="25" t="s">
        <v>71</v>
      </c>
      <c r="D59" s="26" t="s">
        <v>6</v>
      </c>
      <c r="E59" s="200">
        <f>E32</f>
        <v>0</v>
      </c>
      <c r="F59" s="201" t="s">
        <v>2</v>
      </c>
      <c r="G59" s="37"/>
      <c r="H59" s="202"/>
    </row>
    <row r="60" spans="1:12" ht="18" hidden="1" x14ac:dyDescent="0.35">
      <c r="A60" s="26" t="s">
        <v>496</v>
      </c>
      <c r="B60" s="64" t="e">
        <f>B58/(SQRT(3)*B59)</f>
        <v>#N/A</v>
      </c>
      <c r="C60" s="6" t="s">
        <v>82</v>
      </c>
      <c r="D60" s="6" t="s">
        <v>6</v>
      </c>
      <c r="E60" s="203">
        <f>-E59</f>
        <v>0</v>
      </c>
      <c r="F60" s="24" t="s">
        <v>2</v>
      </c>
      <c r="G60" s="9"/>
      <c r="H60" s="10"/>
    </row>
    <row r="61" spans="1:12" hidden="1" x14ac:dyDescent="0.25"/>
    <row r="62" spans="1:12" hidden="1" x14ac:dyDescent="0.25"/>
    <row r="63" spans="1:12" ht="18" hidden="1" x14ac:dyDescent="0.35">
      <c r="A63" s="84" t="s">
        <v>494</v>
      </c>
      <c r="B63" s="170" t="str">
        <f>B57</f>
        <v>Trafo.</v>
      </c>
      <c r="C63" s="197" t="str">
        <f>C57</f>
        <v>T0234</v>
      </c>
      <c r="D63" s="197"/>
      <c r="E63" s="87"/>
      <c r="F63" s="87"/>
      <c r="G63" s="198"/>
      <c r="H63" s="192"/>
    </row>
    <row r="64" spans="1:12" ht="18" hidden="1" x14ac:dyDescent="0.35">
      <c r="A64" s="26" t="s">
        <v>412</v>
      </c>
      <c r="B64" s="174">
        <v>0.4</v>
      </c>
      <c r="C64" s="193" t="s">
        <v>8</v>
      </c>
      <c r="D64" s="194"/>
      <c r="E64" s="194"/>
      <c r="F64" s="195"/>
      <c r="G64" s="195"/>
      <c r="H64" s="38"/>
    </row>
    <row r="65" spans="1:8" ht="18" hidden="1" x14ac:dyDescent="0.35">
      <c r="A65" s="8" t="s">
        <v>497</v>
      </c>
      <c r="B65" s="199" t="e">
        <f>B53</f>
        <v>#N/A</v>
      </c>
      <c r="C65" s="25" t="s">
        <v>71</v>
      </c>
      <c r="D65" s="26" t="s">
        <v>6</v>
      </c>
      <c r="E65" s="200">
        <f>E39</f>
        <v>0</v>
      </c>
      <c r="F65" s="201" t="s">
        <v>2</v>
      </c>
      <c r="G65" s="37"/>
      <c r="H65" s="38"/>
    </row>
    <row r="66" spans="1:8" ht="18" hidden="1" x14ac:dyDescent="0.35">
      <c r="A66" s="26" t="s">
        <v>498</v>
      </c>
      <c r="B66" s="196" t="e">
        <f>B64/(SQRT(3)*B65)</f>
        <v>#N/A</v>
      </c>
      <c r="C66" s="6" t="s">
        <v>82</v>
      </c>
      <c r="D66" s="6" t="s">
        <v>6</v>
      </c>
      <c r="E66" s="203">
        <f>-E65</f>
        <v>0</v>
      </c>
      <c r="F66" s="24" t="s">
        <v>2</v>
      </c>
      <c r="G66" s="9"/>
      <c r="H66" s="10"/>
    </row>
    <row r="68" spans="1:8" x14ac:dyDescent="0.25">
      <c r="A68" s="53" t="s">
        <v>504</v>
      </c>
    </row>
    <row r="69" spans="1:8" ht="18" x14ac:dyDescent="0.35">
      <c r="A69" s="84" t="s">
        <v>491</v>
      </c>
      <c r="B69" s="170" t="str">
        <f>B47</f>
        <v>Trafo.</v>
      </c>
      <c r="C69" s="197" t="str">
        <f>C47</f>
        <v>T0234</v>
      </c>
      <c r="D69" s="197"/>
      <c r="E69" s="87"/>
      <c r="F69" s="87"/>
      <c r="G69" s="198"/>
      <c r="H69" s="88"/>
    </row>
    <row r="70" spans="1:8" ht="18" x14ac:dyDescent="0.35">
      <c r="A70" s="26" t="s">
        <v>412</v>
      </c>
      <c r="B70" s="174">
        <v>0.4</v>
      </c>
      <c r="C70" s="206" t="s">
        <v>8</v>
      </c>
      <c r="D70" s="195"/>
      <c r="E70" s="195"/>
      <c r="F70" s="195"/>
      <c r="G70" s="195"/>
      <c r="H70" s="38"/>
    </row>
    <row r="71" spans="1:8" ht="18" x14ac:dyDescent="0.35">
      <c r="A71" s="8" t="s">
        <v>490</v>
      </c>
      <c r="B71" s="204" t="e">
        <f>B44</f>
        <v>#N/A</v>
      </c>
      <c r="C71" s="24" t="s">
        <v>71</v>
      </c>
      <c r="D71" s="9"/>
      <c r="E71" s="118"/>
      <c r="F71" s="207"/>
      <c r="G71" s="9"/>
      <c r="H71" s="104"/>
    </row>
    <row r="72" spans="1:8" ht="18" x14ac:dyDescent="0.35">
      <c r="A72" s="26" t="s">
        <v>492</v>
      </c>
      <c r="B72" s="205" t="e">
        <f>B70/(SQRT(3)*B71)</f>
        <v>#N/A</v>
      </c>
      <c r="C72" s="8" t="s">
        <v>82</v>
      </c>
      <c r="D72" s="9"/>
      <c r="E72" s="208"/>
      <c r="F72" s="207"/>
      <c r="G72" s="9"/>
      <c r="H72" s="10"/>
    </row>
    <row r="75" spans="1:8" ht="18" x14ac:dyDescent="0.35">
      <c r="A75" s="84" t="s">
        <v>487</v>
      </c>
      <c r="B75" s="170" t="str">
        <f>B69</f>
        <v>Trafo.</v>
      </c>
      <c r="C75" s="197" t="str">
        <f>C69</f>
        <v>T0234</v>
      </c>
      <c r="D75" s="197"/>
      <c r="E75" s="87"/>
      <c r="F75" s="87"/>
      <c r="G75" s="198"/>
      <c r="H75" s="192"/>
    </row>
    <row r="76" spans="1:8" ht="18" x14ac:dyDescent="0.35">
      <c r="A76" s="26" t="s">
        <v>412</v>
      </c>
      <c r="B76" s="174">
        <v>0.4</v>
      </c>
      <c r="C76" s="206" t="s">
        <v>8</v>
      </c>
      <c r="D76" s="195"/>
      <c r="E76" s="195"/>
      <c r="F76" s="195"/>
      <c r="G76" s="195"/>
      <c r="H76" s="38"/>
    </row>
    <row r="77" spans="1:8" ht="18" x14ac:dyDescent="0.35">
      <c r="A77" s="8" t="s">
        <v>488</v>
      </c>
      <c r="B77" s="204" t="e">
        <f>B54</f>
        <v>#N/A</v>
      </c>
      <c r="C77" s="24" t="s">
        <v>71</v>
      </c>
      <c r="D77" s="9"/>
      <c r="E77" s="118"/>
      <c r="F77" s="207"/>
      <c r="G77" s="9"/>
      <c r="H77" s="10"/>
    </row>
    <row r="78" spans="1:8" ht="18" x14ac:dyDescent="0.35">
      <c r="A78" s="26" t="s">
        <v>489</v>
      </c>
      <c r="B78" s="209" t="e">
        <f>B76/(SQRT(3)*B77)</f>
        <v>#N/A</v>
      </c>
      <c r="C78" s="8" t="s">
        <v>82</v>
      </c>
      <c r="D78" s="9"/>
      <c r="E78" s="208"/>
      <c r="F78" s="207"/>
      <c r="G78" s="9"/>
      <c r="H78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73"/>
  <sheetViews>
    <sheetView workbookViewId="0">
      <selection activeCell="I100" sqref="I100"/>
    </sheetView>
  </sheetViews>
  <sheetFormatPr defaultRowHeight="15" x14ac:dyDescent="0.25"/>
  <cols>
    <col min="1" max="1" width="28.570312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  <col min="10" max="10" width="12.28515625" bestFit="1" customWidth="1"/>
  </cols>
  <sheetData>
    <row r="3" spans="1:8" ht="18" x14ac:dyDescent="0.35">
      <c r="A3" s="84" t="s">
        <v>176</v>
      </c>
      <c r="B3" s="85" t="s">
        <v>229</v>
      </c>
      <c r="C3" s="85" t="str">
        <f>Trafo.!C3</f>
        <v>T0234</v>
      </c>
      <c r="D3" s="85"/>
      <c r="E3" s="85"/>
      <c r="F3" s="85"/>
      <c r="G3" s="85"/>
      <c r="H3" s="86"/>
    </row>
    <row r="4" spans="1:8" x14ac:dyDescent="0.25">
      <c r="A4" s="6" t="s">
        <v>35</v>
      </c>
      <c r="B4" s="21">
        <f>'IM. Trafo.'!B6</f>
        <v>0</v>
      </c>
      <c r="C4" s="47"/>
      <c r="D4" s="47"/>
      <c r="E4" s="47"/>
      <c r="F4" s="47"/>
      <c r="G4" s="47"/>
      <c r="H4" s="48"/>
    </row>
    <row r="5" spans="1:8" ht="18" x14ac:dyDescent="0.35">
      <c r="A5" s="6" t="s">
        <v>108</v>
      </c>
      <c r="B5" s="17">
        <f>L.relæ!B5</f>
        <v>0</v>
      </c>
      <c r="C5" s="6" t="s">
        <v>18</v>
      </c>
      <c r="D5" s="21" t="s">
        <v>170</v>
      </c>
      <c r="E5" s="23"/>
      <c r="F5" s="8"/>
      <c r="G5" s="9"/>
      <c r="H5" s="10"/>
    </row>
    <row r="6" spans="1:8" ht="18" x14ac:dyDescent="0.35">
      <c r="A6" s="6" t="s">
        <v>121</v>
      </c>
      <c r="B6" s="17">
        <f>L.relæ!B6</f>
        <v>0</v>
      </c>
      <c r="C6" s="6"/>
      <c r="D6" s="21" t="s">
        <v>172</v>
      </c>
      <c r="E6" s="23" t="s">
        <v>171</v>
      </c>
      <c r="F6" s="8"/>
      <c r="G6" s="9"/>
      <c r="H6" s="10"/>
    </row>
    <row r="7" spans="1:8" ht="18" x14ac:dyDescent="0.35">
      <c r="A7" s="6" t="s">
        <v>167</v>
      </c>
      <c r="B7" s="17">
        <f>L.relæ!B7</f>
        <v>0</v>
      </c>
      <c r="C7" s="6"/>
      <c r="D7" s="21" t="s">
        <v>172</v>
      </c>
      <c r="E7" s="23" t="s">
        <v>173</v>
      </c>
      <c r="F7" s="8"/>
      <c r="G7" s="9"/>
      <c r="H7" s="10"/>
    </row>
    <row r="8" spans="1:8" ht="18" x14ac:dyDescent="0.35">
      <c r="A8" s="6" t="s">
        <v>168</v>
      </c>
      <c r="B8" s="17">
        <f>L.relæ!B8</f>
        <v>0</v>
      </c>
      <c r="C8" s="6"/>
      <c r="D8" s="21" t="s">
        <v>172</v>
      </c>
      <c r="E8" s="23" t="s">
        <v>174</v>
      </c>
      <c r="F8" s="8"/>
      <c r="G8" s="9"/>
      <c r="H8" s="10"/>
    </row>
    <row r="9" spans="1:8" ht="18" x14ac:dyDescent="0.35">
      <c r="A9" s="6" t="s">
        <v>122</v>
      </c>
      <c r="B9" s="17">
        <f>L.relæ!B9</f>
        <v>0</v>
      </c>
      <c r="C9" s="13"/>
      <c r="D9" s="21" t="s">
        <v>172</v>
      </c>
      <c r="E9" s="23" t="s">
        <v>175</v>
      </c>
      <c r="F9" s="8"/>
      <c r="G9" s="9"/>
      <c r="H9" s="10"/>
    </row>
    <row r="10" spans="1:8" ht="18" x14ac:dyDescent="0.35">
      <c r="A10" s="13" t="s">
        <v>169</v>
      </c>
      <c r="B10" s="3">
        <f>L.relæ!B10</f>
        <v>0</v>
      </c>
      <c r="C10" s="36" t="s">
        <v>18</v>
      </c>
      <c r="D10" s="37"/>
      <c r="E10" s="37"/>
      <c r="F10" s="37"/>
      <c r="G10" s="37"/>
      <c r="H10" s="38"/>
    </row>
    <row r="11" spans="1:8" x14ac:dyDescent="0.25">
      <c r="A11" s="90" t="s">
        <v>181</v>
      </c>
      <c r="B11" s="91"/>
      <c r="C11" s="91"/>
      <c r="D11" s="91"/>
      <c r="E11" s="91"/>
      <c r="F11" s="91"/>
      <c r="G11" s="91"/>
      <c r="H11" s="92"/>
    </row>
    <row r="12" spans="1:8" ht="18" x14ac:dyDescent="0.35">
      <c r="A12" s="26" t="s">
        <v>287</v>
      </c>
      <c r="B12" s="93">
        <f>L.relæ!B12</f>
        <v>0</v>
      </c>
      <c r="C12" s="31" t="s">
        <v>82</v>
      </c>
      <c r="D12" s="94" t="s">
        <v>170</v>
      </c>
      <c r="E12" s="95"/>
      <c r="F12" s="32"/>
      <c r="G12" s="32"/>
      <c r="H12" s="33"/>
    </row>
    <row r="13" spans="1:8" ht="18" x14ac:dyDescent="0.35">
      <c r="A13" s="6" t="s">
        <v>253</v>
      </c>
      <c r="B13" s="46">
        <f>L.relæ!B13</f>
        <v>0</v>
      </c>
      <c r="C13" s="31" t="s">
        <v>82</v>
      </c>
      <c r="D13" s="21" t="s">
        <v>170</v>
      </c>
      <c r="E13" s="23"/>
      <c r="F13" s="32"/>
      <c r="G13" s="32"/>
      <c r="H13" s="33"/>
    </row>
    <row r="16" spans="1:8" x14ac:dyDescent="0.25">
      <c r="A16" s="84" t="s">
        <v>100</v>
      </c>
      <c r="B16" s="85" t="str">
        <f>B3</f>
        <v>Trafo</v>
      </c>
      <c r="C16" s="85" t="str">
        <f>C3</f>
        <v>T0234</v>
      </c>
      <c r="D16" s="85"/>
      <c r="E16" s="85"/>
      <c r="F16" s="85"/>
      <c r="G16" s="85"/>
      <c r="H16" s="86"/>
    </row>
    <row r="17" spans="1:8" ht="18" x14ac:dyDescent="0.35">
      <c r="A17" s="6" t="s">
        <v>288</v>
      </c>
      <c r="B17" s="75">
        <f>Trafo.!C33</f>
        <v>0</v>
      </c>
      <c r="C17" s="37" t="s">
        <v>18</v>
      </c>
      <c r="D17" s="37"/>
      <c r="E17" s="37"/>
      <c r="F17" s="37"/>
      <c r="G17" s="37"/>
      <c r="H17" s="38"/>
    </row>
    <row r="18" spans="1:8" x14ac:dyDescent="0.25">
      <c r="A18" s="6" t="s">
        <v>455</v>
      </c>
      <c r="B18" s="185">
        <v>1.1000000000000001</v>
      </c>
      <c r="C18" s="8"/>
      <c r="D18" s="9"/>
      <c r="E18" s="9"/>
      <c r="F18" s="9"/>
      <c r="G18" s="9"/>
      <c r="H18" s="10"/>
    </row>
    <row r="19" spans="1:8" ht="18" x14ac:dyDescent="0.35">
      <c r="A19" s="6" t="s">
        <v>499</v>
      </c>
      <c r="B19" s="187">
        <f>B17*B18</f>
        <v>0</v>
      </c>
      <c r="C19" s="8"/>
      <c r="D19" s="9"/>
      <c r="E19" s="9"/>
      <c r="F19" s="9"/>
      <c r="G19" s="9"/>
      <c r="H19" s="10"/>
    </row>
    <row r="20" spans="1:8" x14ac:dyDescent="0.25">
      <c r="A20" s="6" t="s">
        <v>204</v>
      </c>
      <c r="B20" s="89">
        <v>3</v>
      </c>
      <c r="C20" s="102"/>
      <c r="D20" s="103"/>
      <c r="E20" s="103"/>
      <c r="F20" s="103"/>
      <c r="G20" s="103"/>
      <c r="H20" s="104"/>
    </row>
    <row r="21" spans="1:8" ht="18" x14ac:dyDescent="0.35">
      <c r="A21" s="6" t="s">
        <v>191</v>
      </c>
      <c r="B21" s="56">
        <v>100</v>
      </c>
      <c r="C21" s="8" t="s">
        <v>18</v>
      </c>
      <c r="D21" s="9"/>
      <c r="E21" s="9"/>
      <c r="F21" s="9"/>
      <c r="G21" s="9"/>
      <c r="H21" s="10"/>
    </row>
    <row r="22" spans="1:8" ht="18" x14ac:dyDescent="0.35">
      <c r="A22" s="6" t="s">
        <v>192</v>
      </c>
      <c r="B22" s="56">
        <v>5</v>
      </c>
      <c r="C22" s="8" t="s">
        <v>18</v>
      </c>
      <c r="D22" s="9"/>
      <c r="E22" s="9"/>
      <c r="F22" s="9"/>
      <c r="G22" s="9"/>
      <c r="H22" s="10"/>
    </row>
    <row r="23" spans="1:8" ht="18" x14ac:dyDescent="0.35">
      <c r="A23" s="6" t="s">
        <v>461</v>
      </c>
      <c r="B23" s="19">
        <f>B21/B22</f>
        <v>20</v>
      </c>
      <c r="C23" s="8"/>
      <c r="D23" s="9"/>
      <c r="E23" s="9"/>
      <c r="F23" s="9"/>
      <c r="G23" s="9"/>
      <c r="H23" s="10"/>
    </row>
    <row r="26" spans="1:8" x14ac:dyDescent="0.25">
      <c r="A26" s="84" t="s">
        <v>454</v>
      </c>
      <c r="B26" s="85" t="s">
        <v>229</v>
      </c>
      <c r="C26" s="85" t="str">
        <f>C16</f>
        <v>T0234</v>
      </c>
      <c r="D26" s="85"/>
      <c r="E26" s="85"/>
      <c r="F26" s="85"/>
      <c r="G26" s="85"/>
      <c r="H26" s="86"/>
    </row>
    <row r="27" spans="1:8" ht="18" x14ac:dyDescent="0.35">
      <c r="A27" s="6" t="s">
        <v>459</v>
      </c>
      <c r="B27" s="139">
        <f>B19</f>
        <v>0</v>
      </c>
      <c r="C27" s="8" t="s">
        <v>18</v>
      </c>
      <c r="D27" s="9"/>
      <c r="E27" s="9"/>
      <c r="F27" s="9"/>
      <c r="G27" s="9"/>
      <c r="H27" s="10"/>
    </row>
    <row r="28" spans="1:8" ht="18" x14ac:dyDescent="0.35">
      <c r="A28" s="6" t="s">
        <v>462</v>
      </c>
      <c r="B28" s="29">
        <f>B23</f>
        <v>20</v>
      </c>
      <c r="C28" s="8"/>
      <c r="D28" s="9"/>
      <c r="E28" s="9"/>
      <c r="F28" s="9"/>
      <c r="G28" s="9"/>
      <c r="H28" s="10"/>
    </row>
    <row r="29" spans="1:8" ht="18" x14ac:dyDescent="0.35">
      <c r="A29" s="6" t="s">
        <v>463</v>
      </c>
      <c r="B29" s="29">
        <f>B21</f>
        <v>100</v>
      </c>
      <c r="C29" s="8" t="s">
        <v>18</v>
      </c>
      <c r="D29" s="9"/>
      <c r="E29" s="9"/>
      <c r="F29" s="9"/>
      <c r="G29" s="9"/>
      <c r="H29" s="10"/>
    </row>
    <row r="30" spans="1:8" ht="18" x14ac:dyDescent="0.35">
      <c r="A30" s="6" t="s">
        <v>464</v>
      </c>
      <c r="B30" s="62">
        <f>B27/(B28*B29)</f>
        <v>0</v>
      </c>
      <c r="C30" s="8"/>
      <c r="D30" s="9"/>
      <c r="E30" s="9"/>
      <c r="F30" s="9"/>
      <c r="G30" s="9"/>
      <c r="H30" s="10"/>
    </row>
    <row r="33" spans="1:8" x14ac:dyDescent="0.25">
      <c r="A33" s="84" t="s">
        <v>273</v>
      </c>
      <c r="B33" s="85" t="s">
        <v>229</v>
      </c>
      <c r="C33" s="85" t="str">
        <f>C26</f>
        <v>T0234</v>
      </c>
      <c r="D33" s="85"/>
      <c r="E33" s="85"/>
      <c r="F33" s="85"/>
      <c r="G33" s="85"/>
      <c r="H33" s="86"/>
    </row>
    <row r="34" spans="1:8" ht="18" x14ac:dyDescent="0.35">
      <c r="A34" s="6" t="s">
        <v>38</v>
      </c>
      <c r="B34" s="4" t="e">
        <f>L.relæ!B97</f>
        <v>#DIV/0!</v>
      </c>
      <c r="C34" s="8" t="s">
        <v>37</v>
      </c>
      <c r="D34" s="9"/>
      <c r="E34" s="9"/>
      <c r="F34" s="9"/>
      <c r="G34" s="9"/>
      <c r="H34" s="10"/>
    </row>
    <row r="35" spans="1:8" ht="18" x14ac:dyDescent="0.35">
      <c r="A35" s="6" t="s">
        <v>196</v>
      </c>
      <c r="B35" s="62" t="e">
        <f>B34*0.5</f>
        <v>#DIV/0!</v>
      </c>
      <c r="C35" s="8" t="s">
        <v>37</v>
      </c>
      <c r="D35" s="9"/>
      <c r="E35" s="9"/>
      <c r="F35" s="9"/>
      <c r="G35" s="9"/>
      <c r="H35" s="10"/>
    </row>
    <row r="38" spans="1:8" x14ac:dyDescent="0.25">
      <c r="A38" s="84" t="s">
        <v>274</v>
      </c>
      <c r="B38" s="85" t="s">
        <v>258</v>
      </c>
      <c r="C38" s="85" t="str">
        <f>C3</f>
        <v>T0234</v>
      </c>
      <c r="D38" s="85"/>
      <c r="E38" s="85"/>
      <c r="F38" s="85"/>
      <c r="G38" s="85"/>
      <c r="H38" s="86"/>
    </row>
    <row r="39" spans="1:8" ht="18" x14ac:dyDescent="0.35">
      <c r="A39" s="6" t="s">
        <v>20</v>
      </c>
      <c r="B39" s="1">
        <v>10</v>
      </c>
      <c r="C39" s="8" t="s">
        <v>8</v>
      </c>
      <c r="D39" s="9"/>
      <c r="E39" s="9"/>
      <c r="F39" s="9"/>
      <c r="G39" s="9"/>
      <c r="H39" s="10"/>
    </row>
    <row r="40" spans="1:8" ht="18" x14ac:dyDescent="0.35">
      <c r="A40" s="6" t="s">
        <v>17</v>
      </c>
      <c r="B40" s="1">
        <f>Trafo.!B15</f>
        <v>0</v>
      </c>
      <c r="C40" s="8" t="s">
        <v>7</v>
      </c>
      <c r="D40" s="9"/>
      <c r="E40" s="9"/>
      <c r="F40" s="9"/>
      <c r="G40" s="9"/>
      <c r="H40" s="10"/>
    </row>
    <row r="41" spans="1:8" ht="18" x14ac:dyDescent="0.35">
      <c r="A41" s="6" t="s">
        <v>279</v>
      </c>
      <c r="B41" s="2">
        <f>(B40*10^3)/(SQRT(3)*(B39*10^3))</f>
        <v>0</v>
      </c>
      <c r="C41" s="8" t="s">
        <v>18</v>
      </c>
      <c r="D41" s="9"/>
      <c r="E41" s="9"/>
      <c r="F41" s="9"/>
      <c r="G41" s="9"/>
      <c r="H41" s="10"/>
    </row>
    <row r="42" spans="1:8" ht="18" x14ac:dyDescent="0.35">
      <c r="A42" s="51" t="s">
        <v>280</v>
      </c>
      <c r="B42" s="62">
        <f>1.5*B41</f>
        <v>0</v>
      </c>
      <c r="C42" s="8" t="s">
        <v>18</v>
      </c>
      <c r="D42" s="9"/>
      <c r="E42" s="9"/>
      <c r="F42" s="9"/>
      <c r="G42" s="9"/>
      <c r="H42" s="10"/>
    </row>
    <row r="45" spans="1:8" x14ac:dyDescent="0.25">
      <c r="A45" s="84" t="s">
        <v>273</v>
      </c>
      <c r="B45" s="85" t="s">
        <v>229</v>
      </c>
      <c r="C45" s="85" t="str">
        <f>C38</f>
        <v>T0234</v>
      </c>
      <c r="D45" s="85"/>
      <c r="E45" s="85"/>
      <c r="F45" s="85"/>
      <c r="G45" s="85"/>
      <c r="H45" s="86"/>
    </row>
    <row r="46" spans="1:8" ht="18" x14ac:dyDescent="0.35">
      <c r="A46" s="6" t="s">
        <v>38</v>
      </c>
      <c r="B46" s="4" t="e">
        <f>L.relæ!B97</f>
        <v>#DIV/0!</v>
      </c>
      <c r="C46" s="8" t="s">
        <v>37</v>
      </c>
      <c r="D46" s="9"/>
      <c r="E46" s="9"/>
      <c r="F46" s="9"/>
      <c r="G46" s="9"/>
      <c r="H46" s="10"/>
    </row>
    <row r="47" spans="1:8" ht="18" x14ac:dyDescent="0.35">
      <c r="A47" s="6" t="s">
        <v>196</v>
      </c>
      <c r="B47" s="62" t="e">
        <f>B46*0.5</f>
        <v>#DIV/0!</v>
      </c>
      <c r="C47" s="8" t="s">
        <v>37</v>
      </c>
      <c r="D47" s="9"/>
      <c r="E47" s="9"/>
      <c r="F47" s="9"/>
      <c r="G47" s="9"/>
      <c r="H47" s="10"/>
    </row>
    <row r="50" spans="1:9" x14ac:dyDescent="0.25">
      <c r="A50" s="84" t="s">
        <v>272</v>
      </c>
      <c r="B50" s="85" t="s">
        <v>229</v>
      </c>
      <c r="C50" s="85" t="str">
        <f>C45</f>
        <v>T0234</v>
      </c>
      <c r="D50" s="85"/>
      <c r="E50" s="85"/>
      <c r="F50" s="85"/>
      <c r="G50" s="85"/>
      <c r="H50" s="86"/>
    </row>
    <row r="51" spans="1:9" ht="18" x14ac:dyDescent="0.35">
      <c r="A51" s="26" t="s">
        <v>20</v>
      </c>
      <c r="B51" s="30">
        <v>10</v>
      </c>
      <c r="C51" s="31" t="s">
        <v>8</v>
      </c>
      <c r="D51" s="32"/>
      <c r="E51" s="32"/>
      <c r="F51" s="32"/>
      <c r="G51" s="32"/>
      <c r="H51" s="33"/>
    </row>
    <row r="52" spans="1:9" ht="18" x14ac:dyDescent="0.35">
      <c r="A52" s="6" t="s">
        <v>21</v>
      </c>
      <c r="B52" s="1">
        <v>0.4</v>
      </c>
      <c r="C52" s="8" t="s">
        <v>8</v>
      </c>
      <c r="D52" s="9"/>
      <c r="E52" s="9"/>
      <c r="F52" s="9"/>
      <c r="G52" s="9"/>
      <c r="H52" s="10"/>
    </row>
    <row r="53" spans="1:9" ht="18" x14ac:dyDescent="0.35">
      <c r="A53" s="6" t="s">
        <v>42</v>
      </c>
      <c r="B53" s="1">
        <f>B51/B52</f>
        <v>25</v>
      </c>
      <c r="C53" s="36"/>
      <c r="D53" s="37"/>
      <c r="E53" s="37"/>
      <c r="F53" s="37"/>
      <c r="G53" s="37"/>
      <c r="H53" s="38"/>
    </row>
    <row r="54" spans="1:9" ht="18" x14ac:dyDescent="0.35">
      <c r="A54" s="6" t="s">
        <v>17</v>
      </c>
      <c r="B54" s="1">
        <f>B40</f>
        <v>0</v>
      </c>
      <c r="C54" s="8" t="s">
        <v>7</v>
      </c>
      <c r="D54" s="9"/>
      <c r="E54" s="9"/>
      <c r="F54" s="9"/>
      <c r="G54" s="9"/>
      <c r="H54" s="10"/>
    </row>
    <row r="55" spans="1:9" ht="18" x14ac:dyDescent="0.35">
      <c r="A55" s="6" t="s">
        <v>279</v>
      </c>
      <c r="B55" s="2">
        <f>(B54*10^3)/(SQRT(3)*(B51*10^3))</f>
        <v>0</v>
      </c>
      <c r="C55" s="8" t="s">
        <v>18</v>
      </c>
      <c r="D55" s="9"/>
      <c r="E55" s="9"/>
      <c r="F55" s="9"/>
      <c r="G55" s="9"/>
      <c r="H55" s="10"/>
    </row>
    <row r="56" spans="1:9" ht="18" x14ac:dyDescent="0.35">
      <c r="A56" s="58" t="s">
        <v>266</v>
      </c>
      <c r="B56" s="144" t="e">
        <f>'IM. Linje'!B95</f>
        <v>#N/A</v>
      </c>
      <c r="C56" s="106" t="s">
        <v>5</v>
      </c>
      <c r="D56" s="107"/>
      <c r="E56" s="107"/>
      <c r="F56" s="107"/>
      <c r="G56" s="107"/>
      <c r="H56" s="108"/>
    </row>
    <row r="57" spans="1:9" ht="18" x14ac:dyDescent="0.35">
      <c r="A57" s="6" t="s">
        <v>209</v>
      </c>
      <c r="B57" s="2" t="e">
        <f>(B51*10^3)/(SQRT(3)*B56)</f>
        <v>#N/A</v>
      </c>
      <c r="C57" s="8" t="s">
        <v>18</v>
      </c>
      <c r="D57" s="9"/>
      <c r="E57" s="9"/>
      <c r="F57" s="9"/>
      <c r="G57" s="9"/>
      <c r="H57" s="10"/>
    </row>
    <row r="58" spans="1:9" ht="18" x14ac:dyDescent="0.35">
      <c r="A58" s="6" t="s">
        <v>211</v>
      </c>
      <c r="B58" s="2" t="e">
        <f>(SQRT(3)/2)*B57</f>
        <v>#N/A</v>
      </c>
      <c r="C58" s="8" t="s">
        <v>18</v>
      </c>
      <c r="D58" s="9"/>
      <c r="E58" s="9"/>
      <c r="F58" s="9"/>
      <c r="G58" s="9"/>
      <c r="H58" s="10"/>
    </row>
    <row r="59" spans="1:9" ht="18" x14ac:dyDescent="0.35">
      <c r="A59" s="58" t="s">
        <v>267</v>
      </c>
      <c r="B59" s="145" t="e">
        <f>'IM. Trafo.'!B54</f>
        <v>#N/A</v>
      </c>
      <c r="C59" s="106" t="s">
        <v>5</v>
      </c>
      <c r="D59" s="107"/>
      <c r="E59" s="107"/>
      <c r="F59" s="107"/>
      <c r="G59" s="107"/>
      <c r="H59" s="108"/>
    </row>
    <row r="60" spans="1:9" ht="18" x14ac:dyDescent="0.35">
      <c r="A60" s="6" t="s">
        <v>207</v>
      </c>
      <c r="B60" s="2" t="e">
        <f>B52*10^3/(SQRT(3)*B59)</f>
        <v>#N/A</v>
      </c>
      <c r="C60" s="8" t="s">
        <v>18</v>
      </c>
      <c r="D60" s="9"/>
      <c r="E60" s="9"/>
      <c r="F60" s="9"/>
      <c r="G60" s="9"/>
      <c r="H60" s="10"/>
    </row>
    <row r="61" spans="1:9" ht="18" x14ac:dyDescent="0.35">
      <c r="A61" s="6" t="s">
        <v>210</v>
      </c>
      <c r="B61" s="2" t="e">
        <f>(B60/B53)</f>
        <v>#N/A</v>
      </c>
      <c r="C61" s="8" t="s">
        <v>18</v>
      </c>
      <c r="D61" s="9"/>
      <c r="E61" s="9"/>
      <c r="F61" s="9"/>
      <c r="G61" s="9"/>
      <c r="H61" s="10"/>
      <c r="I61" t="s">
        <v>506</v>
      </c>
    </row>
    <row r="62" spans="1:9" ht="18" x14ac:dyDescent="0.35">
      <c r="A62" s="6" t="s">
        <v>161</v>
      </c>
      <c r="B62" s="2" t="e">
        <f>0.75*(B58)</f>
        <v>#N/A</v>
      </c>
      <c r="C62" s="8" t="s">
        <v>18</v>
      </c>
      <c r="D62" s="9"/>
      <c r="E62" s="9"/>
      <c r="F62" s="9"/>
      <c r="G62" s="9"/>
      <c r="H62" s="10"/>
    </row>
    <row r="63" spans="1:9" ht="18" x14ac:dyDescent="0.35">
      <c r="A63" s="6" t="s">
        <v>281</v>
      </c>
      <c r="B63" s="2">
        <f>12*B55</f>
        <v>0</v>
      </c>
      <c r="C63" s="8" t="s">
        <v>18</v>
      </c>
      <c r="D63" s="9"/>
      <c r="E63" s="9"/>
      <c r="F63" s="9"/>
      <c r="G63" s="9"/>
      <c r="H63" s="10"/>
    </row>
    <row r="64" spans="1:9" x14ac:dyDescent="0.25">
      <c r="A64" s="90" t="s">
        <v>156</v>
      </c>
      <c r="B64" s="91"/>
      <c r="C64" s="91"/>
      <c r="D64" s="91"/>
      <c r="E64" s="91"/>
      <c r="F64" s="91"/>
      <c r="G64" s="91"/>
      <c r="H64" s="92"/>
    </row>
    <row r="65" spans="1:10" ht="18" x14ac:dyDescent="0.35">
      <c r="A65" s="6" t="s">
        <v>162</v>
      </c>
      <c r="B65" s="19" t="e">
        <f>IF(J65=1,"OK","Ikke OK")</f>
        <v>#N/A</v>
      </c>
      <c r="C65" s="8"/>
      <c r="D65" s="9"/>
      <c r="E65" s="9"/>
      <c r="F65" s="9"/>
      <c r="G65" s="9"/>
      <c r="H65" s="10"/>
      <c r="J65" t="e">
        <f>IF(B68&lt;B62,1,0)</f>
        <v>#N/A</v>
      </c>
    </row>
    <row r="66" spans="1:10" ht="18" x14ac:dyDescent="0.35">
      <c r="A66" s="6" t="s">
        <v>282</v>
      </c>
      <c r="B66" s="19" t="str">
        <f>IF(J66=1,"OK","Ikke OK")</f>
        <v>Ikke OK</v>
      </c>
      <c r="C66" s="8"/>
      <c r="D66" s="9"/>
      <c r="E66" s="9"/>
      <c r="F66" s="9"/>
      <c r="G66" s="9"/>
      <c r="H66" s="10"/>
      <c r="J66">
        <f>IF(B68&gt;B63,1,0)</f>
        <v>0</v>
      </c>
    </row>
    <row r="67" spans="1:10" ht="18" x14ac:dyDescent="0.35">
      <c r="A67" s="6" t="s">
        <v>163</v>
      </c>
      <c r="B67" s="2" t="e">
        <f>IF(J67=1,"OK","Ikke OK")</f>
        <v>#N/A</v>
      </c>
      <c r="C67" s="8"/>
      <c r="D67" s="9"/>
      <c r="E67" s="9"/>
      <c r="F67" s="9"/>
      <c r="G67" s="9"/>
      <c r="H67" s="10"/>
      <c r="J67" t="e">
        <f>IF(B68&gt;B61,1,0)</f>
        <v>#N/A</v>
      </c>
    </row>
    <row r="68" spans="1:10" x14ac:dyDescent="0.25">
      <c r="A68" s="6" t="s">
        <v>39</v>
      </c>
      <c r="B68" s="56"/>
      <c r="C68" s="8" t="s">
        <v>18</v>
      </c>
      <c r="D68" s="9"/>
      <c r="E68" s="9"/>
      <c r="F68" s="9"/>
      <c r="G68" s="9"/>
      <c r="H68" s="10"/>
      <c r="I68" s="210"/>
    </row>
    <row r="69" spans="1:10" x14ac:dyDescent="0.25">
      <c r="A69" s="6" t="s">
        <v>40</v>
      </c>
      <c r="B69" s="62">
        <v>0.04</v>
      </c>
      <c r="C69" s="8"/>
      <c r="D69" s="9"/>
      <c r="E69" s="9"/>
      <c r="F69" s="9"/>
      <c r="G69" s="9"/>
      <c r="H69" s="10"/>
      <c r="I69" t="s">
        <v>505</v>
      </c>
    </row>
    <row r="72" spans="1:10" x14ac:dyDescent="0.25">
      <c r="A72" s="84" t="s">
        <v>151</v>
      </c>
      <c r="B72" s="85" t="s">
        <v>229</v>
      </c>
      <c r="C72" s="85" t="str">
        <f>C50</f>
        <v>T0234</v>
      </c>
      <c r="D72" s="85"/>
      <c r="E72" s="85"/>
      <c r="F72" s="85"/>
      <c r="G72" s="85"/>
      <c r="H72" s="86"/>
    </row>
    <row r="73" spans="1:10" x14ac:dyDescent="0.25">
      <c r="A73" s="6" t="s">
        <v>33</v>
      </c>
      <c r="B73" s="62">
        <f>B42</f>
        <v>0</v>
      </c>
      <c r="C73" s="8" t="s">
        <v>18</v>
      </c>
      <c r="D73" s="9"/>
      <c r="E73" s="9"/>
      <c r="F73" s="9"/>
      <c r="G73" s="9"/>
      <c r="H73" s="10"/>
      <c r="I73" s="210"/>
      <c r="J73" s="212"/>
    </row>
    <row r="74" spans="1:10" x14ac:dyDescent="0.25">
      <c r="A74" s="6" t="s">
        <v>34</v>
      </c>
      <c r="B74" s="62" t="e">
        <f>B47</f>
        <v>#DIV/0!</v>
      </c>
      <c r="C74" s="8" t="s">
        <v>37</v>
      </c>
      <c r="D74" s="9"/>
      <c r="E74" s="9"/>
      <c r="F74" s="9"/>
      <c r="G74" s="9"/>
      <c r="H74" s="10"/>
      <c r="I74" s="210"/>
      <c r="J74" s="212"/>
    </row>
    <row r="75" spans="1:10" x14ac:dyDescent="0.25">
      <c r="A75" s="6" t="s">
        <v>39</v>
      </c>
      <c r="B75" s="56">
        <f>B68</f>
        <v>0</v>
      </c>
      <c r="C75" s="8" t="s">
        <v>18</v>
      </c>
      <c r="D75" s="9"/>
      <c r="E75" s="9"/>
      <c r="F75" s="9"/>
      <c r="G75" s="9"/>
      <c r="H75" s="10"/>
      <c r="I75" s="210"/>
      <c r="J75" s="212"/>
    </row>
    <row r="76" spans="1:10" x14ac:dyDescent="0.25">
      <c r="A76" s="6" t="s">
        <v>40</v>
      </c>
      <c r="B76" s="62">
        <f>B69</f>
        <v>0.04</v>
      </c>
      <c r="C76" s="8" t="s">
        <v>37</v>
      </c>
      <c r="D76" s="9"/>
      <c r="E76" s="9"/>
      <c r="F76" s="9"/>
      <c r="G76" s="9"/>
      <c r="H76" s="10"/>
      <c r="I76" s="210" t="s">
        <v>336</v>
      </c>
      <c r="J76" s="212"/>
    </row>
    <row r="79" spans="1:10" x14ac:dyDescent="0.25">
      <c r="A79" s="84" t="s">
        <v>269</v>
      </c>
      <c r="B79" s="85" t="s">
        <v>270</v>
      </c>
      <c r="C79" s="85" t="str">
        <f>C38</f>
        <v>T0234</v>
      </c>
      <c r="D79" s="85"/>
      <c r="E79" s="85"/>
      <c r="F79" s="85"/>
      <c r="G79" s="85"/>
      <c r="H79" s="86"/>
    </row>
    <row r="80" spans="1:10" ht="18" x14ac:dyDescent="0.35">
      <c r="A80" s="6" t="s">
        <v>20</v>
      </c>
      <c r="B80" s="67">
        <v>10</v>
      </c>
      <c r="C80" s="8" t="s">
        <v>8</v>
      </c>
      <c r="D80" s="9"/>
      <c r="E80" s="9"/>
      <c r="F80" s="9"/>
      <c r="G80" s="9"/>
      <c r="H80" s="10"/>
    </row>
    <row r="81" spans="1:11" ht="18" x14ac:dyDescent="0.35">
      <c r="A81" s="6" t="s">
        <v>21</v>
      </c>
      <c r="B81" s="67">
        <v>0.4</v>
      </c>
      <c r="C81" s="8" t="s">
        <v>8</v>
      </c>
      <c r="D81" s="9"/>
      <c r="E81" s="9"/>
      <c r="F81" s="9"/>
      <c r="G81" s="9"/>
      <c r="H81" s="10"/>
    </row>
    <row r="82" spans="1:11" ht="18" x14ac:dyDescent="0.35">
      <c r="A82" s="58" t="s">
        <v>348</v>
      </c>
      <c r="B82" s="144" t="e">
        <f>B56</f>
        <v>#N/A</v>
      </c>
      <c r="C82" s="106" t="s">
        <v>5</v>
      </c>
      <c r="D82" s="107"/>
      <c r="E82" s="107"/>
      <c r="F82" s="107"/>
      <c r="G82" s="107"/>
      <c r="H82" s="108"/>
    </row>
    <row r="83" spans="1:11" ht="18" x14ac:dyDescent="0.35">
      <c r="A83" s="26" t="s">
        <v>361</v>
      </c>
      <c r="B83" s="2" t="e">
        <f>(B80*10^3)/(SQRT(3)*B82)</f>
        <v>#N/A</v>
      </c>
      <c r="C83" s="131" t="s">
        <v>18</v>
      </c>
      <c r="D83" s="123"/>
      <c r="E83" s="123"/>
      <c r="F83" s="123"/>
      <c r="G83" s="123"/>
      <c r="H83" s="124"/>
    </row>
    <row r="84" spans="1:11" ht="18" x14ac:dyDescent="0.35">
      <c r="A84" s="26" t="s">
        <v>276</v>
      </c>
      <c r="B84" s="2" t="e">
        <f>(SQRT(3)/2)*B83</f>
        <v>#N/A</v>
      </c>
      <c r="C84" s="8" t="s">
        <v>18</v>
      </c>
      <c r="D84" s="9"/>
      <c r="E84" s="9"/>
      <c r="F84" s="9"/>
      <c r="G84" s="9"/>
      <c r="H84" s="10"/>
    </row>
    <row r="85" spans="1:11" ht="18" x14ac:dyDescent="0.35">
      <c r="A85" s="6" t="s">
        <v>36</v>
      </c>
      <c r="B85" s="158">
        <f>L.relæ!B100</f>
        <v>0.04</v>
      </c>
      <c r="C85" s="31" t="s">
        <v>37</v>
      </c>
      <c r="D85" s="32"/>
      <c r="E85" s="32"/>
      <c r="F85" s="32"/>
      <c r="G85" s="32"/>
      <c r="H85" s="33"/>
    </row>
    <row r="86" spans="1:11" x14ac:dyDescent="0.25">
      <c r="A86" s="6" t="s">
        <v>40</v>
      </c>
      <c r="B86" s="28">
        <f>B76</f>
        <v>0.04</v>
      </c>
      <c r="C86" s="8" t="s">
        <v>37</v>
      </c>
      <c r="D86" s="9"/>
      <c r="E86" s="9"/>
      <c r="F86" s="9"/>
      <c r="G86" s="9"/>
      <c r="H86" s="10"/>
    </row>
    <row r="87" spans="1:11" x14ac:dyDescent="0.25">
      <c r="A87" s="84" t="s">
        <v>86</v>
      </c>
      <c r="B87" s="85"/>
      <c r="C87" s="85"/>
      <c r="D87" s="85"/>
      <c r="E87" s="85"/>
      <c r="F87" s="85"/>
      <c r="G87" s="85"/>
      <c r="H87" s="86"/>
    </row>
    <row r="88" spans="1:11" x14ac:dyDescent="0.25">
      <c r="A88" s="6" t="s">
        <v>33</v>
      </c>
      <c r="B88" s="155">
        <f>B73</f>
        <v>0</v>
      </c>
      <c r="C88" s="8" t="s">
        <v>18</v>
      </c>
      <c r="D88" s="9"/>
      <c r="E88" s="9"/>
      <c r="F88" s="9"/>
      <c r="G88" s="9"/>
      <c r="H88" s="10"/>
    </row>
    <row r="89" spans="1:11" ht="18" x14ac:dyDescent="0.35">
      <c r="A89" s="6" t="s">
        <v>200</v>
      </c>
      <c r="B89" s="75">
        <f>B10</f>
        <v>0</v>
      </c>
      <c r="C89" s="8" t="s">
        <v>18</v>
      </c>
      <c r="D89" s="9"/>
      <c r="E89" s="9"/>
      <c r="F89" s="9"/>
      <c r="G89" s="9"/>
      <c r="H89" s="10"/>
    </row>
    <row r="90" spans="1:11" ht="18" x14ac:dyDescent="0.35">
      <c r="A90" s="6" t="s">
        <v>368</v>
      </c>
      <c r="B90" s="56" t="str">
        <f>IF(B88&lt;=B89,"OK","Ikke OK")</f>
        <v>OK</v>
      </c>
      <c r="C90" s="8"/>
      <c r="D90" s="9"/>
      <c r="E90" s="9"/>
      <c r="F90" s="9"/>
      <c r="G90" s="9"/>
      <c r="H90" s="10"/>
      <c r="K90" t="e">
        <f>IF(#REF!&lt;=#REF!,1,0)</f>
        <v>#REF!</v>
      </c>
    </row>
    <row r="91" spans="1:11" x14ac:dyDescent="0.25">
      <c r="A91" s="84" t="s">
        <v>87</v>
      </c>
      <c r="B91" s="85"/>
      <c r="C91" s="85"/>
      <c r="D91" s="85"/>
      <c r="E91" s="85"/>
      <c r="F91" s="85"/>
      <c r="G91" s="85"/>
      <c r="H91" s="86"/>
    </row>
    <row r="92" spans="1:11" ht="18" x14ac:dyDescent="0.35">
      <c r="A92" s="26" t="s">
        <v>287</v>
      </c>
      <c r="B92" s="17">
        <f>B12</f>
        <v>0</v>
      </c>
      <c r="C92" s="8" t="s">
        <v>82</v>
      </c>
      <c r="D92" s="9"/>
      <c r="E92" s="9"/>
      <c r="F92" s="9"/>
      <c r="G92" s="9"/>
      <c r="H92" s="10"/>
    </row>
    <row r="93" spans="1:11" ht="18" x14ac:dyDescent="0.35">
      <c r="A93" s="6" t="s">
        <v>277</v>
      </c>
      <c r="B93" s="3" t="e">
        <f>B83*SQRT(B86+B85)*10^-3</f>
        <v>#N/A</v>
      </c>
      <c r="C93" s="8" t="s">
        <v>82</v>
      </c>
      <c r="D93" s="9"/>
      <c r="E93" s="9"/>
      <c r="F93" s="9"/>
      <c r="G93" s="9"/>
      <c r="H93" s="10"/>
    </row>
    <row r="94" spans="1:11" ht="18" x14ac:dyDescent="0.35">
      <c r="A94" s="6" t="s">
        <v>285</v>
      </c>
      <c r="B94" s="56" t="e">
        <f>IF(B92&gt;=B93,"OK","Ikke OK")</f>
        <v>#N/A</v>
      </c>
      <c r="C94" s="8"/>
      <c r="D94" s="9"/>
      <c r="E94" s="9"/>
      <c r="F94" s="9"/>
      <c r="G94" s="9"/>
      <c r="H94" s="10"/>
    </row>
    <row r="95" spans="1:11" x14ac:dyDescent="0.25">
      <c r="A95" s="84" t="s">
        <v>88</v>
      </c>
      <c r="B95" s="85"/>
      <c r="C95" s="85"/>
      <c r="D95" s="85"/>
      <c r="E95" s="85"/>
      <c r="F95" s="85"/>
      <c r="G95" s="85"/>
      <c r="H95" s="86"/>
    </row>
    <row r="96" spans="1:11" ht="18" x14ac:dyDescent="0.35">
      <c r="A96" s="6" t="s">
        <v>253</v>
      </c>
      <c r="B96" s="17">
        <f>B13</f>
        <v>0</v>
      </c>
      <c r="C96" s="8" t="s">
        <v>82</v>
      </c>
      <c r="D96" s="9"/>
      <c r="E96" s="9"/>
      <c r="F96" s="9"/>
      <c r="G96" s="9"/>
      <c r="H96" s="10"/>
    </row>
    <row r="97" spans="1:9" ht="18" x14ac:dyDescent="0.35">
      <c r="A97" s="6" t="s">
        <v>278</v>
      </c>
      <c r="B97" s="3" t="e">
        <f>B84*SQRT(B86+B85)*10^-3</f>
        <v>#N/A</v>
      </c>
      <c r="C97" s="8" t="s">
        <v>82</v>
      </c>
      <c r="D97" s="9"/>
      <c r="E97" s="9"/>
      <c r="F97" s="9"/>
      <c r="G97" s="9"/>
      <c r="H97" s="10"/>
    </row>
    <row r="98" spans="1:9" ht="18" x14ac:dyDescent="0.35">
      <c r="A98" s="6" t="s">
        <v>286</v>
      </c>
      <c r="B98" s="56" t="e">
        <f>IF(B96&gt;=B97,"OK","Ikke OK")</f>
        <v>#N/A</v>
      </c>
      <c r="C98" s="8"/>
      <c r="D98" s="9"/>
      <c r="E98" s="9"/>
      <c r="F98" s="9"/>
      <c r="G98" s="9"/>
      <c r="H98" s="10"/>
    </row>
    <row r="100" spans="1:9" x14ac:dyDescent="0.25">
      <c r="A100" s="53" t="s">
        <v>510</v>
      </c>
    </row>
    <row r="101" spans="1:9" x14ac:dyDescent="0.25">
      <c r="A101" s="84" t="s">
        <v>58</v>
      </c>
      <c r="B101" s="85" t="s">
        <v>258</v>
      </c>
      <c r="C101" s="85" t="str">
        <f>C79</f>
        <v>T0234</v>
      </c>
      <c r="D101" s="85"/>
      <c r="E101" s="85"/>
      <c r="F101" s="85"/>
      <c r="G101" s="85"/>
      <c r="H101" s="86"/>
    </row>
    <row r="102" spans="1:9" ht="18" x14ac:dyDescent="0.35">
      <c r="A102" s="6" t="s">
        <v>20</v>
      </c>
      <c r="B102" s="67">
        <v>10</v>
      </c>
      <c r="C102" s="8" t="s">
        <v>8</v>
      </c>
      <c r="D102" s="9"/>
      <c r="E102" s="9"/>
      <c r="F102" s="9"/>
      <c r="G102" s="9"/>
      <c r="H102" s="10"/>
    </row>
    <row r="103" spans="1:9" ht="18" x14ac:dyDescent="0.35">
      <c r="A103" s="6" t="s">
        <v>21</v>
      </c>
      <c r="B103" s="67">
        <v>0.4</v>
      </c>
      <c r="C103" s="8" t="s">
        <v>8</v>
      </c>
      <c r="D103" s="9"/>
      <c r="E103" s="9"/>
      <c r="F103" s="9"/>
      <c r="G103" s="9"/>
      <c r="H103" s="10"/>
    </row>
    <row r="104" spans="1:9" ht="18" x14ac:dyDescent="0.35">
      <c r="A104" s="6" t="s">
        <v>42</v>
      </c>
      <c r="B104" s="3">
        <f>B102/B103</f>
        <v>25</v>
      </c>
      <c r="C104" s="8"/>
      <c r="D104" s="9"/>
      <c r="E104" s="9"/>
      <c r="F104" s="9"/>
      <c r="G104" s="9"/>
      <c r="H104" s="10"/>
    </row>
    <row r="105" spans="1:9" ht="18" x14ac:dyDescent="0.35">
      <c r="A105" s="58" t="s">
        <v>452</v>
      </c>
      <c r="B105" s="138" t="e">
        <f>'IM. Trafo.'!B11</f>
        <v>#N/A</v>
      </c>
      <c r="C105" s="24" t="s">
        <v>5</v>
      </c>
      <c r="D105" s="103"/>
      <c r="E105" s="103"/>
      <c r="F105" s="103"/>
      <c r="G105" s="103"/>
      <c r="H105" s="104"/>
    </row>
    <row r="106" spans="1:9" ht="18" x14ac:dyDescent="0.35">
      <c r="A106" s="6" t="s">
        <v>451</v>
      </c>
      <c r="B106" s="3" t="e">
        <f>(B102*10^3)/(2*B105)</f>
        <v>#N/A</v>
      </c>
      <c r="C106" s="8" t="s">
        <v>18</v>
      </c>
      <c r="D106" s="9"/>
      <c r="E106" s="9"/>
      <c r="F106" s="9"/>
      <c r="G106" s="9"/>
      <c r="H106" s="10"/>
    </row>
    <row r="107" spans="1:9" ht="18" x14ac:dyDescent="0.35">
      <c r="A107" s="58" t="s">
        <v>355</v>
      </c>
      <c r="B107" s="138" t="e">
        <f>'IM. Trafo.'!B54</f>
        <v>#N/A</v>
      </c>
      <c r="C107" s="24" t="s">
        <v>5</v>
      </c>
      <c r="D107" s="103"/>
      <c r="E107" s="103"/>
      <c r="F107" s="103"/>
      <c r="G107" s="103"/>
      <c r="H107" s="104"/>
    </row>
    <row r="108" spans="1:9" ht="18" x14ac:dyDescent="0.35">
      <c r="A108" s="6" t="s">
        <v>381</v>
      </c>
      <c r="B108" s="3" t="e">
        <f>(B103)/(SQRT(3)*B107)*10^3</f>
        <v>#N/A</v>
      </c>
      <c r="C108" s="31" t="s">
        <v>18</v>
      </c>
      <c r="D108" s="32"/>
      <c r="E108" s="32"/>
      <c r="F108" s="32"/>
      <c r="G108" s="32"/>
      <c r="H108" s="33"/>
    </row>
    <row r="109" spans="1:9" ht="18" x14ac:dyDescent="0.35">
      <c r="A109" s="26" t="s">
        <v>380</v>
      </c>
      <c r="B109" s="3" t="e">
        <f>B108</f>
        <v>#N/A</v>
      </c>
      <c r="C109" s="31" t="s">
        <v>18</v>
      </c>
      <c r="D109" s="32"/>
      <c r="E109" s="32"/>
      <c r="F109" s="32"/>
      <c r="G109" s="32"/>
      <c r="H109" s="33"/>
    </row>
    <row r="110" spans="1:9" ht="18" x14ac:dyDescent="0.35">
      <c r="A110" s="26" t="s">
        <v>265</v>
      </c>
      <c r="B110" s="3" t="e">
        <f>B109/(SQRT(3)*B104)</f>
        <v>#N/A</v>
      </c>
      <c r="C110" s="49" t="s">
        <v>18</v>
      </c>
      <c r="D110" s="53"/>
      <c r="E110" s="53"/>
      <c r="F110" s="53"/>
      <c r="G110" s="53"/>
      <c r="H110" s="50"/>
    </row>
    <row r="111" spans="1:9" ht="18" x14ac:dyDescent="0.35">
      <c r="A111" s="58" t="s">
        <v>453</v>
      </c>
      <c r="B111" s="28"/>
      <c r="C111" s="8" t="s">
        <v>37</v>
      </c>
      <c r="D111" s="9"/>
      <c r="E111" s="9"/>
      <c r="F111" s="9"/>
      <c r="G111" s="9"/>
      <c r="H111" s="10"/>
      <c r="I111" s="210"/>
    </row>
    <row r="112" spans="1:9" ht="18" x14ac:dyDescent="0.35">
      <c r="A112" s="58" t="s">
        <v>62</v>
      </c>
      <c r="B112" s="161">
        <f>L.relæ!B100</f>
        <v>0.04</v>
      </c>
      <c r="C112" s="8" t="s">
        <v>37</v>
      </c>
      <c r="D112" s="9"/>
      <c r="E112" s="9"/>
      <c r="F112" s="9"/>
      <c r="G112" s="9"/>
      <c r="H112" s="10"/>
      <c r="I112" t="s">
        <v>507</v>
      </c>
    </row>
    <row r="113" spans="1:9" ht="17.25" x14ac:dyDescent="0.25">
      <c r="A113" s="58" t="s">
        <v>51</v>
      </c>
      <c r="B113" s="129">
        <v>226</v>
      </c>
      <c r="C113" s="8" t="s">
        <v>54</v>
      </c>
      <c r="D113" s="9"/>
      <c r="E113" s="9"/>
      <c r="F113" s="9"/>
      <c r="G113" s="9"/>
      <c r="H113" s="10"/>
    </row>
    <row r="114" spans="1:9" ht="18" x14ac:dyDescent="0.35">
      <c r="A114" s="58" t="s">
        <v>63</v>
      </c>
      <c r="B114" s="129"/>
      <c r="C114" s="24" t="s">
        <v>55</v>
      </c>
      <c r="D114" s="9"/>
      <c r="E114" s="9"/>
      <c r="F114" s="9"/>
      <c r="G114" s="9"/>
      <c r="H114" s="10"/>
      <c r="I114" s="210"/>
    </row>
    <row r="115" spans="1:9" ht="18" x14ac:dyDescent="0.35">
      <c r="A115" s="58" t="s">
        <v>64</v>
      </c>
      <c r="B115" s="129">
        <v>300</v>
      </c>
      <c r="C115" s="24" t="s">
        <v>55</v>
      </c>
      <c r="D115" s="9"/>
      <c r="E115" s="9"/>
      <c r="F115" s="9"/>
      <c r="G115" s="9"/>
      <c r="H115" s="10"/>
    </row>
    <row r="116" spans="1:9" x14ac:dyDescent="0.25">
      <c r="A116" s="58" t="s">
        <v>52</v>
      </c>
      <c r="B116" s="129">
        <v>234.5</v>
      </c>
      <c r="C116" s="24" t="s">
        <v>55</v>
      </c>
      <c r="D116" s="9"/>
      <c r="E116" s="9"/>
      <c r="F116" s="9"/>
      <c r="G116" s="9"/>
      <c r="H116" s="10"/>
    </row>
    <row r="117" spans="1:9" x14ac:dyDescent="0.25">
      <c r="A117" s="90" t="s">
        <v>60</v>
      </c>
      <c r="B117" s="91"/>
      <c r="C117" s="91"/>
      <c r="D117" s="91"/>
      <c r="E117" s="91"/>
      <c r="F117" s="91"/>
      <c r="G117" s="91"/>
      <c r="H117" s="92"/>
    </row>
    <row r="118" spans="1:9" x14ac:dyDescent="0.25">
      <c r="A118" s="35"/>
      <c r="B118" s="54"/>
      <c r="C118" s="36"/>
      <c r="D118" s="37"/>
      <c r="E118" s="37"/>
      <c r="F118" s="37"/>
      <c r="G118" s="37"/>
      <c r="H118" s="38"/>
      <c r="I118" t="s">
        <v>508</v>
      </c>
    </row>
    <row r="119" spans="1:9" x14ac:dyDescent="0.25">
      <c r="A119" s="35"/>
      <c r="B119" s="55"/>
      <c r="C119" s="49"/>
      <c r="D119" s="53"/>
      <c r="E119" s="53"/>
      <c r="F119" s="53"/>
      <c r="G119" s="53"/>
      <c r="H119" s="50"/>
      <c r="I119" t="s">
        <v>509</v>
      </c>
    </row>
    <row r="120" spans="1:9" ht="17.25" x14ac:dyDescent="0.25">
      <c r="A120" s="26"/>
      <c r="B120" s="64" t="e">
        <f>(B106/B113)*(SQRT((B111+B112)/LN((B115+B116)/(B114+B116))))</f>
        <v>#N/A</v>
      </c>
      <c r="C120" s="31" t="s">
        <v>53</v>
      </c>
      <c r="D120" s="32"/>
      <c r="E120" s="32"/>
      <c r="F120" s="32"/>
      <c r="G120" s="32"/>
      <c r="H120" s="33"/>
    </row>
    <row r="121" spans="1:9" x14ac:dyDescent="0.25">
      <c r="A121" s="13"/>
      <c r="B121" s="119"/>
      <c r="C121" s="36"/>
      <c r="D121" s="37"/>
      <c r="E121" s="37"/>
      <c r="F121" s="37"/>
      <c r="G121" s="37"/>
      <c r="H121" s="38"/>
    </row>
    <row r="122" spans="1:9" x14ac:dyDescent="0.25">
      <c r="A122" s="35"/>
      <c r="B122" s="137"/>
      <c r="C122" s="49"/>
      <c r="D122" s="53"/>
      <c r="E122" s="53"/>
      <c r="F122" s="53"/>
      <c r="G122" s="53"/>
      <c r="H122" s="50"/>
    </row>
    <row r="123" spans="1:9" ht="17.25" x14ac:dyDescent="0.25">
      <c r="A123" s="26"/>
      <c r="B123" s="83"/>
      <c r="C123" s="31" t="s">
        <v>53</v>
      </c>
      <c r="D123" s="32"/>
      <c r="E123" s="32"/>
      <c r="F123" s="32"/>
      <c r="G123" s="32"/>
      <c r="H123" s="33"/>
      <c r="I123" s="210"/>
    </row>
    <row r="124" spans="1:9" x14ac:dyDescent="0.25">
      <c r="A124" s="90" t="s">
        <v>57</v>
      </c>
      <c r="B124" s="91"/>
      <c r="C124" s="91"/>
      <c r="D124" s="91"/>
      <c r="E124" s="91"/>
      <c r="F124" s="91"/>
      <c r="G124" s="91"/>
      <c r="H124" s="92"/>
    </row>
    <row r="125" spans="1:9" x14ac:dyDescent="0.25">
      <c r="A125" s="35"/>
      <c r="B125" s="54"/>
      <c r="C125" s="36"/>
      <c r="D125" s="37"/>
      <c r="E125" s="37"/>
      <c r="F125" s="37"/>
      <c r="G125" s="37"/>
      <c r="H125" s="38"/>
    </row>
    <row r="126" spans="1:9" x14ac:dyDescent="0.25">
      <c r="A126" s="35"/>
      <c r="B126" s="55"/>
      <c r="C126" s="49"/>
      <c r="D126" s="53"/>
      <c r="E126" s="53"/>
      <c r="F126" s="53"/>
      <c r="G126" s="53"/>
      <c r="H126" s="50"/>
    </row>
    <row r="127" spans="1:9" ht="17.25" x14ac:dyDescent="0.25">
      <c r="A127" s="26"/>
      <c r="B127" s="63" t="e">
        <f>(B109/B113)*(SQRT((B111+B112)/LN((B115+B116)/(B114+B116))))</f>
        <v>#N/A</v>
      </c>
      <c r="C127" s="31" t="s">
        <v>53</v>
      </c>
      <c r="D127" s="32"/>
      <c r="E127" s="32"/>
      <c r="F127" s="32"/>
      <c r="G127" s="32"/>
      <c r="H127" s="33"/>
    </row>
    <row r="128" spans="1:9" x14ac:dyDescent="0.25">
      <c r="A128" s="13"/>
      <c r="B128" s="119"/>
      <c r="C128" s="36"/>
      <c r="D128" s="37"/>
      <c r="E128" s="37"/>
      <c r="F128" s="37"/>
      <c r="G128" s="37"/>
      <c r="H128" s="38"/>
    </row>
    <row r="129" spans="1:12" x14ac:dyDescent="0.25">
      <c r="A129" s="35"/>
      <c r="B129" s="137"/>
      <c r="C129" s="49"/>
      <c r="D129" s="53"/>
      <c r="E129" s="53"/>
      <c r="F129" s="53"/>
      <c r="G129" s="53"/>
      <c r="H129" s="50"/>
    </row>
    <row r="130" spans="1:12" ht="17.25" x14ac:dyDescent="0.25">
      <c r="A130" s="26"/>
      <c r="B130" s="83"/>
      <c r="C130" s="31" t="s">
        <v>53</v>
      </c>
      <c r="D130" s="32"/>
      <c r="E130" s="32"/>
      <c r="F130" s="32"/>
      <c r="G130" s="32"/>
      <c r="H130" s="33"/>
      <c r="I130" s="210"/>
    </row>
    <row r="133" spans="1:12" x14ac:dyDescent="0.25">
      <c r="A133" s="84" t="s">
        <v>213</v>
      </c>
      <c r="B133" s="85"/>
      <c r="C133" s="85"/>
      <c r="D133" s="85"/>
      <c r="E133" s="85"/>
      <c r="F133" s="85"/>
      <c r="G133" s="85"/>
      <c r="H133" s="86"/>
    </row>
    <row r="134" spans="1:12" ht="18" x14ac:dyDescent="0.35">
      <c r="A134" s="6" t="s">
        <v>212</v>
      </c>
      <c r="B134" s="1"/>
      <c r="C134" s="8" t="s">
        <v>18</v>
      </c>
      <c r="D134" s="9"/>
      <c r="E134" s="9"/>
      <c r="F134" s="9"/>
      <c r="G134" s="9"/>
      <c r="H134" s="10"/>
      <c r="I134" s="210" t="s">
        <v>511</v>
      </c>
    </row>
    <row r="135" spans="1:12" x14ac:dyDescent="0.25">
      <c r="A135" s="6" t="s">
        <v>283</v>
      </c>
      <c r="B135" s="1"/>
      <c r="C135" s="8"/>
      <c r="D135" s="9"/>
      <c r="E135" s="9"/>
      <c r="F135" s="9"/>
      <c r="G135" s="9"/>
      <c r="H135" s="10"/>
      <c r="I135" s="210"/>
    </row>
    <row r="136" spans="1:12" ht="18" x14ac:dyDescent="0.35">
      <c r="A136" s="6" t="s">
        <v>179</v>
      </c>
      <c r="B136" s="1">
        <f>K136+L136</f>
        <v>80</v>
      </c>
      <c r="C136" s="8" t="s">
        <v>72</v>
      </c>
      <c r="D136" s="9"/>
      <c r="E136" s="9"/>
      <c r="F136" s="9"/>
      <c r="G136" s="9"/>
      <c r="H136" s="10"/>
      <c r="J136">
        <f>IF(B135="TT",1,0)</f>
        <v>0</v>
      </c>
      <c r="K136">
        <f>IF(J136=0,80,0)</f>
        <v>80</v>
      </c>
      <c r="L136">
        <f>IF(J136=1,250,0)</f>
        <v>0</v>
      </c>
    </row>
    <row r="137" spans="1:12" ht="18" x14ac:dyDescent="0.35">
      <c r="A137" s="7" t="s">
        <v>73</v>
      </c>
      <c r="B137" s="62" t="e">
        <f>B136/B134</f>
        <v>#DIV/0!</v>
      </c>
      <c r="C137" s="24" t="s">
        <v>71</v>
      </c>
      <c r="D137" s="9"/>
      <c r="E137" s="9"/>
      <c r="F137" s="9"/>
      <c r="G137" s="9"/>
      <c r="H137" s="10"/>
    </row>
    <row r="173" spans="10:10" x14ac:dyDescent="0.25">
      <c r="J173" t="s">
        <v>61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99"/>
  <sheetViews>
    <sheetView workbookViewId="0">
      <selection activeCell="I103" sqref="I103"/>
    </sheetView>
  </sheetViews>
  <sheetFormatPr defaultRowHeight="15" x14ac:dyDescent="0.25"/>
  <cols>
    <col min="1" max="1" width="27.85546875" customWidth="1"/>
    <col min="2" max="2" width="12" bestFit="1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  <col min="10" max="10" width="12" bestFit="1" customWidth="1"/>
  </cols>
  <sheetData>
    <row r="3" spans="1:8" ht="18" x14ac:dyDescent="0.35">
      <c r="A3" s="84" t="s">
        <v>176</v>
      </c>
      <c r="B3" s="85" t="s">
        <v>229</v>
      </c>
      <c r="C3" s="85" t="str">
        <f>Trafo.!C3</f>
        <v>T0234</v>
      </c>
      <c r="D3" s="85"/>
      <c r="E3" s="85"/>
      <c r="F3" s="85"/>
      <c r="G3" s="85"/>
      <c r="H3" s="86"/>
    </row>
    <row r="4" spans="1:8" x14ac:dyDescent="0.25">
      <c r="A4" s="6" t="s">
        <v>35</v>
      </c>
      <c r="B4" s="21">
        <f>'IM. Linje'!B86</f>
        <v>0</v>
      </c>
      <c r="C4" s="47"/>
      <c r="D4" s="47"/>
      <c r="E4" s="47"/>
      <c r="F4" s="47"/>
      <c r="G4" s="47"/>
      <c r="H4" s="48"/>
    </row>
    <row r="5" spans="1:8" ht="18" x14ac:dyDescent="0.35">
      <c r="A5" s="6" t="s">
        <v>108</v>
      </c>
      <c r="B5" s="17">
        <f>KT.relæ!B5</f>
        <v>0</v>
      </c>
      <c r="C5" s="6" t="s">
        <v>18</v>
      </c>
      <c r="D5" s="21" t="s">
        <v>170</v>
      </c>
      <c r="E5" s="23"/>
      <c r="F5" s="8"/>
      <c r="G5" s="9"/>
      <c r="H5" s="10"/>
    </row>
    <row r="6" spans="1:8" ht="18" x14ac:dyDescent="0.35">
      <c r="A6" s="6" t="s">
        <v>121</v>
      </c>
      <c r="B6" s="17">
        <f>KT.relæ!B6</f>
        <v>0</v>
      </c>
      <c r="C6" s="6"/>
      <c r="D6" s="21" t="s">
        <v>172</v>
      </c>
      <c r="E6" s="23" t="s">
        <v>171</v>
      </c>
      <c r="F6" s="8"/>
      <c r="G6" s="9"/>
      <c r="H6" s="10"/>
    </row>
    <row r="7" spans="1:8" ht="18" x14ac:dyDescent="0.35">
      <c r="A7" s="6" t="s">
        <v>167</v>
      </c>
      <c r="B7" s="17">
        <f>KT.relæ!B7</f>
        <v>0</v>
      </c>
      <c r="C7" s="6"/>
      <c r="D7" s="21" t="s">
        <v>172</v>
      </c>
      <c r="E7" s="23" t="s">
        <v>173</v>
      </c>
      <c r="F7" s="8"/>
      <c r="G7" s="9"/>
      <c r="H7" s="10"/>
    </row>
    <row r="8" spans="1:8" ht="18" x14ac:dyDescent="0.35">
      <c r="A8" s="6" t="s">
        <v>168</v>
      </c>
      <c r="B8" s="17">
        <f>KT.relæ!B8</f>
        <v>0</v>
      </c>
      <c r="C8" s="6"/>
      <c r="D8" s="21" t="s">
        <v>172</v>
      </c>
      <c r="E8" s="23" t="s">
        <v>174</v>
      </c>
      <c r="F8" s="8"/>
      <c r="G8" s="9"/>
      <c r="H8" s="10"/>
    </row>
    <row r="9" spans="1:8" ht="18" x14ac:dyDescent="0.35">
      <c r="A9" s="6" t="s">
        <v>122</v>
      </c>
      <c r="B9" s="17">
        <f>KT.relæ!B9</f>
        <v>0</v>
      </c>
      <c r="C9" s="13"/>
      <c r="D9" s="21" t="s">
        <v>172</v>
      </c>
      <c r="E9" s="23" t="s">
        <v>175</v>
      </c>
      <c r="F9" s="8"/>
      <c r="G9" s="9"/>
      <c r="H9" s="10"/>
    </row>
    <row r="10" spans="1:8" ht="18" x14ac:dyDescent="0.35">
      <c r="A10" s="13" t="s">
        <v>169</v>
      </c>
      <c r="B10" s="97">
        <f>B5*(B6*B7*B8*B9)</f>
        <v>0</v>
      </c>
      <c r="C10" s="36" t="s">
        <v>18</v>
      </c>
      <c r="D10" s="37"/>
      <c r="E10" s="37"/>
      <c r="F10" s="37"/>
      <c r="G10" s="37"/>
      <c r="H10" s="38"/>
    </row>
    <row r="11" spans="1:8" x14ac:dyDescent="0.25">
      <c r="A11" s="90" t="s">
        <v>181</v>
      </c>
      <c r="B11" s="91"/>
      <c r="C11" s="91"/>
      <c r="D11" s="91"/>
      <c r="E11" s="91"/>
      <c r="F11" s="91"/>
      <c r="G11" s="91"/>
      <c r="H11" s="92"/>
    </row>
    <row r="12" spans="1:8" ht="18" x14ac:dyDescent="0.35">
      <c r="A12" s="26" t="s">
        <v>287</v>
      </c>
      <c r="B12" s="93">
        <f>KT.relæ!B12</f>
        <v>0</v>
      </c>
      <c r="C12" s="31" t="s">
        <v>82</v>
      </c>
      <c r="D12" s="94" t="s">
        <v>170</v>
      </c>
      <c r="E12" s="95"/>
      <c r="F12" s="32"/>
      <c r="G12" s="32"/>
      <c r="H12" s="33"/>
    </row>
    <row r="13" spans="1:8" ht="18" x14ac:dyDescent="0.35">
      <c r="A13" s="6" t="s">
        <v>253</v>
      </c>
      <c r="B13" s="46">
        <f>KT.relæ!B13</f>
        <v>0</v>
      </c>
      <c r="C13" s="31" t="s">
        <v>82</v>
      </c>
      <c r="D13" s="21" t="s">
        <v>170</v>
      </c>
      <c r="E13" s="23"/>
      <c r="F13" s="32"/>
      <c r="G13" s="32"/>
      <c r="H13" s="33"/>
    </row>
    <row r="16" spans="1:8" x14ac:dyDescent="0.25">
      <c r="A16" s="84" t="s">
        <v>41</v>
      </c>
      <c r="B16" s="85" t="s">
        <v>229</v>
      </c>
      <c r="C16" s="85" t="str">
        <f>C3</f>
        <v>T0234</v>
      </c>
      <c r="D16" s="85"/>
      <c r="E16" s="85"/>
      <c r="F16" s="85"/>
      <c r="G16" s="85"/>
      <c r="H16" s="86"/>
    </row>
    <row r="17" spans="1:10" ht="16.149999999999999" customHeight="1" x14ac:dyDescent="0.35">
      <c r="A17" s="26" t="s">
        <v>17</v>
      </c>
      <c r="B17" s="67">
        <f>Trafo.!B15</f>
        <v>0</v>
      </c>
      <c r="C17" s="8" t="s">
        <v>7</v>
      </c>
      <c r="D17" s="9"/>
      <c r="E17" s="9"/>
      <c r="F17" s="9"/>
      <c r="G17" s="9"/>
      <c r="H17" s="10"/>
    </row>
    <row r="18" spans="1:10" ht="16.149999999999999" customHeight="1" x14ac:dyDescent="0.35">
      <c r="A18" s="6" t="s">
        <v>20</v>
      </c>
      <c r="B18" s="67">
        <v>10</v>
      </c>
      <c r="C18" s="8" t="s">
        <v>8</v>
      </c>
      <c r="D18" s="9"/>
      <c r="E18" s="9"/>
      <c r="F18" s="9"/>
      <c r="G18" s="9"/>
      <c r="H18" s="10"/>
    </row>
    <row r="19" spans="1:10" ht="16.149999999999999" customHeight="1" x14ac:dyDescent="0.35">
      <c r="A19" s="6" t="s">
        <v>21</v>
      </c>
      <c r="B19" s="67">
        <v>0.4</v>
      </c>
      <c r="C19" s="8" t="s">
        <v>8</v>
      </c>
      <c r="D19" s="9"/>
      <c r="E19" s="9"/>
      <c r="F19" s="9"/>
      <c r="G19" s="9"/>
      <c r="H19" s="10"/>
    </row>
    <row r="20" spans="1:10" ht="16.149999999999999" customHeight="1" x14ac:dyDescent="0.35">
      <c r="A20" s="6" t="s">
        <v>42</v>
      </c>
      <c r="B20" s="3">
        <f>B18/B19</f>
        <v>25</v>
      </c>
      <c r="C20" s="8"/>
      <c r="D20" s="9"/>
      <c r="E20" s="9"/>
      <c r="F20" s="9"/>
      <c r="G20" s="9"/>
      <c r="H20" s="10"/>
    </row>
    <row r="21" spans="1:10" ht="16.149999999999999" customHeight="1" x14ac:dyDescent="0.35">
      <c r="A21" s="6" t="s">
        <v>299</v>
      </c>
      <c r="B21" s="3">
        <f>(B17*10^3)/(SQRT(3)*(B18*10^3))</f>
        <v>0</v>
      </c>
      <c r="C21" s="8" t="s">
        <v>18</v>
      </c>
      <c r="D21" s="9"/>
      <c r="E21" s="9"/>
      <c r="F21" s="9"/>
      <c r="G21" s="9"/>
      <c r="H21" s="10"/>
    </row>
    <row r="22" spans="1:10" ht="16.149999999999999" customHeight="1" x14ac:dyDescent="0.25">
      <c r="A22" s="6" t="s">
        <v>43</v>
      </c>
      <c r="B22" s="67">
        <v>20</v>
      </c>
      <c r="C22" s="36" t="s">
        <v>23</v>
      </c>
      <c r="D22" s="37"/>
      <c r="E22" s="37"/>
      <c r="F22" s="37"/>
      <c r="G22" s="37"/>
      <c r="H22" s="38"/>
      <c r="I22" t="s">
        <v>513</v>
      </c>
    </row>
    <row r="23" spans="1:10" ht="16.149999999999999" customHeight="1" x14ac:dyDescent="0.35">
      <c r="A23" s="6" t="s">
        <v>300</v>
      </c>
      <c r="B23" s="12">
        <f>1.2*B21</f>
        <v>0</v>
      </c>
      <c r="C23" s="8" t="s">
        <v>18</v>
      </c>
      <c r="D23" s="8" t="s">
        <v>363</v>
      </c>
      <c r="E23" s="10"/>
      <c r="F23" s="17"/>
      <c r="G23" s="9" t="s">
        <v>18</v>
      </c>
      <c r="H23" s="10"/>
      <c r="I23" s="210"/>
    </row>
    <row r="24" spans="1:10" ht="16.149999999999999" customHeight="1" x14ac:dyDescent="0.35">
      <c r="A24" s="6" t="s">
        <v>301</v>
      </c>
      <c r="B24" s="3">
        <f>12*B21</f>
        <v>0</v>
      </c>
      <c r="C24" s="31" t="s">
        <v>18</v>
      </c>
      <c r="D24" s="32"/>
      <c r="E24" s="32"/>
      <c r="F24" s="32"/>
      <c r="G24" s="32"/>
      <c r="H24" s="33"/>
    </row>
    <row r="25" spans="1:10" ht="16.149999999999999" customHeight="1" x14ac:dyDescent="0.35">
      <c r="A25" s="6" t="s">
        <v>47</v>
      </c>
      <c r="B25" s="165"/>
      <c r="C25" s="8" t="s">
        <v>37</v>
      </c>
      <c r="D25" s="9" t="s">
        <v>261</v>
      </c>
      <c r="E25" s="9"/>
      <c r="F25" s="9"/>
      <c r="G25" s="9"/>
      <c r="H25" s="10"/>
      <c r="I25" s="210"/>
      <c r="J25" t="s">
        <v>49</v>
      </c>
    </row>
    <row r="26" spans="1:10" ht="16.149999999999999" customHeight="1" x14ac:dyDescent="0.25">
      <c r="A26" s="6" t="s">
        <v>48</v>
      </c>
      <c r="B26" s="56" t="str">
        <f>IF(B25&gt;0.1,"Ok","Ikke OK")</f>
        <v>Ikke OK</v>
      </c>
      <c r="C26" s="8"/>
      <c r="D26" s="9"/>
      <c r="E26" s="9"/>
      <c r="F26" s="9"/>
      <c r="G26" s="9"/>
      <c r="H26" s="10"/>
    </row>
    <row r="27" spans="1:10" ht="16.149999999999999" customHeight="1" x14ac:dyDescent="0.35">
      <c r="A27" s="58" t="s">
        <v>355</v>
      </c>
      <c r="B27" s="138" t="e">
        <f>'IM. Trafo.'!B54</f>
        <v>#N/A</v>
      </c>
      <c r="C27" s="163" t="s">
        <v>5</v>
      </c>
      <c r="D27" s="162"/>
      <c r="E27" s="162"/>
      <c r="F27" s="162"/>
      <c r="G27" s="162"/>
      <c r="H27" s="164"/>
    </row>
    <row r="28" spans="1:10" ht="16.149999999999999" customHeight="1" x14ac:dyDescent="0.35">
      <c r="A28" s="6" t="s">
        <v>356</v>
      </c>
      <c r="B28" s="3" t="e">
        <f>(B19)/(SQRT(3)*B27)*10^3</f>
        <v>#N/A</v>
      </c>
      <c r="C28" s="31" t="s">
        <v>18</v>
      </c>
      <c r="D28" s="32"/>
      <c r="E28" s="32"/>
      <c r="F28" s="32"/>
      <c r="G28" s="32"/>
      <c r="H28" s="33"/>
    </row>
    <row r="29" spans="1:10" ht="16.149999999999999" customHeight="1" x14ac:dyDescent="0.35">
      <c r="A29" s="26" t="s">
        <v>359</v>
      </c>
      <c r="B29" s="3" t="e">
        <f>B28</f>
        <v>#N/A</v>
      </c>
      <c r="C29" s="31" t="s">
        <v>18</v>
      </c>
      <c r="D29" s="32"/>
      <c r="E29" s="32"/>
      <c r="F29" s="32"/>
      <c r="G29" s="32"/>
      <c r="H29" s="33"/>
    </row>
    <row r="30" spans="1:10" ht="16.149999999999999" customHeight="1" x14ac:dyDescent="0.35">
      <c r="A30" s="6" t="s">
        <v>360</v>
      </c>
      <c r="B30" s="3" t="e">
        <f>B29/(SQRT(3)*B20)</f>
        <v>#N/A</v>
      </c>
      <c r="C30" s="8" t="s">
        <v>18</v>
      </c>
      <c r="D30" s="9"/>
      <c r="E30" s="9"/>
      <c r="F30" s="9"/>
      <c r="G30" s="9"/>
      <c r="H30" s="10"/>
    </row>
    <row r="31" spans="1:10" ht="16.149999999999999" customHeight="1" x14ac:dyDescent="0.35">
      <c r="A31" s="31" t="s">
        <v>83</v>
      </c>
      <c r="B31" s="166"/>
      <c r="C31" s="8" t="s">
        <v>37</v>
      </c>
      <c r="D31" s="9" t="s">
        <v>261</v>
      </c>
      <c r="E31" s="9"/>
      <c r="F31" s="9"/>
      <c r="G31" s="9"/>
      <c r="H31" s="10"/>
      <c r="I31" s="210"/>
    </row>
    <row r="32" spans="1:10" ht="16.149999999999999" customHeight="1" x14ac:dyDescent="0.25">
      <c r="A32" s="8" t="s">
        <v>364</v>
      </c>
      <c r="B32" s="27" t="str">
        <f>IF(B31&lt;2,"OK","Ikke OK")</f>
        <v>OK</v>
      </c>
      <c r="C32" s="31"/>
      <c r="D32" s="32"/>
      <c r="E32" s="32"/>
      <c r="F32" s="32"/>
      <c r="G32" s="32"/>
      <c r="H32" s="33"/>
    </row>
    <row r="33" spans="1:8" ht="16.149999999999999" customHeight="1" x14ac:dyDescent="0.25">
      <c r="A33" s="8" t="s">
        <v>256</v>
      </c>
      <c r="B33" s="60" t="s">
        <v>257</v>
      </c>
      <c r="C33" s="66" t="s">
        <v>46</v>
      </c>
      <c r="D33" s="66">
        <f>F23</f>
        <v>0</v>
      </c>
      <c r="E33" s="61" t="s">
        <v>18</v>
      </c>
      <c r="F33" s="9"/>
      <c r="G33" s="9"/>
      <c r="H33" s="10"/>
    </row>
    <row r="36" spans="1:8" x14ac:dyDescent="0.25">
      <c r="A36" s="84" t="s">
        <v>269</v>
      </c>
      <c r="B36" s="85" t="s">
        <v>270</v>
      </c>
      <c r="C36" s="85" t="str">
        <f>C16</f>
        <v>T0234</v>
      </c>
      <c r="D36" s="85"/>
      <c r="E36" s="85"/>
      <c r="F36" s="85"/>
      <c r="G36" s="85"/>
      <c r="H36" s="86"/>
    </row>
    <row r="37" spans="1:8" ht="16.149999999999999" customHeight="1" x14ac:dyDescent="0.35">
      <c r="A37" s="6" t="s">
        <v>20</v>
      </c>
      <c r="B37" s="67">
        <v>10</v>
      </c>
      <c r="C37" s="8" t="s">
        <v>8</v>
      </c>
      <c r="D37" s="9"/>
      <c r="E37" s="9"/>
      <c r="F37" s="9"/>
      <c r="G37" s="9"/>
      <c r="H37" s="10"/>
    </row>
    <row r="38" spans="1:8" ht="16.149999999999999" customHeight="1" x14ac:dyDescent="0.35">
      <c r="A38" s="6" t="s">
        <v>21</v>
      </c>
      <c r="B38" s="67">
        <v>0.4</v>
      </c>
      <c r="C38" s="8" t="s">
        <v>8</v>
      </c>
      <c r="D38" s="9"/>
      <c r="E38" s="9"/>
      <c r="F38" s="9"/>
      <c r="G38" s="9"/>
      <c r="H38" s="10"/>
    </row>
    <row r="39" spans="1:8" ht="16.149999999999999" customHeight="1" x14ac:dyDescent="0.35">
      <c r="A39" s="6" t="s">
        <v>42</v>
      </c>
      <c r="B39" s="3">
        <f>B37/B38</f>
        <v>25</v>
      </c>
      <c r="C39" s="8"/>
      <c r="D39" s="9"/>
      <c r="E39" s="9"/>
      <c r="F39" s="9"/>
      <c r="G39" s="9"/>
      <c r="H39" s="10"/>
    </row>
    <row r="40" spans="1:8" ht="16.149999999999999" customHeight="1" x14ac:dyDescent="0.35">
      <c r="A40" s="58" t="s">
        <v>355</v>
      </c>
      <c r="B40" s="138" t="e">
        <f>'IM. Trafo.'!B54</f>
        <v>#N/A</v>
      </c>
      <c r="C40" s="24" t="s">
        <v>5</v>
      </c>
      <c r="D40" s="103"/>
      <c r="E40" s="103"/>
      <c r="F40" s="103"/>
      <c r="G40" s="103"/>
      <c r="H40" s="104"/>
    </row>
    <row r="41" spans="1:8" ht="16.149999999999999" customHeight="1" x14ac:dyDescent="0.35">
      <c r="A41" s="6" t="s">
        <v>381</v>
      </c>
      <c r="B41" s="3" t="e">
        <f>B38/(SQRT(3)*B40)*10^3</f>
        <v>#N/A</v>
      </c>
      <c r="C41" s="31" t="s">
        <v>18</v>
      </c>
      <c r="D41" s="32"/>
      <c r="E41" s="32"/>
      <c r="F41" s="32"/>
      <c r="G41" s="32"/>
      <c r="H41" s="33"/>
    </row>
    <row r="42" spans="1:8" ht="16.149999999999999" customHeight="1" x14ac:dyDescent="0.35">
      <c r="A42" s="26" t="s">
        <v>380</v>
      </c>
      <c r="B42" s="3" t="e">
        <f>B41</f>
        <v>#N/A</v>
      </c>
      <c r="C42" s="31" t="s">
        <v>18</v>
      </c>
      <c r="D42" s="32"/>
      <c r="E42" s="32"/>
      <c r="F42" s="32"/>
      <c r="G42" s="32"/>
      <c r="H42" s="33"/>
    </row>
    <row r="43" spans="1:8" ht="16.149999999999999" customHeight="1" x14ac:dyDescent="0.35">
      <c r="A43" s="26" t="s">
        <v>265</v>
      </c>
      <c r="B43" s="3" t="e">
        <f>B42/(SQRT(3)*B39)</f>
        <v>#N/A</v>
      </c>
      <c r="C43" s="49" t="s">
        <v>18</v>
      </c>
      <c r="D43" s="53"/>
      <c r="E43" s="53"/>
      <c r="F43" s="53"/>
      <c r="G43" s="53"/>
      <c r="H43" s="50"/>
    </row>
    <row r="44" spans="1:8" ht="16.149999999999999" customHeight="1" x14ac:dyDescent="0.35">
      <c r="A44" s="6" t="s">
        <v>83</v>
      </c>
      <c r="B44" s="160">
        <f>B31</f>
        <v>0</v>
      </c>
      <c r="C44" s="8" t="s">
        <v>37</v>
      </c>
      <c r="D44" s="9" t="s">
        <v>261</v>
      </c>
      <c r="E44" s="9"/>
      <c r="F44" s="9"/>
      <c r="G44" s="9"/>
      <c r="H44" s="10"/>
    </row>
    <row r="45" spans="1:8" ht="16.149999999999999" customHeight="1" x14ac:dyDescent="0.35">
      <c r="A45" s="58" t="s">
        <v>348</v>
      </c>
      <c r="B45" s="144" t="e">
        <f>'IM. Linje'!B95</f>
        <v>#N/A</v>
      </c>
      <c r="C45" s="106" t="s">
        <v>5</v>
      </c>
      <c r="D45" s="107"/>
      <c r="E45" s="107"/>
      <c r="F45" s="107"/>
      <c r="G45" s="107"/>
      <c r="H45" s="108"/>
    </row>
    <row r="46" spans="1:8" ht="16.149999999999999" customHeight="1" x14ac:dyDescent="0.35">
      <c r="A46" s="26" t="s">
        <v>367</v>
      </c>
      <c r="B46" s="2" t="e">
        <f>(B37*10^3)/(SQRT(3)*B45)</f>
        <v>#N/A</v>
      </c>
      <c r="C46" s="131" t="s">
        <v>18</v>
      </c>
      <c r="D46" s="123"/>
      <c r="E46" s="123"/>
      <c r="F46" s="123"/>
      <c r="G46" s="123"/>
      <c r="H46" s="124"/>
    </row>
    <row r="47" spans="1:8" ht="16.149999999999999" customHeight="1" x14ac:dyDescent="0.35">
      <c r="A47" s="26" t="s">
        <v>366</v>
      </c>
      <c r="B47" s="2" t="e">
        <f>(SQRT(3)/2)*B46</f>
        <v>#N/A</v>
      </c>
      <c r="C47" s="8" t="s">
        <v>18</v>
      </c>
      <c r="D47" s="9"/>
      <c r="E47" s="9"/>
      <c r="F47" s="9"/>
      <c r="G47" s="9"/>
      <c r="H47" s="10"/>
    </row>
    <row r="48" spans="1:8" x14ac:dyDescent="0.25">
      <c r="A48" s="84" t="s">
        <v>86</v>
      </c>
      <c r="B48" s="85"/>
      <c r="C48" s="85"/>
      <c r="D48" s="85"/>
      <c r="E48" s="85"/>
      <c r="F48" s="85"/>
      <c r="G48" s="85"/>
      <c r="H48" s="86"/>
    </row>
    <row r="49" spans="1:8" ht="18" x14ac:dyDescent="0.35">
      <c r="A49" s="6" t="s">
        <v>292</v>
      </c>
      <c r="B49" s="155">
        <f>D33</f>
        <v>0</v>
      </c>
      <c r="C49" s="8" t="s">
        <v>18</v>
      </c>
      <c r="D49" s="9"/>
      <c r="E49" s="9"/>
      <c r="F49" s="9"/>
      <c r="G49" s="9"/>
      <c r="H49" s="10"/>
    </row>
    <row r="50" spans="1:8" ht="16.149999999999999" customHeight="1" x14ac:dyDescent="0.35">
      <c r="A50" s="6" t="s">
        <v>200</v>
      </c>
      <c r="B50" s="75">
        <f>B10</f>
        <v>0</v>
      </c>
      <c r="C50" s="8" t="s">
        <v>18</v>
      </c>
      <c r="D50" s="9"/>
      <c r="E50" s="9"/>
      <c r="F50" s="9"/>
      <c r="G50" s="9"/>
      <c r="H50" s="10"/>
    </row>
    <row r="51" spans="1:8" ht="16.149999999999999" customHeight="1" x14ac:dyDescent="0.35">
      <c r="A51" s="6" t="s">
        <v>369</v>
      </c>
      <c r="B51" s="56" t="str">
        <f>IF(B49&lt;=B50,"OK","Ikke OK")</f>
        <v>OK</v>
      </c>
      <c r="C51" s="8"/>
      <c r="D51" s="9"/>
      <c r="E51" s="9"/>
      <c r="F51" s="9"/>
      <c r="G51" s="9"/>
      <c r="H51" s="10"/>
    </row>
    <row r="52" spans="1:8" x14ac:dyDescent="0.25">
      <c r="A52" s="84" t="s">
        <v>87</v>
      </c>
      <c r="B52" s="85"/>
      <c r="C52" s="85"/>
      <c r="D52" s="85"/>
      <c r="E52" s="85"/>
      <c r="F52" s="85"/>
      <c r="G52" s="85"/>
      <c r="H52" s="86"/>
    </row>
    <row r="53" spans="1:8" ht="18" x14ac:dyDescent="0.35">
      <c r="A53" s="26" t="s">
        <v>287</v>
      </c>
      <c r="B53" s="17">
        <f>B12</f>
        <v>0</v>
      </c>
      <c r="C53" s="8" t="s">
        <v>82</v>
      </c>
      <c r="D53" s="9"/>
      <c r="E53" s="9"/>
      <c r="F53" s="9"/>
      <c r="G53" s="9"/>
      <c r="H53" s="10"/>
    </row>
    <row r="54" spans="1:8" ht="16.149999999999999" customHeight="1" x14ac:dyDescent="0.35">
      <c r="A54" s="6" t="s">
        <v>293</v>
      </c>
      <c r="B54" s="2" t="e">
        <f>(B43*10^-3)*B44</f>
        <v>#N/A</v>
      </c>
      <c r="C54" s="8" t="s">
        <v>82</v>
      </c>
      <c r="D54" s="9"/>
      <c r="E54" s="9"/>
      <c r="F54" s="9"/>
      <c r="G54" s="9"/>
      <c r="H54" s="10"/>
    </row>
    <row r="55" spans="1:8" ht="16.149999999999999" customHeight="1" x14ac:dyDescent="0.35">
      <c r="A55" s="6" t="s">
        <v>294</v>
      </c>
      <c r="B55" s="56" t="e">
        <f>IF(B54&gt;=B54,"OK","Ikke OK")</f>
        <v>#N/A</v>
      </c>
      <c r="C55" s="8"/>
      <c r="D55" s="9"/>
      <c r="E55" s="9"/>
      <c r="F55" s="9"/>
      <c r="G55" s="9"/>
      <c r="H55" s="10"/>
    </row>
    <row r="56" spans="1:8" x14ac:dyDescent="0.25">
      <c r="A56" s="84" t="s">
        <v>88</v>
      </c>
      <c r="B56" s="85"/>
      <c r="C56" s="85"/>
      <c r="D56" s="85"/>
      <c r="E56" s="85"/>
      <c r="F56" s="85"/>
      <c r="G56" s="85"/>
      <c r="H56" s="86"/>
    </row>
    <row r="57" spans="1:8" ht="18" x14ac:dyDescent="0.35">
      <c r="A57" s="6" t="s">
        <v>253</v>
      </c>
      <c r="B57" s="17">
        <f>B13</f>
        <v>0</v>
      </c>
      <c r="C57" s="8" t="s">
        <v>82</v>
      </c>
      <c r="D57" s="9"/>
      <c r="E57" s="9"/>
      <c r="F57" s="9"/>
      <c r="G57" s="9"/>
      <c r="H57" s="10"/>
    </row>
    <row r="58" spans="1:8" ht="16.149999999999999" customHeight="1" x14ac:dyDescent="0.35">
      <c r="A58" s="6" t="s">
        <v>295</v>
      </c>
      <c r="B58" s="3" t="e">
        <f>(B47*10^-3)*B44</f>
        <v>#N/A</v>
      </c>
      <c r="C58" s="8" t="s">
        <v>82</v>
      </c>
      <c r="D58" s="9"/>
      <c r="E58" s="9"/>
      <c r="F58" s="9"/>
      <c r="G58" s="9"/>
      <c r="H58" s="10"/>
    </row>
    <row r="59" spans="1:8" ht="16.149999999999999" customHeight="1" x14ac:dyDescent="0.35">
      <c r="A59" s="6" t="s">
        <v>370</v>
      </c>
      <c r="B59" s="56" t="e">
        <f>IF(B58&gt;=B58,"OK","Ikke OK")</f>
        <v>#N/A</v>
      </c>
      <c r="C59" s="8"/>
      <c r="D59" s="9"/>
      <c r="E59" s="9"/>
      <c r="F59" s="9"/>
      <c r="G59" s="9"/>
      <c r="H59" s="10"/>
    </row>
    <row r="61" spans="1:8" x14ac:dyDescent="0.25">
      <c r="A61" s="53" t="s">
        <v>510</v>
      </c>
    </row>
    <row r="62" spans="1:8" x14ac:dyDescent="0.25">
      <c r="A62" s="84" t="s">
        <v>59</v>
      </c>
      <c r="B62" s="85" t="s">
        <v>229</v>
      </c>
      <c r="C62" s="85" t="str">
        <f>C16</f>
        <v>T0234</v>
      </c>
      <c r="D62" s="85"/>
      <c r="E62" s="85"/>
      <c r="F62" s="85"/>
      <c r="G62" s="85"/>
      <c r="H62" s="86"/>
    </row>
    <row r="63" spans="1:8" ht="18" x14ac:dyDescent="0.35">
      <c r="A63" s="6" t="s">
        <v>20</v>
      </c>
      <c r="B63" s="67">
        <v>10</v>
      </c>
      <c r="C63" s="8" t="s">
        <v>8</v>
      </c>
      <c r="D63" s="9"/>
      <c r="E63" s="9"/>
      <c r="F63" s="9"/>
      <c r="G63" s="9"/>
      <c r="H63" s="10"/>
    </row>
    <row r="64" spans="1:8" ht="18" x14ac:dyDescent="0.35">
      <c r="A64" s="6" t="s">
        <v>21</v>
      </c>
      <c r="B64" s="67">
        <v>0.4</v>
      </c>
      <c r="C64" s="8" t="s">
        <v>8</v>
      </c>
      <c r="D64" s="9"/>
      <c r="E64" s="9"/>
      <c r="F64" s="9"/>
      <c r="G64" s="9"/>
      <c r="H64" s="10"/>
    </row>
    <row r="65" spans="1:9" ht="18" x14ac:dyDescent="0.35">
      <c r="A65" s="6" t="s">
        <v>42</v>
      </c>
      <c r="B65" s="3">
        <f>B63/B64</f>
        <v>25</v>
      </c>
      <c r="C65" s="8"/>
      <c r="D65" s="9"/>
      <c r="E65" s="9"/>
      <c r="F65" s="9"/>
      <c r="G65" s="9"/>
      <c r="H65" s="10"/>
    </row>
    <row r="66" spans="1:9" ht="18" x14ac:dyDescent="0.35">
      <c r="A66" s="58" t="s">
        <v>452</v>
      </c>
      <c r="B66" s="138" t="e">
        <f>'IM. Trafo.'!B11</f>
        <v>#N/A</v>
      </c>
      <c r="C66" s="24" t="s">
        <v>5</v>
      </c>
      <c r="D66" s="103"/>
      <c r="E66" s="103"/>
      <c r="F66" s="103"/>
      <c r="G66" s="103"/>
      <c r="H66" s="104"/>
    </row>
    <row r="67" spans="1:9" ht="18" x14ac:dyDescent="0.35">
      <c r="A67" s="6" t="s">
        <v>451</v>
      </c>
      <c r="B67" s="3" t="e">
        <f>(B63*10^3)/(2*B66)</f>
        <v>#N/A</v>
      </c>
      <c r="C67" s="8" t="s">
        <v>18</v>
      </c>
      <c r="D67" s="9"/>
      <c r="E67" s="9"/>
      <c r="F67" s="9"/>
      <c r="G67" s="9"/>
      <c r="H67" s="10"/>
    </row>
    <row r="68" spans="1:9" ht="18" x14ac:dyDescent="0.35">
      <c r="A68" s="58" t="s">
        <v>355</v>
      </c>
      <c r="B68" s="138" t="e">
        <f>'IM. Trafo.'!B54</f>
        <v>#N/A</v>
      </c>
      <c r="C68" s="24" t="s">
        <v>5</v>
      </c>
      <c r="D68" s="103"/>
      <c r="E68" s="103"/>
      <c r="F68" s="103"/>
      <c r="G68" s="103"/>
      <c r="H68" s="104"/>
    </row>
    <row r="69" spans="1:9" ht="18" x14ac:dyDescent="0.35">
      <c r="A69" s="6" t="s">
        <v>356</v>
      </c>
      <c r="B69" s="3" t="e">
        <f>(B64)/(SQRT(3)*B68)*10^3</f>
        <v>#N/A</v>
      </c>
      <c r="C69" s="31" t="s">
        <v>18</v>
      </c>
      <c r="D69" s="32"/>
      <c r="E69" s="32"/>
      <c r="F69" s="32"/>
      <c r="G69" s="32"/>
      <c r="H69" s="33"/>
    </row>
    <row r="70" spans="1:9" ht="18" x14ac:dyDescent="0.35">
      <c r="A70" s="26" t="s">
        <v>359</v>
      </c>
      <c r="B70" s="3" t="e">
        <f>B69</f>
        <v>#N/A</v>
      </c>
      <c r="C70" s="31" t="s">
        <v>18</v>
      </c>
      <c r="D70" s="32"/>
      <c r="E70" s="32"/>
      <c r="F70" s="32"/>
      <c r="G70" s="32"/>
      <c r="H70" s="33"/>
    </row>
    <row r="71" spans="1:9" ht="18" x14ac:dyDescent="0.35">
      <c r="A71" s="26" t="s">
        <v>265</v>
      </c>
      <c r="B71" s="3" t="e">
        <f>B70/(SQRT(3)*B65)</f>
        <v>#N/A</v>
      </c>
      <c r="C71" s="8" t="s">
        <v>18</v>
      </c>
      <c r="D71" s="9"/>
      <c r="E71" s="9"/>
      <c r="F71" s="9"/>
      <c r="G71" s="9"/>
      <c r="H71" s="10"/>
    </row>
    <row r="72" spans="1:9" ht="18" x14ac:dyDescent="0.35">
      <c r="A72" s="6" t="s">
        <v>83</v>
      </c>
      <c r="B72" s="160">
        <f>B31</f>
        <v>0</v>
      </c>
      <c r="C72" s="6" t="s">
        <v>37</v>
      </c>
      <c r="D72" s="9" t="s">
        <v>261</v>
      </c>
      <c r="E72" s="9"/>
      <c r="F72" s="9"/>
      <c r="G72" s="9"/>
      <c r="H72" s="10"/>
      <c r="I72" t="s">
        <v>362</v>
      </c>
    </row>
    <row r="73" spans="1:9" ht="16.149999999999999" customHeight="1" x14ac:dyDescent="0.35">
      <c r="A73" s="58" t="s">
        <v>453</v>
      </c>
      <c r="B73" s="135" t="e">
        <f>L.relæ!B97</f>
        <v>#DIV/0!</v>
      </c>
      <c r="C73" s="8" t="s">
        <v>37</v>
      </c>
      <c r="D73" s="9"/>
      <c r="E73" s="9"/>
      <c r="F73" s="9"/>
      <c r="G73" s="9"/>
      <c r="H73" s="10"/>
    </row>
    <row r="74" spans="1:9" ht="16.149999999999999" customHeight="1" x14ac:dyDescent="0.35">
      <c r="A74" s="58" t="s">
        <v>62</v>
      </c>
      <c r="B74" s="159">
        <f>L.relæ!B100</f>
        <v>0.04</v>
      </c>
      <c r="C74" s="8" t="s">
        <v>37</v>
      </c>
      <c r="D74" s="9"/>
      <c r="E74" s="9"/>
      <c r="F74" s="9"/>
      <c r="G74" s="9"/>
      <c r="H74" s="10"/>
    </row>
    <row r="75" spans="1:9" ht="16.149999999999999" customHeight="1" x14ac:dyDescent="0.25">
      <c r="A75" s="58" t="s">
        <v>51</v>
      </c>
      <c r="B75" s="129">
        <v>226</v>
      </c>
      <c r="C75" s="8" t="s">
        <v>54</v>
      </c>
      <c r="D75" s="9"/>
      <c r="E75" s="9"/>
      <c r="F75" s="9"/>
      <c r="G75" s="9"/>
      <c r="H75" s="10"/>
    </row>
    <row r="76" spans="1:9" ht="16.149999999999999" customHeight="1" x14ac:dyDescent="0.35">
      <c r="A76" s="58" t="s">
        <v>63</v>
      </c>
      <c r="B76" s="129"/>
      <c r="C76" s="24" t="s">
        <v>55</v>
      </c>
      <c r="D76" s="9"/>
      <c r="E76" s="9"/>
      <c r="F76" s="9"/>
      <c r="G76" s="9"/>
      <c r="H76" s="10"/>
      <c r="I76" s="210"/>
    </row>
    <row r="77" spans="1:9" ht="16.149999999999999" customHeight="1" x14ac:dyDescent="0.35">
      <c r="A77" s="58" t="s">
        <v>64</v>
      </c>
      <c r="B77" s="129">
        <v>300</v>
      </c>
      <c r="C77" s="24" t="s">
        <v>55</v>
      </c>
      <c r="D77" s="9"/>
      <c r="E77" s="9"/>
      <c r="F77" s="9"/>
      <c r="G77" s="9"/>
      <c r="H77" s="10"/>
    </row>
    <row r="78" spans="1:9" ht="16.149999999999999" customHeight="1" x14ac:dyDescent="0.25">
      <c r="A78" s="58" t="s">
        <v>52</v>
      </c>
      <c r="B78" s="129">
        <v>234.5</v>
      </c>
      <c r="C78" s="24" t="s">
        <v>55</v>
      </c>
      <c r="D78" s="9"/>
      <c r="E78" s="9"/>
      <c r="F78" s="9"/>
      <c r="G78" s="9"/>
      <c r="H78" s="10"/>
    </row>
    <row r="79" spans="1:9" x14ac:dyDescent="0.25">
      <c r="A79" s="90" t="s">
        <v>60</v>
      </c>
      <c r="B79" s="91"/>
      <c r="C79" s="91"/>
      <c r="D79" s="91"/>
      <c r="E79" s="91"/>
      <c r="F79" s="91"/>
      <c r="G79" s="91"/>
      <c r="H79" s="92"/>
    </row>
    <row r="80" spans="1:9" x14ac:dyDescent="0.25">
      <c r="A80" s="35"/>
      <c r="B80" s="54"/>
      <c r="C80" s="36"/>
      <c r="D80" s="37"/>
      <c r="E80" s="37"/>
      <c r="F80" s="37"/>
      <c r="G80" s="37"/>
      <c r="H80" s="38"/>
    </row>
    <row r="81" spans="1:9" x14ac:dyDescent="0.25">
      <c r="A81" s="35"/>
      <c r="B81" s="55"/>
      <c r="C81" s="49"/>
      <c r="D81" s="53"/>
      <c r="E81" s="53"/>
      <c r="F81" s="53"/>
      <c r="G81" s="53"/>
      <c r="H81" s="50"/>
    </row>
    <row r="82" spans="1:9" ht="17.25" x14ac:dyDescent="0.25">
      <c r="A82" s="26"/>
      <c r="B82" s="64" t="e">
        <f>(B67/B75)*(SQRT((B73+B74)/LN((B77+B78)/(B76+B78))))</f>
        <v>#N/A</v>
      </c>
      <c r="C82" s="31" t="s">
        <v>53</v>
      </c>
      <c r="D82" s="32"/>
      <c r="E82" s="32"/>
      <c r="F82" s="32"/>
      <c r="G82" s="32"/>
      <c r="H82" s="33"/>
    </row>
    <row r="83" spans="1:9" x14ac:dyDescent="0.25">
      <c r="A83" s="13"/>
      <c r="B83" s="119"/>
      <c r="C83" s="36"/>
      <c r="D83" s="37"/>
      <c r="E83" s="37"/>
      <c r="F83" s="37"/>
      <c r="G83" s="37"/>
      <c r="H83" s="38"/>
    </row>
    <row r="84" spans="1:9" x14ac:dyDescent="0.25">
      <c r="A84" s="35"/>
      <c r="B84" s="137"/>
      <c r="C84" s="49"/>
      <c r="D84" s="53"/>
      <c r="E84" s="53"/>
      <c r="F84" s="53"/>
      <c r="G84" s="53"/>
      <c r="H84" s="50"/>
    </row>
    <row r="85" spans="1:9" ht="17.25" x14ac:dyDescent="0.25">
      <c r="A85" s="26"/>
      <c r="B85" s="83"/>
      <c r="C85" s="31" t="s">
        <v>53</v>
      </c>
      <c r="D85" s="32"/>
      <c r="E85" s="32"/>
      <c r="F85" s="32"/>
      <c r="G85" s="32"/>
      <c r="H85" s="33"/>
      <c r="I85" s="210"/>
    </row>
    <row r="86" spans="1:9" x14ac:dyDescent="0.25">
      <c r="A86" s="90" t="s">
        <v>57</v>
      </c>
      <c r="B86" s="91"/>
      <c r="C86" s="91"/>
      <c r="D86" s="91"/>
      <c r="E86" s="91"/>
      <c r="F86" s="91"/>
      <c r="G86" s="91"/>
      <c r="H86" s="92"/>
    </row>
    <row r="87" spans="1:9" x14ac:dyDescent="0.25">
      <c r="A87" s="35"/>
      <c r="B87" s="54"/>
      <c r="C87" s="36"/>
      <c r="D87" s="37"/>
      <c r="E87" s="37"/>
      <c r="F87" s="37"/>
      <c r="G87" s="37"/>
      <c r="H87" s="38"/>
    </row>
    <row r="88" spans="1:9" x14ac:dyDescent="0.25">
      <c r="A88" s="35"/>
      <c r="B88" s="55"/>
      <c r="C88" s="49"/>
      <c r="D88" s="53"/>
      <c r="E88" s="53"/>
      <c r="F88" s="53"/>
      <c r="G88" s="53"/>
      <c r="H88" s="50"/>
    </row>
    <row r="89" spans="1:9" ht="17.25" x14ac:dyDescent="0.25">
      <c r="A89" s="26"/>
      <c r="B89" s="63" t="e">
        <f>(B70/B75)*(SQRT((B72)/LN((B77+B78)/(B76+B78))))</f>
        <v>#N/A</v>
      </c>
      <c r="C89" s="31" t="s">
        <v>53</v>
      </c>
      <c r="D89" s="32"/>
      <c r="E89" s="32"/>
      <c r="F89" s="32"/>
      <c r="G89" s="32"/>
      <c r="H89" s="33"/>
    </row>
    <row r="90" spans="1:9" x14ac:dyDescent="0.25">
      <c r="A90" s="13"/>
      <c r="B90" s="119"/>
      <c r="C90" s="36"/>
      <c r="D90" s="37"/>
      <c r="E90" s="37"/>
      <c r="F90" s="37"/>
      <c r="G90" s="37"/>
      <c r="H90" s="38"/>
    </row>
    <row r="91" spans="1:9" x14ac:dyDescent="0.25">
      <c r="A91" s="35"/>
      <c r="B91" s="137"/>
      <c r="C91" s="49"/>
      <c r="D91" s="53"/>
      <c r="E91" s="53"/>
      <c r="F91" s="53"/>
      <c r="G91" s="53"/>
      <c r="H91" s="50"/>
    </row>
    <row r="92" spans="1:9" ht="17.25" x14ac:dyDescent="0.25">
      <c r="A92" s="26"/>
      <c r="B92" s="83"/>
      <c r="C92" s="31" t="s">
        <v>53</v>
      </c>
      <c r="D92" s="32"/>
      <c r="E92" s="32"/>
      <c r="F92" s="32"/>
      <c r="G92" s="32"/>
      <c r="H92" s="33"/>
      <c r="I92" s="210"/>
    </row>
    <row r="95" spans="1:9" x14ac:dyDescent="0.25">
      <c r="A95" s="84" t="s">
        <v>213</v>
      </c>
      <c r="B95" s="85"/>
      <c r="C95" s="85"/>
      <c r="D95" s="85"/>
      <c r="E95" s="85"/>
      <c r="F95" s="85"/>
      <c r="G95" s="85"/>
      <c r="H95" s="86"/>
    </row>
    <row r="96" spans="1:9" ht="18" x14ac:dyDescent="0.35">
      <c r="A96" s="6" t="s">
        <v>212</v>
      </c>
      <c r="B96" s="1"/>
      <c r="C96" s="8" t="s">
        <v>18</v>
      </c>
      <c r="D96" s="9"/>
      <c r="E96" s="9"/>
      <c r="F96" s="9"/>
      <c r="G96" s="9"/>
      <c r="H96" s="10"/>
      <c r="I96" s="210"/>
    </row>
    <row r="97" spans="1:12" x14ac:dyDescent="0.25">
      <c r="A97" s="6" t="s">
        <v>283</v>
      </c>
      <c r="B97" s="1"/>
      <c r="C97" s="8"/>
      <c r="D97" s="9"/>
      <c r="E97" s="9"/>
      <c r="F97" s="9"/>
      <c r="G97" s="9"/>
      <c r="H97" s="10"/>
      <c r="I97" s="210"/>
    </row>
    <row r="98" spans="1:12" ht="18" x14ac:dyDescent="0.35">
      <c r="A98" s="6" t="s">
        <v>179</v>
      </c>
      <c r="B98" s="1">
        <f>K98+L98</f>
        <v>80</v>
      </c>
      <c r="C98" s="8" t="s">
        <v>72</v>
      </c>
      <c r="D98" s="9"/>
      <c r="E98" s="9"/>
      <c r="F98" s="9"/>
      <c r="G98" s="9"/>
      <c r="H98" s="10"/>
      <c r="J98">
        <f>IF(B97="TT",1,0)</f>
        <v>0</v>
      </c>
      <c r="K98">
        <f>IF(J98=0,80,0)</f>
        <v>80</v>
      </c>
      <c r="L98">
        <f>IF(J98=1,250,0)</f>
        <v>0</v>
      </c>
    </row>
    <row r="99" spans="1:12" ht="18" x14ac:dyDescent="0.35">
      <c r="A99" s="7" t="s">
        <v>73</v>
      </c>
      <c r="B99" s="56" t="e">
        <f>B98/B96</f>
        <v>#DIV/0!</v>
      </c>
      <c r="C99" s="24" t="s">
        <v>71</v>
      </c>
      <c r="D99" s="9"/>
      <c r="E99" s="9"/>
      <c r="F99" s="9"/>
      <c r="G99" s="9"/>
      <c r="H99" s="10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231"/>
  <sheetViews>
    <sheetView topLeftCell="A87" workbookViewId="0">
      <selection activeCell="K77" sqref="K77"/>
    </sheetView>
  </sheetViews>
  <sheetFormatPr defaultRowHeight="15" x14ac:dyDescent="0.25"/>
  <cols>
    <col min="1" max="1" width="27.8554687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</cols>
  <sheetData>
    <row r="4" spans="1:9" x14ac:dyDescent="0.25">
      <c r="A4" s="84" t="s">
        <v>376</v>
      </c>
      <c r="B4" s="85" t="s">
        <v>258</v>
      </c>
      <c r="C4" s="85" t="str">
        <f>Trafo.!C3</f>
        <v>T0234</v>
      </c>
      <c r="D4" s="85"/>
      <c r="E4" s="85"/>
      <c r="F4" s="85"/>
      <c r="G4" s="85"/>
      <c r="H4" s="86"/>
    </row>
    <row r="5" spans="1:9" ht="18" x14ac:dyDescent="0.35">
      <c r="A5" s="6" t="s">
        <v>374</v>
      </c>
      <c r="B5" s="28">
        <f>Trafo.!C33</f>
        <v>0</v>
      </c>
      <c r="C5" s="8" t="s">
        <v>18</v>
      </c>
      <c r="D5" s="9"/>
      <c r="E5" s="9"/>
      <c r="F5" s="9"/>
      <c r="G5" s="9"/>
      <c r="H5" s="10"/>
    </row>
    <row r="6" spans="1:9" ht="17.25" x14ac:dyDescent="0.25">
      <c r="A6" s="6" t="s">
        <v>31</v>
      </c>
      <c r="B6" s="191">
        <v>3</v>
      </c>
      <c r="C6" s="66" t="s">
        <v>379</v>
      </c>
      <c r="D6" s="66" t="s">
        <v>475</v>
      </c>
      <c r="E6" s="66"/>
      <c r="F6" s="66"/>
      <c r="G6" s="66" t="s">
        <v>53</v>
      </c>
      <c r="H6" s="61"/>
      <c r="I6" s="210"/>
    </row>
    <row r="7" spans="1:9" ht="18" x14ac:dyDescent="0.35">
      <c r="A7" s="6" t="s">
        <v>375</v>
      </c>
      <c r="B7" s="41"/>
      <c r="C7" s="8" t="s">
        <v>18</v>
      </c>
      <c r="D7" s="94" t="s">
        <v>170</v>
      </c>
      <c r="E7" s="95"/>
      <c r="F7" s="9"/>
      <c r="G7" s="9"/>
      <c r="H7" s="10"/>
      <c r="I7" s="210"/>
    </row>
    <row r="8" spans="1:9" ht="18" x14ac:dyDescent="0.35">
      <c r="A8" s="6" t="s">
        <v>289</v>
      </c>
      <c r="B8" s="17">
        <v>1</v>
      </c>
      <c r="C8" s="8"/>
      <c r="D8" s="9"/>
      <c r="E8" s="9"/>
      <c r="F8" s="9"/>
      <c r="G8" s="9"/>
      <c r="H8" s="10"/>
    </row>
    <row r="9" spans="1:9" ht="18" hidden="1" x14ac:dyDescent="0.35">
      <c r="A9" s="6" t="s">
        <v>92</v>
      </c>
      <c r="B9" s="17">
        <v>1</v>
      </c>
      <c r="C9" s="8"/>
      <c r="D9" s="9"/>
      <c r="E9" s="9"/>
      <c r="F9" s="9"/>
      <c r="G9" s="9"/>
      <c r="H9" s="10"/>
    </row>
    <row r="10" spans="1:9" ht="18" x14ac:dyDescent="0.35">
      <c r="A10" s="6" t="s">
        <v>476</v>
      </c>
      <c r="B10" s="19">
        <f>B7</f>
        <v>0</v>
      </c>
      <c r="C10" s="8" t="s">
        <v>18</v>
      </c>
      <c r="D10" s="9"/>
      <c r="E10" s="9"/>
      <c r="F10" s="9"/>
      <c r="G10" s="9"/>
      <c r="H10" s="10"/>
    </row>
    <row r="11" spans="1:9" x14ac:dyDescent="0.25">
      <c r="A11" s="90" t="s">
        <v>181</v>
      </c>
      <c r="B11" s="91"/>
      <c r="C11" s="91"/>
      <c r="D11" s="91"/>
      <c r="E11" s="91"/>
      <c r="F11" s="91"/>
      <c r="G11" s="91"/>
      <c r="H11" s="92"/>
    </row>
    <row r="12" spans="1:9" ht="18" x14ac:dyDescent="0.35">
      <c r="A12" s="26" t="s">
        <v>287</v>
      </c>
      <c r="B12" s="93"/>
      <c r="C12" s="31" t="s">
        <v>82</v>
      </c>
      <c r="D12" s="94" t="s">
        <v>170</v>
      </c>
      <c r="E12" s="95"/>
      <c r="F12" s="32"/>
      <c r="G12" s="32"/>
      <c r="H12" s="33"/>
      <c r="I12" s="210"/>
    </row>
    <row r="13" spans="1:9" ht="18" x14ac:dyDescent="0.35">
      <c r="A13" s="6" t="s">
        <v>253</v>
      </c>
      <c r="B13" s="46"/>
      <c r="C13" s="31" t="s">
        <v>82</v>
      </c>
      <c r="D13" s="21" t="s">
        <v>170</v>
      </c>
      <c r="E13" s="23"/>
      <c r="F13" s="32"/>
      <c r="G13" s="32"/>
      <c r="H13" s="33"/>
      <c r="I13" s="210"/>
    </row>
    <row r="16" spans="1:9" x14ac:dyDescent="0.25">
      <c r="A16" s="84" t="s">
        <v>477</v>
      </c>
      <c r="B16" s="85" t="s">
        <v>270</v>
      </c>
      <c r="C16" s="85" t="str">
        <f>C4</f>
        <v>T0234</v>
      </c>
      <c r="D16" s="85"/>
      <c r="E16" s="85"/>
      <c r="F16" s="85"/>
      <c r="G16" s="85"/>
      <c r="H16" s="86"/>
    </row>
    <row r="17" spans="1:9" ht="18" x14ac:dyDescent="0.35">
      <c r="A17" s="6" t="s">
        <v>20</v>
      </c>
      <c r="B17" s="67">
        <v>10</v>
      </c>
      <c r="C17" s="8" t="s">
        <v>8</v>
      </c>
      <c r="D17" s="9"/>
      <c r="E17" s="9"/>
      <c r="F17" s="9"/>
      <c r="G17" s="9"/>
      <c r="H17" s="10"/>
    </row>
    <row r="18" spans="1:9" ht="18" x14ac:dyDescent="0.35">
      <c r="A18" s="6" t="s">
        <v>21</v>
      </c>
      <c r="B18" s="67">
        <v>0.4</v>
      </c>
      <c r="C18" s="8" t="s">
        <v>8</v>
      </c>
      <c r="D18" s="9"/>
      <c r="E18" s="9"/>
      <c r="F18" s="9"/>
      <c r="G18" s="9"/>
      <c r="H18" s="10"/>
    </row>
    <row r="19" spans="1:9" ht="18" x14ac:dyDescent="0.35">
      <c r="A19" s="58" t="s">
        <v>348</v>
      </c>
      <c r="B19" s="144" t="e">
        <f>'IM. Trafo.'!B22</f>
        <v>#N/A</v>
      </c>
      <c r="C19" s="106" t="s">
        <v>5</v>
      </c>
      <c r="D19" s="107"/>
      <c r="E19" s="107"/>
      <c r="F19" s="107"/>
      <c r="G19" s="107"/>
      <c r="H19" s="108"/>
    </row>
    <row r="20" spans="1:9" ht="18" x14ac:dyDescent="0.35">
      <c r="A20" s="26" t="s">
        <v>361</v>
      </c>
      <c r="B20" s="2" t="e">
        <f>(B17*10^3)/(SQRT(3)*B19)</f>
        <v>#N/A</v>
      </c>
      <c r="C20" s="131" t="s">
        <v>18</v>
      </c>
      <c r="D20" s="123"/>
      <c r="E20" s="123"/>
      <c r="F20" s="123"/>
      <c r="G20" s="123"/>
      <c r="H20" s="124"/>
    </row>
    <row r="21" spans="1:9" ht="18" x14ac:dyDescent="0.35">
      <c r="A21" s="26" t="s">
        <v>276</v>
      </c>
      <c r="B21" s="2" t="e">
        <f>(SQRT(3)/2)*B20</f>
        <v>#N/A</v>
      </c>
      <c r="C21" s="8" t="s">
        <v>18</v>
      </c>
      <c r="D21" s="9"/>
      <c r="E21" s="9"/>
      <c r="F21" s="9"/>
      <c r="G21" s="9"/>
      <c r="H21" s="10"/>
    </row>
    <row r="22" spans="1:9" ht="18" x14ac:dyDescent="0.35">
      <c r="A22" s="6" t="s">
        <v>36</v>
      </c>
      <c r="B22" s="158">
        <f>KT.relæ!B76</f>
        <v>0.04</v>
      </c>
      <c r="C22" s="31" t="s">
        <v>37</v>
      </c>
      <c r="D22" s="32"/>
      <c r="E22" s="32"/>
      <c r="F22" s="32"/>
      <c r="G22" s="32"/>
      <c r="H22" s="33"/>
    </row>
    <row r="23" spans="1:9" x14ac:dyDescent="0.25">
      <c r="A23" s="6" t="s">
        <v>40</v>
      </c>
      <c r="B23" s="28">
        <f>KT.relæ!B76</f>
        <v>0.04</v>
      </c>
      <c r="C23" s="8" t="s">
        <v>37</v>
      </c>
      <c r="D23" s="9"/>
      <c r="E23" s="9"/>
      <c r="F23" s="9"/>
      <c r="G23" s="9"/>
      <c r="H23" s="10"/>
    </row>
    <row r="24" spans="1:9" x14ac:dyDescent="0.25">
      <c r="A24" s="84" t="s">
        <v>86</v>
      </c>
      <c r="B24" s="85"/>
      <c r="C24" s="85"/>
      <c r="D24" s="85"/>
      <c r="E24" s="85"/>
      <c r="F24" s="85"/>
      <c r="G24" s="85"/>
      <c r="H24" s="86"/>
    </row>
    <row r="25" spans="1:9" x14ac:dyDescent="0.25">
      <c r="A25" s="6" t="s">
        <v>33</v>
      </c>
      <c r="B25" s="155">
        <f>KT.relæ!B73</f>
        <v>0</v>
      </c>
      <c r="C25" s="8" t="s">
        <v>18</v>
      </c>
      <c r="D25" s="9"/>
      <c r="E25" s="9"/>
      <c r="F25" s="9"/>
      <c r="G25" s="9"/>
      <c r="H25" s="10"/>
      <c r="I25" t="s">
        <v>514</v>
      </c>
    </row>
    <row r="26" spans="1:9" ht="18" x14ac:dyDescent="0.35">
      <c r="A26" s="6" t="s">
        <v>200</v>
      </c>
      <c r="B26" s="75">
        <f>B10</f>
        <v>0</v>
      </c>
      <c r="C26" s="8" t="s">
        <v>18</v>
      </c>
      <c r="D26" s="9"/>
      <c r="E26" s="9"/>
      <c r="F26" s="9"/>
      <c r="G26" s="9"/>
      <c r="H26" s="10"/>
    </row>
    <row r="27" spans="1:9" ht="18" x14ac:dyDescent="0.35">
      <c r="A27" s="6" t="s">
        <v>368</v>
      </c>
      <c r="B27" s="56" t="str">
        <f>IF(B25&lt;=B26,"OK","Ikke OK")</f>
        <v>OK</v>
      </c>
      <c r="C27" s="8"/>
      <c r="D27" s="9"/>
      <c r="E27" s="9"/>
      <c r="F27" s="9"/>
      <c r="G27" s="9"/>
      <c r="H27" s="10"/>
    </row>
    <row r="28" spans="1:9" x14ac:dyDescent="0.25">
      <c r="A28" s="84" t="s">
        <v>87</v>
      </c>
      <c r="B28" s="85"/>
      <c r="C28" s="85"/>
      <c r="D28" s="85"/>
      <c r="E28" s="85"/>
      <c r="F28" s="85"/>
      <c r="G28" s="85"/>
      <c r="H28" s="86"/>
    </row>
    <row r="29" spans="1:9" ht="18" x14ac:dyDescent="0.35">
      <c r="A29" s="26" t="s">
        <v>287</v>
      </c>
      <c r="B29" s="17">
        <f>B12</f>
        <v>0</v>
      </c>
      <c r="C29" s="8" t="s">
        <v>82</v>
      </c>
      <c r="D29" s="9"/>
      <c r="E29" s="9"/>
      <c r="F29" s="9"/>
      <c r="G29" s="9"/>
      <c r="H29" s="10"/>
    </row>
    <row r="30" spans="1:9" ht="18" x14ac:dyDescent="0.35">
      <c r="A30" s="6" t="s">
        <v>277</v>
      </c>
      <c r="B30" s="3" t="e">
        <f>B20*SQRT(B23+B22)*10^-3</f>
        <v>#N/A</v>
      </c>
      <c r="C30" s="8" t="s">
        <v>82</v>
      </c>
      <c r="D30" s="9"/>
      <c r="E30" s="9"/>
      <c r="F30" s="9"/>
      <c r="G30" s="9"/>
      <c r="H30" s="10"/>
    </row>
    <row r="31" spans="1:9" ht="18" x14ac:dyDescent="0.35">
      <c r="A31" s="6" t="s">
        <v>285</v>
      </c>
      <c r="B31" s="56" t="e">
        <f>IF(B29&gt;=B30,"OK","Ikke OK")</f>
        <v>#N/A</v>
      </c>
      <c r="C31" s="8"/>
      <c r="D31" s="9"/>
      <c r="E31" s="9"/>
      <c r="F31" s="9"/>
      <c r="G31" s="9"/>
      <c r="H31" s="10"/>
    </row>
    <row r="32" spans="1:9" x14ac:dyDescent="0.25">
      <c r="A32" s="84" t="s">
        <v>88</v>
      </c>
      <c r="B32" s="85"/>
      <c r="C32" s="85"/>
      <c r="D32" s="85"/>
      <c r="E32" s="85"/>
      <c r="F32" s="85"/>
      <c r="G32" s="85"/>
      <c r="H32" s="86"/>
    </row>
    <row r="33" spans="1:8" ht="18" x14ac:dyDescent="0.35">
      <c r="A33" s="6" t="s">
        <v>253</v>
      </c>
      <c r="B33" s="17">
        <f>B13</f>
        <v>0</v>
      </c>
      <c r="C33" s="8" t="s">
        <v>82</v>
      </c>
      <c r="D33" s="9"/>
      <c r="E33" s="9"/>
      <c r="F33" s="9"/>
      <c r="G33" s="9"/>
      <c r="H33" s="10"/>
    </row>
    <row r="34" spans="1:8" ht="18" x14ac:dyDescent="0.35">
      <c r="A34" s="6" t="s">
        <v>278</v>
      </c>
      <c r="B34" s="3" t="e">
        <f>B21*SQRT(B23+B22)*10^-3</f>
        <v>#N/A</v>
      </c>
      <c r="C34" s="8" t="s">
        <v>82</v>
      </c>
      <c r="D34" s="9"/>
      <c r="E34" s="9"/>
      <c r="F34" s="9"/>
      <c r="G34" s="9"/>
      <c r="H34" s="10"/>
    </row>
    <row r="35" spans="1:8" ht="18" x14ac:dyDescent="0.35">
      <c r="A35" s="6" t="s">
        <v>286</v>
      </c>
      <c r="B35" s="56" t="e">
        <f>IF(B33&gt;=B34,"OK","Ikke OK")</f>
        <v>#N/A</v>
      </c>
      <c r="C35" s="8"/>
      <c r="D35" s="9"/>
      <c r="E35" s="9"/>
      <c r="F35" s="9"/>
      <c r="G35" s="9"/>
      <c r="H35" s="10"/>
    </row>
    <row r="38" spans="1:8" x14ac:dyDescent="0.25">
      <c r="A38" s="84" t="s">
        <v>478</v>
      </c>
      <c r="B38" s="85" t="s">
        <v>270</v>
      </c>
      <c r="C38" s="85" t="str">
        <f>C16</f>
        <v>T0234</v>
      </c>
      <c r="D38" s="85"/>
      <c r="E38" s="85"/>
      <c r="F38" s="85"/>
      <c r="G38" s="85"/>
      <c r="H38" s="86"/>
    </row>
    <row r="39" spans="1:8" ht="18" x14ac:dyDescent="0.35">
      <c r="A39" s="6" t="s">
        <v>20</v>
      </c>
      <c r="B39" s="67">
        <v>10</v>
      </c>
      <c r="C39" s="8" t="s">
        <v>8</v>
      </c>
      <c r="D39" s="9"/>
      <c r="E39" s="9"/>
      <c r="F39" s="9"/>
      <c r="G39" s="9"/>
      <c r="H39" s="10"/>
    </row>
    <row r="40" spans="1:8" ht="18" x14ac:dyDescent="0.35">
      <c r="A40" s="6" t="s">
        <v>21</v>
      </c>
      <c r="B40" s="67">
        <v>0.4</v>
      </c>
      <c r="C40" s="8" t="s">
        <v>8</v>
      </c>
      <c r="D40" s="9"/>
      <c r="E40" s="9"/>
      <c r="F40" s="9"/>
      <c r="G40" s="9"/>
      <c r="H40" s="10"/>
    </row>
    <row r="41" spans="1:8" ht="18" x14ac:dyDescent="0.35">
      <c r="A41" s="6" t="s">
        <v>42</v>
      </c>
      <c r="B41" s="3">
        <f>B39/B40</f>
        <v>25</v>
      </c>
      <c r="C41" s="8"/>
      <c r="D41" s="9"/>
      <c r="E41" s="9"/>
      <c r="F41" s="9"/>
      <c r="G41" s="9"/>
      <c r="H41" s="10"/>
    </row>
    <row r="42" spans="1:8" ht="18" x14ac:dyDescent="0.35">
      <c r="A42" s="58" t="s">
        <v>355</v>
      </c>
      <c r="B42" s="138" t="e">
        <f>'IM. Trafo.'!B54</f>
        <v>#N/A</v>
      </c>
      <c r="C42" s="24" t="s">
        <v>5</v>
      </c>
      <c r="D42" s="103"/>
      <c r="E42" s="103"/>
      <c r="F42" s="103"/>
      <c r="G42" s="103"/>
      <c r="H42" s="104"/>
    </row>
    <row r="43" spans="1:8" ht="18" x14ac:dyDescent="0.35">
      <c r="A43" s="6" t="s">
        <v>381</v>
      </c>
      <c r="B43" s="3" t="e">
        <f>B40/(SQRT(3)*B42)*10^3</f>
        <v>#N/A</v>
      </c>
      <c r="C43" s="31" t="s">
        <v>18</v>
      </c>
      <c r="D43" s="32"/>
      <c r="E43" s="32"/>
      <c r="F43" s="32"/>
      <c r="G43" s="32"/>
      <c r="H43" s="33"/>
    </row>
    <row r="44" spans="1:8" ht="18" x14ac:dyDescent="0.35">
      <c r="A44" s="26" t="s">
        <v>380</v>
      </c>
      <c r="B44" s="3" t="e">
        <f>B43</f>
        <v>#N/A</v>
      </c>
      <c r="C44" s="31" t="s">
        <v>18</v>
      </c>
      <c r="D44" s="32"/>
      <c r="E44" s="32"/>
      <c r="F44" s="32"/>
      <c r="G44" s="32"/>
      <c r="H44" s="33"/>
    </row>
    <row r="45" spans="1:8" ht="18" x14ac:dyDescent="0.35">
      <c r="A45" s="26" t="s">
        <v>265</v>
      </c>
      <c r="B45" s="3" t="e">
        <f>B44/(SQRT(3)*B41)</f>
        <v>#N/A</v>
      </c>
      <c r="C45" s="49" t="s">
        <v>18</v>
      </c>
      <c r="D45" s="53"/>
      <c r="E45" s="53"/>
      <c r="F45" s="53"/>
      <c r="G45" s="53"/>
      <c r="H45" s="50"/>
    </row>
    <row r="46" spans="1:8" ht="18" x14ac:dyDescent="0.35">
      <c r="A46" s="6" t="s">
        <v>83</v>
      </c>
      <c r="B46" s="160">
        <f>SM!B44</f>
        <v>0</v>
      </c>
      <c r="C46" s="8" t="s">
        <v>37</v>
      </c>
      <c r="D46" s="9" t="s">
        <v>261</v>
      </c>
      <c r="E46" s="9"/>
      <c r="F46" s="9"/>
      <c r="G46" s="9"/>
      <c r="H46" s="10"/>
    </row>
    <row r="47" spans="1:8" ht="18" x14ac:dyDescent="0.35">
      <c r="A47" s="58" t="s">
        <v>348</v>
      </c>
      <c r="B47" s="144" t="e">
        <f>'IM. Trafo.'!B22</f>
        <v>#N/A</v>
      </c>
      <c r="C47" s="131" t="s">
        <v>5</v>
      </c>
      <c r="D47" s="123"/>
      <c r="E47" s="123"/>
      <c r="F47" s="123"/>
      <c r="G47" s="123"/>
      <c r="H47" s="124"/>
    </row>
    <row r="48" spans="1:8" ht="18" x14ac:dyDescent="0.35">
      <c r="A48" s="26" t="s">
        <v>367</v>
      </c>
      <c r="B48" s="2" t="e">
        <f>(B39*10^3)/(SQRT(3)*B47)</f>
        <v>#N/A</v>
      </c>
      <c r="C48" s="131" t="s">
        <v>18</v>
      </c>
      <c r="D48" s="123"/>
      <c r="E48" s="123"/>
      <c r="F48" s="123"/>
      <c r="G48" s="123"/>
      <c r="H48" s="124"/>
    </row>
    <row r="49" spans="1:8" ht="18" x14ac:dyDescent="0.35">
      <c r="A49" s="26" t="s">
        <v>366</v>
      </c>
      <c r="B49" s="2" t="e">
        <f>(SQRT(3)/2)*B48</f>
        <v>#N/A</v>
      </c>
      <c r="C49" s="8" t="s">
        <v>18</v>
      </c>
      <c r="D49" s="9"/>
      <c r="E49" s="9"/>
      <c r="F49" s="9"/>
      <c r="G49" s="9"/>
      <c r="H49" s="10"/>
    </row>
    <row r="50" spans="1:8" x14ac:dyDescent="0.25">
      <c r="A50" s="84" t="s">
        <v>86</v>
      </c>
      <c r="B50" s="85"/>
      <c r="C50" s="85"/>
      <c r="D50" s="85"/>
      <c r="E50" s="85"/>
      <c r="F50" s="85"/>
      <c r="G50" s="85"/>
      <c r="H50" s="86"/>
    </row>
    <row r="51" spans="1:8" ht="18" x14ac:dyDescent="0.35">
      <c r="A51" s="6" t="s">
        <v>292</v>
      </c>
      <c r="B51" s="155">
        <f>SM!F23</f>
        <v>0</v>
      </c>
      <c r="C51" s="8" t="s">
        <v>18</v>
      </c>
      <c r="D51" s="9"/>
      <c r="E51" s="9"/>
      <c r="F51" s="9"/>
      <c r="G51" s="9"/>
      <c r="H51" s="10"/>
    </row>
    <row r="52" spans="1:8" ht="18" x14ac:dyDescent="0.35">
      <c r="A52" s="6" t="s">
        <v>200</v>
      </c>
      <c r="B52" s="75">
        <f>B10</f>
        <v>0</v>
      </c>
      <c r="C52" s="8" t="s">
        <v>18</v>
      </c>
      <c r="D52" s="9"/>
      <c r="E52" s="9"/>
      <c r="F52" s="9"/>
      <c r="G52" s="9"/>
      <c r="H52" s="10"/>
    </row>
    <row r="53" spans="1:8" ht="18" x14ac:dyDescent="0.35">
      <c r="A53" s="6" t="s">
        <v>369</v>
      </c>
      <c r="B53" s="56" t="str">
        <f>IF(B51&lt;=B52,"OK","Ikke OK")</f>
        <v>OK</v>
      </c>
      <c r="C53" s="8"/>
      <c r="D53" s="9"/>
      <c r="E53" s="9"/>
      <c r="F53" s="9"/>
      <c r="G53" s="9"/>
      <c r="H53" s="10"/>
    </row>
    <row r="54" spans="1:8" x14ac:dyDescent="0.25">
      <c r="A54" s="84" t="s">
        <v>87</v>
      </c>
      <c r="B54" s="85"/>
      <c r="C54" s="85"/>
      <c r="D54" s="85"/>
      <c r="E54" s="85"/>
      <c r="F54" s="85"/>
      <c r="G54" s="85"/>
      <c r="H54" s="86"/>
    </row>
    <row r="55" spans="1:8" ht="18" x14ac:dyDescent="0.35">
      <c r="A55" s="26" t="s">
        <v>287</v>
      </c>
      <c r="B55" s="17">
        <f>B12</f>
        <v>0</v>
      </c>
      <c r="C55" s="8" t="s">
        <v>82</v>
      </c>
      <c r="D55" s="9"/>
      <c r="E55" s="9"/>
      <c r="F55" s="9"/>
      <c r="G55" s="9"/>
      <c r="H55" s="10"/>
    </row>
    <row r="56" spans="1:8" ht="18" x14ac:dyDescent="0.35">
      <c r="A56" s="6" t="s">
        <v>293</v>
      </c>
      <c r="B56" s="2" t="e">
        <f>(B45*10^-3)*B46</f>
        <v>#N/A</v>
      </c>
      <c r="C56" s="8" t="s">
        <v>82</v>
      </c>
      <c r="D56" s="9"/>
      <c r="E56" s="9"/>
      <c r="F56" s="9"/>
      <c r="G56" s="9"/>
      <c r="H56" s="10"/>
    </row>
    <row r="57" spans="1:8" ht="18" x14ac:dyDescent="0.35">
      <c r="A57" s="6" t="s">
        <v>294</v>
      </c>
      <c r="B57" s="56" t="e">
        <f>IF(B56&gt;=B56,"OK","Ikke OK")</f>
        <v>#N/A</v>
      </c>
      <c r="C57" s="8"/>
      <c r="D57" s="9"/>
      <c r="E57" s="9"/>
      <c r="F57" s="9"/>
      <c r="G57" s="9"/>
      <c r="H57" s="10"/>
    </row>
    <row r="58" spans="1:8" x14ac:dyDescent="0.25">
      <c r="A58" s="84" t="s">
        <v>88</v>
      </c>
      <c r="B58" s="85"/>
      <c r="C58" s="85"/>
      <c r="D58" s="85"/>
      <c r="E58" s="85"/>
      <c r="F58" s="85"/>
      <c r="G58" s="85"/>
      <c r="H58" s="86"/>
    </row>
    <row r="59" spans="1:8" ht="18" x14ac:dyDescent="0.35">
      <c r="A59" s="6" t="s">
        <v>253</v>
      </c>
      <c r="B59" s="17">
        <f>B13</f>
        <v>0</v>
      </c>
      <c r="C59" s="8" t="s">
        <v>82</v>
      </c>
      <c r="D59" s="9"/>
      <c r="E59" s="9"/>
      <c r="F59" s="9"/>
      <c r="G59" s="9"/>
      <c r="H59" s="10"/>
    </row>
    <row r="60" spans="1:8" ht="18" x14ac:dyDescent="0.35">
      <c r="A60" s="6" t="s">
        <v>295</v>
      </c>
      <c r="B60" s="3" t="e">
        <f>(B49*10^-3)*B46</f>
        <v>#N/A</v>
      </c>
      <c r="C60" s="8" t="s">
        <v>82</v>
      </c>
      <c r="D60" s="9"/>
      <c r="E60" s="9"/>
      <c r="F60" s="9"/>
      <c r="G60" s="9"/>
      <c r="H60" s="10"/>
    </row>
    <row r="61" spans="1:8" ht="18" x14ac:dyDescent="0.35">
      <c r="A61" s="6" t="s">
        <v>370</v>
      </c>
      <c r="B61" s="56" t="e">
        <f>IF(B60&gt;=B60,"OK","Ikke OK")</f>
        <v>#N/A</v>
      </c>
      <c r="C61" s="8"/>
      <c r="D61" s="9"/>
      <c r="E61" s="9"/>
      <c r="F61" s="9"/>
      <c r="G61" s="9"/>
      <c r="H61" s="10"/>
    </row>
    <row r="64" spans="1:8" x14ac:dyDescent="0.25">
      <c r="A64" s="84" t="s">
        <v>109</v>
      </c>
      <c r="B64" s="85" t="s">
        <v>258</v>
      </c>
      <c r="C64" s="85" t="str">
        <f>C4</f>
        <v>T0234</v>
      </c>
      <c r="D64" s="85"/>
      <c r="E64" s="85"/>
      <c r="F64" s="85"/>
      <c r="G64" s="85"/>
      <c r="H64" s="86"/>
    </row>
    <row r="65" spans="1:9" ht="18" x14ac:dyDescent="0.35">
      <c r="A65" s="6" t="s">
        <v>108</v>
      </c>
      <c r="B65" s="19">
        <f>B10</f>
        <v>0</v>
      </c>
      <c r="C65" s="8" t="s">
        <v>18</v>
      </c>
      <c r="D65" s="9"/>
      <c r="E65" s="9"/>
      <c r="F65" s="9"/>
      <c r="G65" s="9"/>
      <c r="H65" s="10"/>
    </row>
    <row r="66" spans="1:9" ht="18" x14ac:dyDescent="0.35">
      <c r="A66" s="6" t="s">
        <v>374</v>
      </c>
      <c r="B66" s="28">
        <f>B5</f>
        <v>0</v>
      </c>
      <c r="C66" s="8" t="s">
        <v>18</v>
      </c>
      <c r="D66" s="9"/>
      <c r="E66" s="9"/>
      <c r="F66" s="9"/>
      <c r="G66" s="9"/>
      <c r="H66" s="10"/>
    </row>
    <row r="67" spans="1:9" ht="18" x14ac:dyDescent="0.35">
      <c r="A67" s="6" t="s">
        <v>289</v>
      </c>
      <c r="B67" s="17">
        <f>B8</f>
        <v>1</v>
      </c>
      <c r="C67" s="8"/>
      <c r="D67" s="9"/>
      <c r="E67" s="9"/>
      <c r="F67" s="9"/>
      <c r="G67" s="9"/>
      <c r="H67" s="10"/>
      <c r="I67" s="210"/>
    </row>
    <row r="68" spans="1:9" ht="18" x14ac:dyDescent="0.35">
      <c r="A68" s="6" t="s">
        <v>92</v>
      </c>
      <c r="B68" s="17">
        <f>B9</f>
        <v>1</v>
      </c>
      <c r="C68" s="8"/>
      <c r="D68" s="9"/>
      <c r="E68" s="9"/>
      <c r="F68" s="9"/>
      <c r="G68" s="9"/>
      <c r="H68" s="10"/>
      <c r="I68" s="210"/>
    </row>
    <row r="69" spans="1:9" ht="18" x14ac:dyDescent="0.35">
      <c r="A69" s="6" t="s">
        <v>377</v>
      </c>
      <c r="B69" s="64">
        <f>B66/(B67*B68)</f>
        <v>0</v>
      </c>
      <c r="C69" s="31"/>
      <c r="D69" s="32"/>
      <c r="E69" s="32"/>
      <c r="F69" s="32"/>
      <c r="G69" s="32"/>
      <c r="H69" s="33"/>
    </row>
    <row r="70" spans="1:9" ht="18" x14ac:dyDescent="0.35">
      <c r="A70" s="26" t="s">
        <v>110</v>
      </c>
      <c r="B70" s="83" t="str">
        <f>IF(B10&gt;=B5,"OK","Ikke OK")</f>
        <v>OK</v>
      </c>
      <c r="C70" s="31"/>
      <c r="D70" s="32"/>
      <c r="E70" s="32"/>
      <c r="F70" s="32"/>
      <c r="G70" s="32"/>
      <c r="H70" s="33"/>
    </row>
    <row r="73" spans="1:9" x14ac:dyDescent="0.25">
      <c r="A73" s="84" t="s">
        <v>378</v>
      </c>
      <c r="B73" s="85" t="s">
        <v>258</v>
      </c>
      <c r="C73" s="85" t="str">
        <f>C4</f>
        <v>T0234</v>
      </c>
      <c r="D73" s="85"/>
      <c r="E73" s="85"/>
      <c r="F73" s="85"/>
      <c r="G73" s="85"/>
      <c r="H73" s="86"/>
    </row>
    <row r="74" spans="1:9" x14ac:dyDescent="0.25">
      <c r="A74" s="6" t="s">
        <v>51</v>
      </c>
      <c r="B74" s="17">
        <v>94</v>
      </c>
      <c r="C74" s="8"/>
      <c r="D74" s="9"/>
      <c r="E74" s="9"/>
      <c r="F74" s="9"/>
      <c r="G74" s="9"/>
      <c r="H74" s="10"/>
    </row>
    <row r="75" spans="1:9" ht="17.25" x14ac:dyDescent="0.25">
      <c r="A75" s="6" t="s">
        <v>101</v>
      </c>
      <c r="B75" s="17">
        <f>F6</f>
        <v>0</v>
      </c>
      <c r="C75" s="8" t="s">
        <v>53</v>
      </c>
      <c r="D75" s="9"/>
      <c r="E75" s="9"/>
      <c r="F75" s="9"/>
      <c r="G75" s="9"/>
      <c r="H75" s="10"/>
    </row>
    <row r="76" spans="1:9" ht="17.25" x14ac:dyDescent="0.25">
      <c r="A76" s="6" t="s">
        <v>129</v>
      </c>
      <c r="B76" s="17"/>
      <c r="C76" s="8" t="s">
        <v>125</v>
      </c>
      <c r="D76" s="9"/>
      <c r="E76" s="9"/>
      <c r="F76" s="9"/>
      <c r="G76" s="9"/>
      <c r="H76" s="10"/>
      <c r="I76" t="s">
        <v>515</v>
      </c>
    </row>
    <row r="77" spans="1:9" ht="17.25" x14ac:dyDescent="0.25">
      <c r="A77" s="6" t="s">
        <v>124</v>
      </c>
      <c r="B77" s="19">
        <f>(B74^2)*(B75^2)</f>
        <v>0</v>
      </c>
      <c r="C77" s="8" t="s">
        <v>125</v>
      </c>
      <c r="D77" s="9"/>
      <c r="E77" s="9"/>
      <c r="F77" s="9"/>
      <c r="G77" s="9"/>
      <c r="H77" s="10"/>
      <c r="I77" s="210"/>
    </row>
    <row r="78" spans="1:9" ht="17.25" x14ac:dyDescent="0.25">
      <c r="A78" s="6" t="s">
        <v>131</v>
      </c>
      <c r="B78" s="56" t="str">
        <f>IF(B77&gt;=B75,"OK","Ikke OK")</f>
        <v>OK</v>
      </c>
      <c r="C78" s="8"/>
      <c r="D78" s="9"/>
      <c r="E78" s="9"/>
      <c r="F78" s="9"/>
      <c r="G78" s="9"/>
      <c r="H78" s="10"/>
    </row>
    <row r="81" spans="1:9" x14ac:dyDescent="0.25">
      <c r="A81" s="84" t="s">
        <v>371</v>
      </c>
      <c r="B81" s="85" t="s">
        <v>258</v>
      </c>
      <c r="C81" s="85" t="str">
        <f>C4</f>
        <v>T0234</v>
      </c>
      <c r="D81" s="85"/>
      <c r="E81" s="85"/>
      <c r="F81" s="85"/>
      <c r="G81" s="85"/>
      <c r="H81" s="86"/>
    </row>
    <row r="82" spans="1:9" ht="18" x14ac:dyDescent="0.35">
      <c r="A82" s="6" t="s">
        <v>373</v>
      </c>
      <c r="B82" s="28">
        <f>Trafo.!C34</f>
        <v>0</v>
      </c>
      <c r="C82" s="8" t="s">
        <v>18</v>
      </c>
      <c r="D82" s="9"/>
      <c r="E82" s="9"/>
      <c r="F82" s="9"/>
      <c r="G82" s="9"/>
      <c r="H82" s="10"/>
    </row>
    <row r="83" spans="1:9" ht="17.25" x14ac:dyDescent="0.25">
      <c r="A83" s="6" t="s">
        <v>31</v>
      </c>
      <c r="B83" s="191">
        <v>3</v>
      </c>
      <c r="C83" s="66" t="s">
        <v>379</v>
      </c>
      <c r="D83" s="66" t="s">
        <v>475</v>
      </c>
      <c r="E83" s="66"/>
      <c r="F83" s="66"/>
      <c r="G83" s="66" t="s">
        <v>53</v>
      </c>
      <c r="H83" s="61"/>
    </row>
    <row r="84" spans="1:9" ht="18" x14ac:dyDescent="0.35">
      <c r="A84" s="6" t="s">
        <v>375</v>
      </c>
      <c r="B84" s="41"/>
      <c r="C84" s="8" t="s">
        <v>18</v>
      </c>
      <c r="D84" s="94" t="s">
        <v>170</v>
      </c>
      <c r="E84" s="95"/>
      <c r="F84" s="9"/>
      <c r="G84" s="9"/>
      <c r="H84" s="10"/>
      <c r="I84" s="210"/>
    </row>
    <row r="85" spans="1:9" ht="18" x14ac:dyDescent="0.35">
      <c r="A85" s="6" t="s">
        <v>289</v>
      </c>
      <c r="B85" s="17">
        <v>1</v>
      </c>
      <c r="C85" s="8"/>
      <c r="D85" s="9"/>
      <c r="E85" s="9"/>
      <c r="F85" s="9"/>
      <c r="G85" s="9"/>
      <c r="H85" s="10"/>
      <c r="I85" s="210"/>
    </row>
    <row r="86" spans="1:9" ht="18" x14ac:dyDescent="0.35">
      <c r="A86" s="6" t="s">
        <v>92</v>
      </c>
      <c r="B86" s="17">
        <v>1</v>
      </c>
      <c r="C86" s="8"/>
      <c r="D86" s="9"/>
      <c r="E86" s="9"/>
      <c r="F86" s="9"/>
      <c r="G86" s="9"/>
      <c r="H86" s="10"/>
      <c r="I86" s="210"/>
    </row>
    <row r="87" spans="1:9" ht="18" x14ac:dyDescent="0.35">
      <c r="A87" s="6" t="s">
        <v>372</v>
      </c>
      <c r="B87" s="19">
        <f>B84</f>
        <v>0</v>
      </c>
      <c r="C87" s="8" t="s">
        <v>18</v>
      </c>
      <c r="D87" s="9"/>
      <c r="E87" s="9"/>
      <c r="F87" s="9"/>
      <c r="G87" s="9"/>
      <c r="H87" s="10"/>
    </row>
    <row r="88" spans="1:9" x14ac:dyDescent="0.25">
      <c r="A88" s="90" t="s">
        <v>181</v>
      </c>
      <c r="B88" s="91"/>
      <c r="C88" s="91"/>
      <c r="D88" s="91"/>
      <c r="E88" s="91"/>
      <c r="F88" s="91"/>
      <c r="G88" s="91"/>
      <c r="H88" s="92"/>
    </row>
    <row r="89" spans="1:9" ht="18" x14ac:dyDescent="0.35">
      <c r="A89" s="26" t="s">
        <v>287</v>
      </c>
      <c r="B89" s="93"/>
      <c r="C89" s="31" t="s">
        <v>82</v>
      </c>
      <c r="D89" s="94" t="s">
        <v>170</v>
      </c>
      <c r="E89" s="95"/>
      <c r="F89" s="32"/>
      <c r="G89" s="32"/>
      <c r="H89" s="33"/>
      <c r="I89" s="210"/>
    </row>
    <row r="90" spans="1:9" ht="18" x14ac:dyDescent="0.35">
      <c r="A90" s="6" t="s">
        <v>253</v>
      </c>
      <c r="B90" s="46"/>
      <c r="C90" s="31" t="s">
        <v>82</v>
      </c>
      <c r="D90" s="21" t="s">
        <v>170</v>
      </c>
      <c r="E90" s="23"/>
      <c r="F90" s="32"/>
      <c r="G90" s="32"/>
      <c r="H90" s="33"/>
      <c r="I90" s="210"/>
    </row>
    <row r="135" spans="1:8" x14ac:dyDescent="0.25">
      <c r="A135" s="84" t="s">
        <v>109</v>
      </c>
      <c r="B135" s="85" t="s">
        <v>258</v>
      </c>
      <c r="C135" s="85" t="str">
        <f>C81</f>
        <v>T0234</v>
      </c>
      <c r="D135" s="85"/>
      <c r="E135" s="85"/>
      <c r="F135" s="85"/>
      <c r="G135" s="85"/>
      <c r="H135" s="86"/>
    </row>
    <row r="136" spans="1:8" ht="18" x14ac:dyDescent="0.35">
      <c r="A136" s="6" t="s">
        <v>200</v>
      </c>
      <c r="B136" s="19">
        <f>B87</f>
        <v>0</v>
      </c>
      <c r="C136" s="8" t="s">
        <v>18</v>
      </c>
      <c r="D136" s="9"/>
      <c r="E136" s="9"/>
      <c r="F136" s="9"/>
      <c r="G136" s="9"/>
      <c r="H136" s="10"/>
    </row>
    <row r="137" spans="1:8" ht="18" x14ac:dyDescent="0.35">
      <c r="A137" s="6" t="s">
        <v>374</v>
      </c>
      <c r="B137" s="28">
        <f>B82</f>
        <v>0</v>
      </c>
      <c r="C137" s="8" t="s">
        <v>18</v>
      </c>
      <c r="D137" s="9"/>
      <c r="E137" s="9"/>
      <c r="F137" s="9"/>
      <c r="G137" s="9"/>
      <c r="H137" s="10"/>
    </row>
    <row r="138" spans="1:8" ht="18" x14ac:dyDescent="0.35">
      <c r="A138" s="6" t="s">
        <v>289</v>
      </c>
      <c r="B138" s="17">
        <f>B85</f>
        <v>1</v>
      </c>
      <c r="C138" s="8"/>
      <c r="D138" s="9"/>
      <c r="E138" s="9"/>
      <c r="F138" s="9"/>
      <c r="G138" s="9"/>
      <c r="H138" s="10"/>
    </row>
    <row r="139" spans="1:8" ht="18" x14ac:dyDescent="0.35">
      <c r="A139" s="6" t="s">
        <v>92</v>
      </c>
      <c r="B139" s="17">
        <f>B86</f>
        <v>1</v>
      </c>
      <c r="C139" s="8"/>
      <c r="D139" s="9"/>
      <c r="E139" s="9"/>
      <c r="F139" s="9"/>
      <c r="G139" s="9"/>
      <c r="H139" s="10"/>
    </row>
    <row r="140" spans="1:8" ht="18" x14ac:dyDescent="0.35">
      <c r="A140" s="6" t="s">
        <v>377</v>
      </c>
      <c r="B140" s="64">
        <f>B137/(B138*B139)</f>
        <v>0</v>
      </c>
      <c r="C140" s="31"/>
      <c r="D140" s="32"/>
      <c r="E140" s="32"/>
      <c r="F140" s="32"/>
      <c r="G140" s="32"/>
      <c r="H140" s="33"/>
    </row>
    <row r="141" spans="1:8" ht="18" x14ac:dyDescent="0.35">
      <c r="A141" s="26" t="s">
        <v>110</v>
      </c>
      <c r="B141" s="83" t="str">
        <f>IF(B87&gt;=B82,"OK","Ikke OK")</f>
        <v>OK</v>
      </c>
      <c r="C141" s="31"/>
      <c r="D141" s="32"/>
      <c r="E141" s="32"/>
      <c r="F141" s="32"/>
      <c r="G141" s="32"/>
      <c r="H141" s="33"/>
    </row>
    <row r="144" spans="1:8" x14ac:dyDescent="0.25">
      <c r="A144" s="84" t="s">
        <v>132</v>
      </c>
      <c r="B144" s="85" t="s">
        <v>229</v>
      </c>
      <c r="C144" s="85" t="str">
        <f>C135</f>
        <v>T0234</v>
      </c>
      <c r="D144" s="85"/>
      <c r="E144" s="85"/>
      <c r="F144" s="85"/>
      <c r="G144" s="85"/>
      <c r="H144" s="86"/>
    </row>
    <row r="145" spans="1:9" x14ac:dyDescent="0.25">
      <c r="A145" s="6" t="s">
        <v>51</v>
      </c>
      <c r="B145" s="17">
        <v>94</v>
      </c>
      <c r="C145" s="8"/>
      <c r="D145" s="9"/>
      <c r="E145" s="9"/>
      <c r="F145" s="9"/>
      <c r="G145" s="9"/>
      <c r="H145" s="10"/>
      <c r="I145" t="s">
        <v>449</v>
      </c>
    </row>
    <row r="146" spans="1:9" ht="17.25" x14ac:dyDescent="0.25">
      <c r="A146" s="6" t="s">
        <v>101</v>
      </c>
      <c r="B146" s="17">
        <f>F6</f>
        <v>0</v>
      </c>
      <c r="C146" s="8" t="s">
        <v>53</v>
      </c>
      <c r="D146" s="9"/>
      <c r="E146" s="9"/>
      <c r="F146" s="9"/>
      <c r="G146" s="9"/>
      <c r="H146" s="10"/>
    </row>
    <row r="147" spans="1:9" ht="18" x14ac:dyDescent="0.35">
      <c r="A147" s="26" t="s">
        <v>20</v>
      </c>
      <c r="B147" s="30">
        <v>10</v>
      </c>
      <c r="C147" s="31" t="s">
        <v>8</v>
      </c>
      <c r="D147" s="32"/>
      <c r="E147" s="32"/>
      <c r="F147" s="32"/>
      <c r="G147" s="32"/>
      <c r="H147" s="33"/>
    </row>
    <row r="148" spans="1:9" ht="18" x14ac:dyDescent="0.35">
      <c r="A148" s="6" t="s">
        <v>21</v>
      </c>
      <c r="B148" s="1">
        <v>0.4</v>
      </c>
      <c r="C148" s="8" t="s">
        <v>8</v>
      </c>
      <c r="D148" s="9"/>
      <c r="E148" s="9"/>
      <c r="F148" s="9"/>
      <c r="G148" s="9"/>
      <c r="H148" s="10"/>
    </row>
    <row r="149" spans="1:9" ht="18" x14ac:dyDescent="0.35">
      <c r="A149" s="6" t="s">
        <v>42</v>
      </c>
      <c r="B149" s="19">
        <f>B147/B148</f>
        <v>25</v>
      </c>
      <c r="C149" s="8"/>
      <c r="D149" s="9"/>
      <c r="E149" s="9"/>
      <c r="F149" s="9"/>
      <c r="G149" s="9"/>
      <c r="H149" s="10"/>
    </row>
    <row r="150" spans="1:9" ht="18" x14ac:dyDescent="0.35">
      <c r="A150" s="58" t="s">
        <v>355</v>
      </c>
      <c r="B150" s="138" t="e">
        <f>'IM. Trafo.'!B54</f>
        <v>#N/A</v>
      </c>
      <c r="C150" s="163" t="s">
        <v>5</v>
      </c>
      <c r="D150" s="162"/>
      <c r="E150" s="162"/>
      <c r="F150" s="162"/>
      <c r="G150" s="162"/>
      <c r="H150" s="164"/>
    </row>
    <row r="151" spans="1:9" ht="18" x14ac:dyDescent="0.35">
      <c r="A151" s="6" t="s">
        <v>381</v>
      </c>
      <c r="B151" s="3" t="e">
        <f>B148/(SQRT(3)*B150)*10^3</f>
        <v>#N/A</v>
      </c>
      <c r="C151" s="31" t="s">
        <v>18</v>
      </c>
      <c r="D151" s="32"/>
      <c r="E151" s="32"/>
      <c r="F151" s="32"/>
      <c r="G151" s="32"/>
      <c r="H151" s="33"/>
    </row>
    <row r="152" spans="1:9" ht="18" x14ac:dyDescent="0.35">
      <c r="A152" s="26" t="s">
        <v>380</v>
      </c>
      <c r="B152" s="3" t="e">
        <f>B151</f>
        <v>#N/A</v>
      </c>
      <c r="C152" s="31" t="s">
        <v>18</v>
      </c>
      <c r="D152" s="32"/>
      <c r="E152" s="32"/>
      <c r="F152" s="32"/>
      <c r="G152" s="32"/>
      <c r="H152" s="33"/>
    </row>
    <row r="153" spans="1:9" ht="18" x14ac:dyDescent="0.35">
      <c r="A153" s="26" t="s">
        <v>265</v>
      </c>
      <c r="B153" s="3" t="e">
        <f>B152/(SQRT(3)*B149)</f>
        <v>#N/A</v>
      </c>
      <c r="C153" s="8" t="s">
        <v>18</v>
      </c>
      <c r="D153" s="9"/>
      <c r="E153" s="9"/>
      <c r="F153" s="9"/>
      <c r="G153" s="9"/>
      <c r="H153" s="10"/>
    </row>
    <row r="154" spans="1:9" ht="18" x14ac:dyDescent="0.35">
      <c r="A154" s="31" t="s">
        <v>83</v>
      </c>
      <c r="B154" s="166">
        <f>SM!B31</f>
        <v>0</v>
      </c>
      <c r="C154" s="8" t="s">
        <v>37</v>
      </c>
      <c r="D154" s="8" t="s">
        <v>261</v>
      </c>
      <c r="E154" s="9"/>
      <c r="F154" s="9"/>
      <c r="G154" s="9"/>
      <c r="H154" s="10"/>
      <c r="I154" t="s">
        <v>448</v>
      </c>
    </row>
    <row r="155" spans="1:9" ht="15.75" x14ac:dyDescent="0.25">
      <c r="A155" s="43" t="s">
        <v>111</v>
      </c>
      <c r="B155" s="44"/>
      <c r="C155" s="44"/>
      <c r="D155" s="44"/>
      <c r="E155" s="44"/>
      <c r="F155" s="44"/>
      <c r="G155" s="44"/>
      <c r="H155" s="45"/>
    </row>
    <row r="156" spans="1:9" ht="17.25" x14ac:dyDescent="0.25">
      <c r="A156" s="6" t="s">
        <v>124</v>
      </c>
      <c r="B156" s="19">
        <f>B145^2*B146^2</f>
        <v>0</v>
      </c>
      <c r="C156" s="8" t="s">
        <v>125</v>
      </c>
      <c r="D156" s="9"/>
      <c r="E156" s="9"/>
      <c r="F156" s="9"/>
      <c r="G156" s="9"/>
      <c r="H156" s="10"/>
    </row>
    <row r="157" spans="1:9" ht="18.75" x14ac:dyDescent="0.35">
      <c r="A157" s="6" t="s">
        <v>135</v>
      </c>
      <c r="B157" s="19" t="e">
        <f>B152*B154</f>
        <v>#N/A</v>
      </c>
      <c r="C157" s="8" t="s">
        <v>125</v>
      </c>
      <c r="D157" s="9"/>
      <c r="E157" s="9"/>
      <c r="F157" s="9"/>
      <c r="G157" s="9"/>
      <c r="H157" s="10"/>
    </row>
    <row r="158" spans="1:9" ht="17.25" x14ac:dyDescent="0.25">
      <c r="A158" s="6" t="s">
        <v>131</v>
      </c>
      <c r="B158" s="56" t="e">
        <f>IF(B156&gt;=B157,"OK","Ikke OK")</f>
        <v>#N/A</v>
      </c>
      <c r="C158" s="8"/>
      <c r="D158" s="9"/>
      <c r="E158" s="9"/>
      <c r="F158" s="9"/>
      <c r="G158" s="9"/>
      <c r="H158" s="10"/>
    </row>
    <row r="170" spans="1:8" x14ac:dyDescent="0.25">
      <c r="A170" s="84" t="s">
        <v>111</v>
      </c>
      <c r="B170" s="85" t="s">
        <v>229</v>
      </c>
      <c r="C170" s="85" t="str">
        <f>C64</f>
        <v>T0234</v>
      </c>
      <c r="D170" s="85"/>
      <c r="E170" s="85"/>
      <c r="F170" s="85"/>
      <c r="G170" s="85"/>
      <c r="H170" s="86"/>
    </row>
    <row r="171" spans="1:8" ht="15.75" x14ac:dyDescent="0.25">
      <c r="A171" s="43" t="s">
        <v>0</v>
      </c>
      <c r="B171" s="44"/>
      <c r="C171" s="44"/>
      <c r="D171" s="44"/>
      <c r="E171" s="44"/>
      <c r="F171" s="44"/>
      <c r="G171" s="44"/>
      <c r="H171" s="45"/>
    </row>
    <row r="172" spans="1:8" x14ac:dyDescent="0.25">
      <c r="A172" s="6" t="s">
        <v>35</v>
      </c>
      <c r="B172" s="70">
        <f>B6</f>
        <v>3</v>
      </c>
      <c r="C172" s="22"/>
      <c r="D172" s="22"/>
      <c r="E172" s="22"/>
      <c r="F172" s="22"/>
      <c r="G172" s="22"/>
      <c r="H172" s="23"/>
    </row>
    <row r="173" spans="1:8" ht="18" x14ac:dyDescent="0.35">
      <c r="A173" s="6" t="s">
        <v>36</v>
      </c>
      <c r="B173" s="1">
        <f>L.relæ!B82</f>
        <v>0.04</v>
      </c>
      <c r="C173" s="8" t="s">
        <v>37</v>
      </c>
      <c r="D173" s="9"/>
      <c r="E173" s="9"/>
      <c r="F173" s="9"/>
      <c r="G173" s="9"/>
      <c r="H173" s="10"/>
    </row>
    <row r="174" spans="1:8" x14ac:dyDescent="0.25">
      <c r="A174" s="6" t="s">
        <v>40</v>
      </c>
      <c r="B174" s="1" t="e">
        <f>L.relæ!#REF!</f>
        <v>#REF!</v>
      </c>
      <c r="C174" s="8" t="s">
        <v>37</v>
      </c>
      <c r="D174" s="9"/>
      <c r="E174" s="9"/>
      <c r="F174" s="9"/>
      <c r="G174" s="9"/>
      <c r="H174" s="10"/>
    </row>
    <row r="175" spans="1:8" ht="18" x14ac:dyDescent="0.35">
      <c r="A175" s="6" t="s">
        <v>112</v>
      </c>
      <c r="B175" s="17"/>
      <c r="C175" s="8" t="s">
        <v>82</v>
      </c>
      <c r="D175" s="9"/>
      <c r="E175" s="9"/>
      <c r="F175" s="9"/>
      <c r="G175" s="9"/>
      <c r="H175" s="10"/>
    </row>
    <row r="176" spans="1:8" ht="18" x14ac:dyDescent="0.35">
      <c r="A176" s="6" t="s">
        <v>113</v>
      </c>
      <c r="B176" s="17"/>
      <c r="C176" s="8" t="s">
        <v>82</v>
      </c>
      <c r="D176" s="9"/>
      <c r="E176" s="9"/>
      <c r="F176" s="9"/>
      <c r="G176" s="9"/>
      <c r="H176" s="10"/>
    </row>
    <row r="177" spans="1:10" ht="18" x14ac:dyDescent="0.35">
      <c r="A177" s="13" t="s">
        <v>32</v>
      </c>
      <c r="B177" s="79" t="e">
        <f>('IM. Linje'!B5*10^3)/(SQRT(3)*'IM. Linje'!#REF!)</f>
        <v>#REF!</v>
      </c>
      <c r="C177" s="36" t="s">
        <v>18</v>
      </c>
      <c r="D177" s="37"/>
      <c r="E177" s="37"/>
      <c r="F177" s="37"/>
      <c r="G177" s="37"/>
      <c r="H177" s="38"/>
    </row>
    <row r="178" spans="1:10" ht="18" x14ac:dyDescent="0.35">
      <c r="A178" s="6" t="s">
        <v>164</v>
      </c>
      <c r="B178" s="2" t="e">
        <f>(SQRT(3)/2)*B177</f>
        <v>#REF!</v>
      </c>
      <c r="C178" s="8" t="s">
        <v>18</v>
      </c>
      <c r="D178" s="42"/>
      <c r="E178" s="39"/>
      <c r="F178" s="42"/>
      <c r="G178" s="9"/>
      <c r="H178" s="10"/>
    </row>
    <row r="179" spans="1:10" ht="18.75" x14ac:dyDescent="0.35">
      <c r="A179" s="43" t="s">
        <v>114</v>
      </c>
      <c r="B179" s="44"/>
      <c r="C179" s="44"/>
      <c r="D179" s="44"/>
      <c r="E179" s="44"/>
      <c r="F179" s="44"/>
      <c r="G179" s="44"/>
      <c r="H179" s="45"/>
    </row>
    <row r="180" spans="1:10" ht="18" x14ac:dyDescent="0.35">
      <c r="A180" s="6" t="s">
        <v>157</v>
      </c>
      <c r="B180" s="71" t="e">
        <f>B177*(SQRT(B173+B174))</f>
        <v>#REF!</v>
      </c>
      <c r="C180" s="8"/>
      <c r="D180" s="9"/>
      <c r="E180" s="9"/>
      <c r="F180" s="9"/>
      <c r="G180" s="9"/>
      <c r="H180" s="10"/>
    </row>
    <row r="181" spans="1:10" ht="18" x14ac:dyDescent="0.35">
      <c r="A181" s="6" t="s">
        <v>158</v>
      </c>
      <c r="B181" s="56" t="e">
        <f>IF((B175*10^3)&gt;=B180,"OK","Ikke OK")</f>
        <v>#REF!</v>
      </c>
      <c r="C181" s="8"/>
      <c r="D181" s="9"/>
      <c r="E181" s="9"/>
      <c r="F181" s="9"/>
      <c r="G181" s="9"/>
      <c r="H181" s="10"/>
    </row>
    <row r="182" spans="1:10" ht="18.75" x14ac:dyDescent="0.35">
      <c r="A182" s="43" t="s">
        <v>115</v>
      </c>
      <c r="B182" s="44"/>
      <c r="C182" s="44"/>
      <c r="D182" s="44"/>
      <c r="E182" s="44"/>
      <c r="F182" s="44"/>
      <c r="G182" s="44"/>
      <c r="H182" s="45"/>
    </row>
    <row r="183" spans="1:10" ht="18" x14ac:dyDescent="0.35">
      <c r="A183" s="6" t="s">
        <v>159</v>
      </c>
      <c r="B183" s="71" t="e">
        <f>B178*(SQRT(B174+B173))</f>
        <v>#REF!</v>
      </c>
      <c r="C183" s="8"/>
      <c r="D183" s="9"/>
      <c r="E183" s="9"/>
      <c r="F183" s="9"/>
      <c r="G183" s="9"/>
      <c r="H183" s="10"/>
    </row>
    <row r="184" spans="1:10" ht="18" x14ac:dyDescent="0.35">
      <c r="A184" s="6" t="s">
        <v>160</v>
      </c>
      <c r="B184" s="56" t="e">
        <f>IF((B178*10^3)&gt;=B183,"OK","Ikke OK")</f>
        <v>#REF!</v>
      </c>
      <c r="C184" s="8"/>
      <c r="D184" s="9"/>
      <c r="E184" s="9"/>
      <c r="F184" s="9"/>
      <c r="G184" s="9"/>
      <c r="H184" s="10"/>
    </row>
    <row r="187" spans="1:10" x14ac:dyDescent="0.25">
      <c r="A187" s="84" t="s">
        <v>126</v>
      </c>
      <c r="B187" s="85"/>
      <c r="C187" s="85"/>
      <c r="D187" s="85"/>
      <c r="E187" s="85"/>
      <c r="F187" s="85" t="s">
        <v>177</v>
      </c>
      <c r="G187" s="85"/>
      <c r="H187" s="86"/>
    </row>
    <row r="188" spans="1:10" ht="18" x14ac:dyDescent="0.35">
      <c r="A188" s="6" t="s">
        <v>118</v>
      </c>
      <c r="B188" s="40">
        <f>Trafo.!C34</f>
        <v>0</v>
      </c>
      <c r="C188" s="8" t="s">
        <v>18</v>
      </c>
      <c r="D188" s="9"/>
      <c r="E188" s="9"/>
      <c r="F188" s="9"/>
      <c r="G188" s="9"/>
      <c r="H188" s="10"/>
    </row>
    <row r="189" spans="1:10" x14ac:dyDescent="0.25">
      <c r="A189" s="6" t="s">
        <v>31</v>
      </c>
      <c r="B189" s="21"/>
      <c r="C189" s="22"/>
      <c r="D189" s="22"/>
      <c r="E189" s="22"/>
      <c r="F189" s="22"/>
      <c r="G189" s="22"/>
      <c r="H189" s="23"/>
    </row>
    <row r="190" spans="1:10" ht="18" x14ac:dyDescent="0.35">
      <c r="A190" s="6" t="s">
        <v>119</v>
      </c>
      <c r="B190" s="41"/>
      <c r="C190" s="8" t="s">
        <v>18</v>
      </c>
      <c r="D190" s="9"/>
      <c r="E190" s="9"/>
      <c r="F190" s="9"/>
      <c r="G190" s="9"/>
      <c r="H190" s="10"/>
      <c r="J190" t="s">
        <v>120</v>
      </c>
    </row>
    <row r="191" spans="1:10" ht="18" x14ac:dyDescent="0.35">
      <c r="A191" s="6" t="s">
        <v>121</v>
      </c>
      <c r="B191" s="17"/>
      <c r="C191" s="8"/>
      <c r="D191" s="9"/>
      <c r="E191" s="9"/>
      <c r="F191" s="9"/>
      <c r="G191" s="9"/>
      <c r="H191" s="10"/>
    </row>
    <row r="192" spans="1:10" ht="18" x14ac:dyDescent="0.35">
      <c r="A192" s="6" t="s">
        <v>122</v>
      </c>
      <c r="B192" s="17"/>
      <c r="C192" s="8"/>
      <c r="D192" s="9"/>
      <c r="E192" s="9"/>
      <c r="F192" s="9"/>
      <c r="G192" s="9"/>
      <c r="H192" s="10"/>
    </row>
    <row r="193" spans="1:10" ht="18" x14ac:dyDescent="0.35">
      <c r="A193" s="6" t="s">
        <v>123</v>
      </c>
      <c r="B193" s="19">
        <f>B190*B191</f>
        <v>0</v>
      </c>
      <c r="C193" s="8" t="s">
        <v>18</v>
      </c>
      <c r="D193" s="9"/>
      <c r="E193" s="9"/>
      <c r="F193" s="9"/>
      <c r="G193" s="9"/>
      <c r="H193" s="10"/>
    </row>
    <row r="196" spans="1:10" x14ac:dyDescent="0.25">
      <c r="A196" s="84" t="s">
        <v>109</v>
      </c>
      <c r="B196" s="85"/>
      <c r="C196" s="85"/>
      <c r="D196" s="85"/>
      <c r="E196" s="85"/>
      <c r="F196" s="85" t="str">
        <f>F187</f>
        <v>LS</v>
      </c>
      <c r="G196" s="85"/>
      <c r="H196" s="86"/>
    </row>
    <row r="197" spans="1:10" ht="18" x14ac:dyDescent="0.35">
      <c r="A197" s="6" t="s">
        <v>127</v>
      </c>
      <c r="B197" s="19" t="str">
        <f>IF(B190&gt;=B193,"OK","Ikke OK")</f>
        <v>OK</v>
      </c>
      <c r="C197" s="8"/>
      <c r="D197" s="9"/>
      <c r="E197" s="9"/>
      <c r="F197" s="9"/>
      <c r="G197" s="9"/>
      <c r="H197" s="10"/>
    </row>
    <row r="200" spans="1:10" x14ac:dyDescent="0.25">
      <c r="A200" s="84" t="s">
        <v>128</v>
      </c>
      <c r="B200" s="85"/>
      <c r="C200" s="85"/>
      <c r="D200" s="85"/>
      <c r="E200" s="85"/>
      <c r="F200" s="85" t="str">
        <f>F187</f>
        <v>LS</v>
      </c>
      <c r="G200" s="85"/>
      <c r="H200" s="86"/>
    </row>
    <row r="201" spans="1:10" ht="15.75" x14ac:dyDescent="0.25">
      <c r="A201" s="43" t="s">
        <v>0</v>
      </c>
      <c r="B201" s="44"/>
      <c r="C201" s="44"/>
      <c r="D201" s="44"/>
      <c r="E201" s="44"/>
      <c r="F201" s="44"/>
      <c r="G201" s="44"/>
      <c r="H201" s="45"/>
    </row>
    <row r="202" spans="1:10" x14ac:dyDescent="0.25">
      <c r="A202" s="6" t="s">
        <v>51</v>
      </c>
      <c r="B202" s="17"/>
      <c r="C202" s="8"/>
      <c r="D202" s="9"/>
      <c r="E202" s="9"/>
      <c r="F202" s="9"/>
      <c r="G202" s="9"/>
      <c r="H202" s="10"/>
    </row>
    <row r="203" spans="1:10" ht="17.25" x14ac:dyDescent="0.25">
      <c r="A203" s="6" t="s">
        <v>101</v>
      </c>
      <c r="B203" s="17"/>
      <c r="C203" s="8" t="s">
        <v>53</v>
      </c>
      <c r="D203" s="9"/>
      <c r="E203" s="9"/>
      <c r="F203" s="9"/>
      <c r="G203" s="9"/>
      <c r="H203" s="10"/>
    </row>
    <row r="204" spans="1:10" ht="17.25" x14ac:dyDescent="0.25">
      <c r="A204" s="6" t="s">
        <v>129</v>
      </c>
      <c r="B204" s="17"/>
      <c r="C204" s="8" t="s">
        <v>125</v>
      </c>
      <c r="D204" s="9"/>
      <c r="E204" s="9"/>
      <c r="F204" s="9"/>
      <c r="G204" s="9"/>
      <c r="H204" s="10"/>
      <c r="J204" t="s">
        <v>130</v>
      </c>
    </row>
    <row r="205" spans="1:10" ht="15.75" x14ac:dyDescent="0.25">
      <c r="A205" s="43" t="s">
        <v>111</v>
      </c>
      <c r="B205" s="44"/>
      <c r="C205" s="44"/>
      <c r="D205" s="44"/>
      <c r="E205" s="44"/>
      <c r="F205" s="44"/>
      <c r="G205" s="44"/>
      <c r="H205" s="18"/>
    </row>
    <row r="206" spans="1:10" ht="17.25" x14ac:dyDescent="0.25">
      <c r="A206" s="6" t="s">
        <v>124</v>
      </c>
      <c r="B206" s="19">
        <f>(B202^2)*(B203^2)</f>
        <v>0</v>
      </c>
      <c r="C206" s="8" t="s">
        <v>125</v>
      </c>
      <c r="D206" s="9"/>
      <c r="E206" s="9"/>
      <c r="F206" s="9"/>
      <c r="G206" s="9"/>
      <c r="H206" s="10"/>
    </row>
    <row r="207" spans="1:10" ht="17.25" x14ac:dyDescent="0.25">
      <c r="A207" s="6" t="s">
        <v>131</v>
      </c>
      <c r="B207" s="19" t="str">
        <f>IF(B206&gt;=B204,"OK","Ikke OK")</f>
        <v>OK</v>
      </c>
      <c r="C207" s="8"/>
      <c r="D207" s="9"/>
      <c r="E207" s="9"/>
      <c r="F207" s="9"/>
      <c r="G207" s="9"/>
      <c r="H207" s="10"/>
    </row>
    <row r="210" spans="1:14" x14ac:dyDescent="0.25">
      <c r="A210" s="84" t="s">
        <v>132</v>
      </c>
      <c r="B210" s="85"/>
      <c r="C210" s="85"/>
      <c r="D210" s="85"/>
      <c r="E210" s="85"/>
      <c r="F210" s="85" t="str">
        <f>F187</f>
        <v>LS</v>
      </c>
      <c r="G210" s="85"/>
      <c r="H210" s="86"/>
    </row>
    <row r="211" spans="1:14" x14ac:dyDescent="0.25">
      <c r="A211" s="6" t="s">
        <v>51</v>
      </c>
      <c r="B211" s="17">
        <v>141</v>
      </c>
      <c r="C211" s="8"/>
      <c r="D211" s="9"/>
      <c r="E211" s="9"/>
      <c r="F211" s="9"/>
      <c r="G211" s="9"/>
      <c r="H211" s="10"/>
    </row>
    <row r="212" spans="1:14" ht="17.25" x14ac:dyDescent="0.25">
      <c r="A212" s="6" t="s">
        <v>101</v>
      </c>
      <c r="B212" s="17">
        <v>400</v>
      </c>
      <c r="C212" s="8" t="s">
        <v>53</v>
      </c>
      <c r="D212" s="9"/>
      <c r="E212" s="9"/>
      <c r="F212" s="9"/>
      <c r="G212" s="9"/>
      <c r="H212" s="10"/>
    </row>
    <row r="213" spans="1:14" ht="18" x14ac:dyDescent="0.35">
      <c r="A213" s="6" t="s">
        <v>133</v>
      </c>
      <c r="B213" s="75">
        <f>[3]Strømme!B83</f>
        <v>245.77572964669741</v>
      </c>
      <c r="C213" s="8" t="s">
        <v>18</v>
      </c>
      <c r="D213" s="9"/>
      <c r="E213" s="9"/>
      <c r="F213" s="9"/>
      <c r="G213" s="9"/>
      <c r="H213" s="10"/>
    </row>
    <row r="214" spans="1:14" ht="18" x14ac:dyDescent="0.35">
      <c r="A214" s="6" t="s">
        <v>83</v>
      </c>
      <c r="B214" s="17">
        <f>4*10^2</f>
        <v>400</v>
      </c>
      <c r="C214" s="8" t="s">
        <v>37</v>
      </c>
      <c r="D214" s="9"/>
      <c r="E214" s="9"/>
      <c r="F214" s="9"/>
      <c r="G214" s="9"/>
      <c r="H214" s="10"/>
    </row>
    <row r="215" spans="1:14" ht="18" x14ac:dyDescent="0.35">
      <c r="A215" s="6" t="s">
        <v>134</v>
      </c>
      <c r="B215" s="28">
        <f>[3]Strømme!B79</f>
        <v>10642.401275384807</v>
      </c>
      <c r="C215" s="8" t="s">
        <v>18</v>
      </c>
      <c r="D215" s="9"/>
      <c r="E215" s="9"/>
      <c r="F215" s="9"/>
      <c r="G215" s="9"/>
      <c r="H215" s="10"/>
    </row>
    <row r="216" spans="1:14" ht="15.75" x14ac:dyDescent="0.25">
      <c r="A216" s="43" t="s">
        <v>111</v>
      </c>
      <c r="B216" s="44"/>
      <c r="C216" s="44"/>
      <c r="D216" s="44"/>
      <c r="E216" s="44"/>
      <c r="F216" s="44"/>
      <c r="G216" s="44"/>
      <c r="H216" s="45"/>
    </row>
    <row r="217" spans="1:14" ht="17.25" x14ac:dyDescent="0.25">
      <c r="A217" s="6" t="s">
        <v>124</v>
      </c>
      <c r="B217" s="19">
        <f>B211^2*B212^2</f>
        <v>3180960000</v>
      </c>
      <c r="C217" s="8" t="s">
        <v>125</v>
      </c>
      <c r="D217" s="9"/>
      <c r="E217" s="9"/>
      <c r="F217" s="9"/>
      <c r="G217" s="9"/>
      <c r="H217" s="10"/>
    </row>
    <row r="218" spans="1:14" ht="18.75" x14ac:dyDescent="0.35">
      <c r="A218" s="6" t="s">
        <v>135</v>
      </c>
      <c r="B218" s="19">
        <f>B215*B214</f>
        <v>4256960.5101539232</v>
      </c>
      <c r="C218" s="8" t="s">
        <v>125</v>
      </c>
      <c r="D218" s="9"/>
      <c r="E218" s="9"/>
      <c r="F218" s="9"/>
      <c r="G218" s="9"/>
      <c r="H218" s="10"/>
    </row>
    <row r="219" spans="1:14" ht="17.25" x14ac:dyDescent="0.25">
      <c r="A219" s="6" t="s">
        <v>131</v>
      </c>
      <c r="B219" s="19" t="str">
        <f>IF(B217&gt;=B218,"OK","Ikke OK")</f>
        <v>OK</v>
      </c>
      <c r="C219" s="8"/>
      <c r="D219" s="9"/>
      <c r="E219" s="9"/>
      <c r="F219" s="9"/>
      <c r="G219" s="9"/>
      <c r="H219" s="10"/>
    </row>
    <row r="224" spans="1:14" ht="18" x14ac:dyDescent="0.35">
      <c r="A224" t="s">
        <v>136</v>
      </c>
      <c r="B224" s="73">
        <f>[3]Strømme!B67</f>
        <v>425.6960510153923</v>
      </c>
      <c r="C224" t="s">
        <v>18</v>
      </c>
      <c r="J224">
        <f>IF(B208&lt;=0.01,1,0)</f>
        <v>1</v>
      </c>
      <c r="K224">
        <f>IF(B208&gt;0.1,1,0)</f>
        <v>0</v>
      </c>
      <c r="L224">
        <f>IF(J224=0,1,0)</f>
        <v>0</v>
      </c>
      <c r="M224">
        <f>IF(K224=0,1,0)</f>
        <v>1</v>
      </c>
      <c r="N224">
        <f>IF(L224+M224=2,1,0)</f>
        <v>0</v>
      </c>
    </row>
    <row r="225" spans="1:10" ht="18" x14ac:dyDescent="0.35">
      <c r="A225" t="s">
        <v>83</v>
      </c>
      <c r="B225" s="72">
        <v>1</v>
      </c>
      <c r="C225" t="s">
        <v>37</v>
      </c>
      <c r="J225" t="s">
        <v>50</v>
      </c>
    </row>
    <row r="226" spans="1:10" ht="18" x14ac:dyDescent="0.35">
      <c r="A226" t="s">
        <v>137</v>
      </c>
      <c r="B226" s="73">
        <f>[3]Strømme!B75</f>
        <v>368.66359447004606</v>
      </c>
      <c r="C226" t="s">
        <v>18</v>
      </c>
    </row>
    <row r="227" spans="1:10" ht="18.75" x14ac:dyDescent="0.35">
      <c r="A227" t="s">
        <v>138</v>
      </c>
      <c r="B227" t="str">
        <f>IF(N224=1,"Ja","Nej")</f>
        <v>Nej</v>
      </c>
      <c r="F227" t="s">
        <v>125</v>
      </c>
      <c r="J227" t="s">
        <v>139</v>
      </c>
    </row>
    <row r="228" spans="1:10" ht="18.75" x14ac:dyDescent="0.35">
      <c r="A228" t="s">
        <v>140</v>
      </c>
      <c r="B228" t="str">
        <f>IF(J224=1,"Ja","Nej")</f>
        <v>Ja</v>
      </c>
      <c r="F228" t="s">
        <v>125</v>
      </c>
      <c r="J228" t="s">
        <v>141</v>
      </c>
    </row>
    <row r="229" spans="1:10" ht="18.75" x14ac:dyDescent="0.35">
      <c r="A229" t="s">
        <v>142</v>
      </c>
      <c r="B229" t="str">
        <f>IF(K224=1,"Ja","Nej")</f>
        <v>Nej</v>
      </c>
      <c r="C229" t="s">
        <v>143</v>
      </c>
      <c r="E229">
        <f>(B226^2)*(B225^2)</f>
        <v>135912.84588757457</v>
      </c>
      <c r="F229" t="s">
        <v>125</v>
      </c>
      <c r="J229" t="s">
        <v>144</v>
      </c>
    </row>
    <row r="230" spans="1:10" ht="17.25" x14ac:dyDescent="0.25">
      <c r="A230" t="s">
        <v>145</v>
      </c>
      <c r="B230" s="74">
        <f>E229</f>
        <v>135912.84588757457</v>
      </c>
      <c r="C230" t="s">
        <v>125</v>
      </c>
    </row>
    <row r="231" spans="1:10" ht="18.75" x14ac:dyDescent="0.35">
      <c r="A231" t="s">
        <v>124</v>
      </c>
      <c r="B231" t="e">
        <f>(B208^2)*(#REF!^2)</f>
        <v>#REF!</v>
      </c>
      <c r="C231" t="s">
        <v>146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7"/>
  <sheetViews>
    <sheetView workbookViewId="0">
      <selection activeCell="M25" sqref="M25"/>
    </sheetView>
  </sheetViews>
  <sheetFormatPr defaultRowHeight="15" x14ac:dyDescent="0.25"/>
  <cols>
    <col min="1" max="1" width="27.8554687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</cols>
  <sheetData>
    <row r="3" spans="1:12" x14ac:dyDescent="0.25">
      <c r="A3" s="84" t="s">
        <v>65</v>
      </c>
      <c r="B3" s="85"/>
      <c r="C3" s="85"/>
      <c r="D3" s="85"/>
      <c r="E3" s="85"/>
      <c r="F3" s="85"/>
      <c r="G3" s="85"/>
      <c r="H3" s="86"/>
    </row>
    <row r="4" spans="1:12" ht="16.149999999999999" customHeight="1" x14ac:dyDescent="0.25">
      <c r="A4" s="6" t="s">
        <v>66</v>
      </c>
      <c r="B4" s="122">
        <f>'IM. Linje'!B86</f>
        <v>0</v>
      </c>
      <c r="C4" s="22"/>
      <c r="D4" s="22"/>
      <c r="E4" s="22"/>
      <c r="F4" s="22"/>
      <c r="G4" s="22"/>
      <c r="H4" s="23"/>
    </row>
    <row r="5" spans="1:12" ht="16.149999999999999" customHeight="1" x14ac:dyDescent="0.25">
      <c r="A5" s="25" t="s">
        <v>75</v>
      </c>
      <c r="B5" s="59">
        <v>0.53</v>
      </c>
      <c r="C5" s="7" t="s">
        <v>67</v>
      </c>
      <c r="D5" s="9"/>
      <c r="E5" s="9"/>
      <c r="F5" s="9"/>
      <c r="G5" s="9"/>
      <c r="H5" s="10"/>
      <c r="I5" s="210"/>
      <c r="J5" t="s">
        <v>516</v>
      </c>
    </row>
    <row r="6" spans="1:12" ht="16.149999999999999" customHeight="1" x14ac:dyDescent="0.25">
      <c r="A6" s="6" t="s">
        <v>15</v>
      </c>
      <c r="B6" s="1">
        <f>4+8</f>
        <v>12</v>
      </c>
      <c r="C6" s="8" t="s">
        <v>16</v>
      </c>
      <c r="D6" s="9"/>
      <c r="E6" s="9"/>
      <c r="F6" s="9"/>
      <c r="G6" s="9"/>
      <c r="H6" s="10"/>
      <c r="I6" s="210"/>
      <c r="J6" t="s">
        <v>517</v>
      </c>
    </row>
    <row r="7" spans="1:12" ht="16.149999999999999" customHeight="1" x14ac:dyDescent="0.25">
      <c r="A7" s="6" t="s">
        <v>69</v>
      </c>
      <c r="B7" s="1">
        <v>50</v>
      </c>
      <c r="C7" s="8" t="s">
        <v>70</v>
      </c>
      <c r="D7" s="9"/>
      <c r="E7" s="9"/>
      <c r="F7" s="9"/>
      <c r="G7" s="9"/>
      <c r="H7" s="10"/>
    </row>
    <row r="8" spans="1:12" ht="16.149999999999999" customHeight="1" x14ac:dyDescent="0.35">
      <c r="A8" s="6" t="s">
        <v>20</v>
      </c>
      <c r="B8" s="1">
        <f>'IM. Linje'!B4</f>
        <v>400</v>
      </c>
      <c r="C8" s="8" t="s">
        <v>8</v>
      </c>
      <c r="D8" s="9"/>
      <c r="E8" s="9"/>
      <c r="F8" s="9"/>
      <c r="G8" s="9"/>
      <c r="H8" s="10"/>
    </row>
    <row r="9" spans="1:12" ht="16.149999999999999" customHeight="1" x14ac:dyDescent="0.25">
      <c r="A9" s="6" t="s">
        <v>178</v>
      </c>
      <c r="B9" s="1" t="s">
        <v>512</v>
      </c>
      <c r="C9" s="8"/>
      <c r="D9" s="9"/>
      <c r="E9" s="9"/>
      <c r="F9" s="9"/>
      <c r="G9" s="9"/>
      <c r="H9" s="10"/>
      <c r="I9" s="210"/>
    </row>
    <row r="10" spans="1:12" ht="16.149999999999999" customHeight="1" x14ac:dyDescent="0.35">
      <c r="A10" s="6" t="s">
        <v>179</v>
      </c>
      <c r="B10" s="1">
        <f>K10+L10</f>
        <v>80</v>
      </c>
      <c r="C10" s="8" t="s">
        <v>72</v>
      </c>
      <c r="D10" s="9"/>
      <c r="E10" s="9"/>
      <c r="F10" s="9"/>
      <c r="G10" s="9"/>
      <c r="H10" s="10"/>
      <c r="J10">
        <f>IF(B9="TT",1,0)</f>
        <v>0</v>
      </c>
      <c r="K10">
        <f>IF(J10=0,80,0)</f>
        <v>80</v>
      </c>
      <c r="L10">
        <f>IF(J10=1,250,0)</f>
        <v>0</v>
      </c>
    </row>
    <row r="11" spans="1:12" x14ac:dyDescent="0.25">
      <c r="A11" s="90" t="s">
        <v>99</v>
      </c>
      <c r="B11" s="91"/>
      <c r="C11" s="91"/>
      <c r="D11" s="91"/>
      <c r="E11" s="91"/>
      <c r="F11" s="91"/>
      <c r="G11" s="91"/>
      <c r="H11" s="92"/>
    </row>
    <row r="12" spans="1:12" ht="16.149999999999999" customHeight="1" x14ac:dyDescent="0.25">
      <c r="A12" s="7" t="s">
        <v>76</v>
      </c>
      <c r="B12" s="19">
        <f>B5*B6</f>
        <v>6.36</v>
      </c>
      <c r="C12" s="8" t="s">
        <v>68</v>
      </c>
      <c r="D12" s="9"/>
      <c r="E12" s="9"/>
      <c r="F12" s="9"/>
      <c r="G12" s="9"/>
      <c r="H12" s="10"/>
    </row>
    <row r="13" spans="1:12" ht="16.149999999999999" customHeight="1" x14ac:dyDescent="0.35">
      <c r="A13" s="7" t="s">
        <v>77</v>
      </c>
      <c r="B13" s="4">
        <f>10^6/(2*3.14159265358979*B7*B12)</f>
        <v>500.48724242734437</v>
      </c>
      <c r="C13" s="24" t="s">
        <v>71</v>
      </c>
      <c r="D13" s="9"/>
      <c r="E13" s="9"/>
      <c r="F13" s="9"/>
      <c r="G13" s="9"/>
      <c r="H13" s="10"/>
    </row>
    <row r="14" spans="1:12" ht="16.149999999999999" customHeight="1" x14ac:dyDescent="0.35">
      <c r="A14" s="7" t="s">
        <v>78</v>
      </c>
      <c r="B14" s="4">
        <f>(B8*10^3)/(SQRT(3)*B13)</f>
        <v>461.43055826118456</v>
      </c>
      <c r="C14" s="24" t="s">
        <v>18</v>
      </c>
      <c r="D14" s="9"/>
      <c r="E14" s="9"/>
      <c r="F14" s="9"/>
      <c r="G14" s="9"/>
      <c r="H14" s="10"/>
    </row>
    <row r="15" spans="1:12" ht="16.149999999999999" customHeight="1" x14ac:dyDescent="0.35">
      <c r="A15" s="7" t="s">
        <v>79</v>
      </c>
      <c r="B15" s="4">
        <f>3*B14</f>
        <v>1384.2916747835536</v>
      </c>
      <c r="C15" s="24" t="s">
        <v>18</v>
      </c>
      <c r="D15" s="9"/>
      <c r="E15" s="9"/>
      <c r="F15" s="9"/>
      <c r="G15" s="9"/>
      <c r="H15" s="10"/>
    </row>
    <row r="16" spans="1:12" ht="16.149999999999999" customHeight="1" x14ac:dyDescent="0.35">
      <c r="A16" s="7" t="s">
        <v>73</v>
      </c>
      <c r="B16" s="62">
        <f>B10/B15</f>
        <v>5.7791288828280149E-2</v>
      </c>
      <c r="C16" s="24" t="s">
        <v>71</v>
      </c>
      <c r="D16" s="9"/>
      <c r="E16" s="9"/>
      <c r="F16" s="9"/>
      <c r="G16" s="9"/>
      <c r="H16" s="10"/>
    </row>
    <row r="19" spans="1:8" x14ac:dyDescent="0.25">
      <c r="A19" s="84" t="s">
        <v>74</v>
      </c>
      <c r="B19" s="85"/>
      <c r="C19" s="85"/>
      <c r="D19" s="85"/>
      <c r="E19" s="85"/>
      <c r="F19" s="85"/>
      <c r="G19" s="85"/>
      <c r="H19" s="86"/>
    </row>
    <row r="20" spans="1:8" ht="16.149999999999999" customHeight="1" x14ac:dyDescent="0.25">
      <c r="A20" s="6" t="s">
        <v>66</v>
      </c>
      <c r="B20" s="21">
        <f>B4</f>
        <v>0</v>
      </c>
      <c r="C20" s="22"/>
      <c r="D20" s="22"/>
      <c r="E20" s="22"/>
      <c r="F20" s="22"/>
      <c r="G20" s="22"/>
      <c r="H20" s="23"/>
    </row>
    <row r="21" spans="1:8" ht="16.149999999999999" customHeight="1" x14ac:dyDescent="0.25">
      <c r="A21" s="25" t="s">
        <v>75</v>
      </c>
      <c r="B21" s="59">
        <f>B5</f>
        <v>0.53</v>
      </c>
      <c r="C21" s="7" t="s">
        <v>67</v>
      </c>
      <c r="D21" s="9"/>
      <c r="E21" s="9"/>
      <c r="F21" s="9"/>
      <c r="G21" s="9"/>
      <c r="H21" s="10"/>
    </row>
    <row r="22" spans="1:8" ht="16.149999999999999" customHeight="1" x14ac:dyDescent="0.25">
      <c r="A22" s="6" t="s">
        <v>15</v>
      </c>
      <c r="B22" s="1">
        <f>B6</f>
        <v>12</v>
      </c>
      <c r="C22" s="8" t="s">
        <v>16</v>
      </c>
      <c r="D22" s="9"/>
      <c r="E22" s="9"/>
      <c r="F22" s="9"/>
      <c r="G22" s="9"/>
      <c r="H22" s="10"/>
    </row>
    <row r="23" spans="1:8" x14ac:dyDescent="0.25">
      <c r="A23" s="6" t="s">
        <v>69</v>
      </c>
      <c r="B23" s="1">
        <f>B7</f>
        <v>50</v>
      </c>
      <c r="C23" s="9" t="s">
        <v>70</v>
      </c>
      <c r="D23" s="9"/>
      <c r="E23" s="9"/>
      <c r="F23" s="9"/>
      <c r="G23" s="9"/>
      <c r="H23" s="10"/>
    </row>
    <row r="24" spans="1:8" ht="16.149999999999999" customHeight="1" x14ac:dyDescent="0.25">
      <c r="A24" s="7" t="s">
        <v>76</v>
      </c>
      <c r="B24" s="29">
        <f>B12</f>
        <v>6.36</v>
      </c>
      <c r="C24" s="9" t="s">
        <v>68</v>
      </c>
      <c r="D24" s="9"/>
      <c r="E24" s="9"/>
      <c r="F24" s="9"/>
      <c r="G24" s="9"/>
      <c r="H24" s="10"/>
    </row>
    <row r="25" spans="1:8" x14ac:dyDescent="0.25">
      <c r="A25" s="90" t="s">
        <v>284</v>
      </c>
      <c r="B25" s="91"/>
      <c r="C25" s="91"/>
      <c r="D25" s="91"/>
      <c r="E25" s="91"/>
      <c r="F25" s="91"/>
      <c r="G25" s="91"/>
      <c r="H25" s="92"/>
    </row>
    <row r="26" spans="1:8" ht="18" thickBot="1" x14ac:dyDescent="0.3">
      <c r="A26" s="8" t="s">
        <v>80</v>
      </c>
      <c r="B26" s="190">
        <f>1/((2*3.14159265358979*B23)*(B24*10^-6)*3)</f>
        <v>166.82908080911477</v>
      </c>
      <c r="C26" s="9" t="s">
        <v>81</v>
      </c>
      <c r="D26" s="9"/>
      <c r="E26" s="9"/>
      <c r="F26" s="9"/>
      <c r="G26" s="9"/>
      <c r="H26" s="10"/>
    </row>
    <row r="27" spans="1:8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6"/>
  <sheetViews>
    <sheetView topLeftCell="A6" zoomScaleNormal="100" workbookViewId="0">
      <selection activeCell="B26" sqref="B26"/>
    </sheetView>
  </sheetViews>
  <sheetFormatPr defaultRowHeight="15" x14ac:dyDescent="0.25"/>
  <cols>
    <col min="1" max="1" width="29" bestFit="1" customWidth="1"/>
    <col min="2" max="2" width="12.28515625" bestFit="1" customWidth="1"/>
    <col min="3" max="3" width="7.28515625" bestFit="1" customWidth="1"/>
    <col min="4" max="4" width="5.7109375" customWidth="1"/>
    <col min="5" max="5" width="12" bestFit="1" customWidth="1"/>
    <col min="6" max="6" width="8.5703125" bestFit="1" customWidth="1"/>
    <col min="7" max="7" width="12" bestFit="1" customWidth="1"/>
    <col min="8" max="8" width="1.7109375" bestFit="1" customWidth="1"/>
    <col min="14" max="14" width="9.42578125" bestFit="1" customWidth="1"/>
  </cols>
  <sheetData>
    <row r="1" spans="1:12" ht="16.149999999999999" customHeight="1" x14ac:dyDescent="0.25">
      <c r="B1" s="81"/>
      <c r="C1" s="57"/>
      <c r="E1" s="68"/>
    </row>
    <row r="3" spans="1:12" ht="18" x14ac:dyDescent="0.35">
      <c r="A3" s="84" t="s">
        <v>306</v>
      </c>
      <c r="B3" s="85" t="s">
        <v>258</v>
      </c>
      <c r="C3" s="85" t="str">
        <f>'IM. Trafo.'!C3</f>
        <v>T0234</v>
      </c>
      <c r="D3" s="85"/>
      <c r="E3" s="85"/>
      <c r="F3" s="85"/>
      <c r="G3" s="85"/>
      <c r="H3" s="86"/>
      <c r="I3" t="s">
        <v>185</v>
      </c>
    </row>
    <row r="4" spans="1:12" ht="16.149999999999999" customHeight="1" x14ac:dyDescent="0.35">
      <c r="A4" s="6" t="s">
        <v>338</v>
      </c>
      <c r="B4" s="28" t="e">
        <f>'IM. Linje'!B41</f>
        <v>#N/A</v>
      </c>
      <c r="C4" s="7" t="s">
        <v>5</v>
      </c>
      <c r="D4" s="6" t="s">
        <v>6</v>
      </c>
      <c r="E4" s="28" t="e">
        <f>'IM. Linje'!E41</f>
        <v>#N/A</v>
      </c>
      <c r="F4" s="8" t="s">
        <v>2</v>
      </c>
      <c r="G4" s="9"/>
      <c r="H4" s="10"/>
    </row>
    <row r="5" spans="1:12" ht="16.149999999999999" customHeight="1" x14ac:dyDescent="0.25">
      <c r="A5" s="6" t="s">
        <v>15</v>
      </c>
      <c r="B5" s="1">
        <f>'IM. Trafo.'!B5</f>
        <v>0</v>
      </c>
      <c r="C5" s="8" t="s">
        <v>16</v>
      </c>
      <c r="D5" s="9"/>
      <c r="E5" s="9"/>
      <c r="F5" s="9"/>
      <c r="G5" s="9"/>
      <c r="H5" s="10"/>
      <c r="J5" t="s">
        <v>339</v>
      </c>
      <c r="K5" t="s">
        <v>340</v>
      </c>
      <c r="L5" t="s">
        <v>341</v>
      </c>
    </row>
    <row r="6" spans="1:12" ht="16.149999999999999" customHeight="1" x14ac:dyDescent="0.25">
      <c r="A6" s="6" t="s">
        <v>35</v>
      </c>
      <c r="B6" s="21">
        <f>'IM. Trafo.'!B6</f>
        <v>0</v>
      </c>
      <c r="C6" s="47"/>
      <c r="D6" s="47"/>
      <c r="E6" s="47"/>
      <c r="F6" s="47"/>
      <c r="G6" s="47"/>
      <c r="H6" s="48"/>
      <c r="J6" t="e">
        <f>RADIANS(E4)</f>
        <v>#N/A</v>
      </c>
      <c r="K6" t="e">
        <f>B4*COS(J6)</f>
        <v>#N/A</v>
      </c>
      <c r="L6" t="e">
        <f>B4*SIN(J6)</f>
        <v>#N/A</v>
      </c>
    </row>
    <row r="7" spans="1:12" ht="16.149999999999999" customHeight="1" x14ac:dyDescent="0.25">
      <c r="A7" s="58" t="s">
        <v>12</v>
      </c>
      <c r="B7" s="105">
        <f>'IM. Trafo.'!B7</f>
        <v>0</v>
      </c>
      <c r="C7" s="106" t="s">
        <v>13</v>
      </c>
      <c r="D7" s="21" t="s">
        <v>170</v>
      </c>
      <c r="E7" s="23"/>
      <c r="F7" s="9"/>
      <c r="G7" s="9"/>
      <c r="H7" s="10"/>
      <c r="J7">
        <f>RADIANS(E9)</f>
        <v>0</v>
      </c>
      <c r="K7">
        <f>B9*COS(J7)</f>
        <v>0</v>
      </c>
      <c r="L7">
        <f>B9*SIN(J7)</f>
        <v>0</v>
      </c>
    </row>
    <row r="8" spans="1:12" ht="16.149999999999999" customHeight="1" x14ac:dyDescent="0.25">
      <c r="A8" s="58" t="s">
        <v>14</v>
      </c>
      <c r="B8" s="105">
        <f>'IM. Trafo.'!B8</f>
        <v>0</v>
      </c>
      <c r="C8" s="106" t="s">
        <v>13</v>
      </c>
      <c r="D8" s="94" t="s">
        <v>170</v>
      </c>
      <c r="E8" s="95"/>
      <c r="F8" s="32"/>
      <c r="G8" s="32"/>
      <c r="H8" s="33"/>
      <c r="J8">
        <f>RADIANS(E10)</f>
        <v>1.5707963267948966</v>
      </c>
      <c r="K8">
        <f>B10*COS(J8)</f>
        <v>0</v>
      </c>
      <c r="L8">
        <f>B10*SIN(J8)</f>
        <v>0</v>
      </c>
    </row>
    <row r="9" spans="1:12" ht="16.149999999999999" customHeight="1" x14ac:dyDescent="0.25">
      <c r="A9" s="6" t="s">
        <v>154</v>
      </c>
      <c r="B9" s="76">
        <f>'IM. Trafo.'!B9</f>
        <v>0</v>
      </c>
      <c r="C9" s="7" t="s">
        <v>5</v>
      </c>
      <c r="D9" s="6" t="s">
        <v>6</v>
      </c>
      <c r="E9" s="20">
        <v>0</v>
      </c>
      <c r="F9" s="8" t="s">
        <v>2</v>
      </c>
      <c r="G9" s="9"/>
      <c r="H9" s="10"/>
      <c r="K9" t="e">
        <f>SUM(K6:K8)</f>
        <v>#N/A</v>
      </c>
      <c r="L9" t="e">
        <f>SUM(L6:L8)</f>
        <v>#N/A</v>
      </c>
    </row>
    <row r="10" spans="1:12" ht="16.149999999999999" customHeight="1" x14ac:dyDescent="0.25">
      <c r="A10" s="6" t="s">
        <v>155</v>
      </c>
      <c r="B10" s="76">
        <f>'IM. Trafo.'!B10</f>
        <v>0</v>
      </c>
      <c r="C10" s="7" t="s">
        <v>5</v>
      </c>
      <c r="D10" s="6" t="s">
        <v>6</v>
      </c>
      <c r="E10" s="19">
        <v>90</v>
      </c>
      <c r="F10" s="8" t="s">
        <v>2</v>
      </c>
      <c r="G10" s="9"/>
      <c r="H10" s="10"/>
    </row>
    <row r="11" spans="1:12" ht="16.149999999999999" customHeight="1" x14ac:dyDescent="0.35">
      <c r="A11" s="58" t="s">
        <v>342</v>
      </c>
      <c r="B11" s="149" t="e">
        <f>SQRT(K9^2+L9^2)</f>
        <v>#N/A</v>
      </c>
      <c r="C11" s="11" t="s">
        <v>5</v>
      </c>
      <c r="D11" s="58" t="s">
        <v>6</v>
      </c>
      <c r="E11" s="146" t="e">
        <f>DEGREES(ATAN2(K9,L9))</f>
        <v>#N/A</v>
      </c>
      <c r="F11" s="147" t="s">
        <v>2</v>
      </c>
      <c r="G11" s="107"/>
      <c r="H11" s="108"/>
    </row>
    <row r="12" spans="1:12" ht="16.149999999999999" customHeight="1" x14ac:dyDescent="0.25"/>
    <row r="14" spans="1:12" ht="18" x14ac:dyDescent="0.35">
      <c r="A14" s="84" t="s">
        <v>307</v>
      </c>
      <c r="B14" s="85" t="s">
        <v>262</v>
      </c>
      <c r="C14" s="85" t="str">
        <f>'IM. Trafo.'!C14</f>
        <v>T0234</v>
      </c>
      <c r="D14" s="85"/>
      <c r="E14" s="85"/>
      <c r="F14" s="85"/>
      <c r="G14" s="85"/>
      <c r="H14" s="86"/>
      <c r="I14" t="s">
        <v>186</v>
      </c>
    </row>
    <row r="15" spans="1:12" ht="16.149999999999999" customHeight="1" x14ac:dyDescent="0.35">
      <c r="A15" s="6" t="s">
        <v>343</v>
      </c>
      <c r="B15" s="28" t="e">
        <f>'IM. Linje'!B42</f>
        <v>#N/A</v>
      </c>
      <c r="C15" s="7" t="s">
        <v>5</v>
      </c>
      <c r="D15" s="6" t="s">
        <v>6</v>
      </c>
      <c r="E15" s="28" t="e">
        <f>'IM. Linje'!E42</f>
        <v>#N/A</v>
      </c>
      <c r="F15" s="8" t="s">
        <v>2</v>
      </c>
      <c r="G15" s="9"/>
      <c r="H15" s="10"/>
    </row>
    <row r="16" spans="1:12" ht="16.149999999999999" customHeight="1" x14ac:dyDescent="0.25">
      <c r="A16" s="6" t="s">
        <v>15</v>
      </c>
      <c r="B16" s="1">
        <f>'IM. Trafo.'!B16</f>
        <v>0</v>
      </c>
      <c r="C16" s="8" t="s">
        <v>16</v>
      </c>
      <c r="D16" s="9"/>
      <c r="E16" s="9"/>
      <c r="F16" s="9"/>
      <c r="G16" s="9"/>
      <c r="H16" s="10"/>
      <c r="J16" t="s">
        <v>339</v>
      </c>
      <c r="K16" t="s">
        <v>340</v>
      </c>
      <c r="L16" t="s">
        <v>341</v>
      </c>
    </row>
    <row r="17" spans="1:12" ht="16.149999999999999" customHeight="1" x14ac:dyDescent="0.25">
      <c r="A17" s="6" t="s">
        <v>35</v>
      </c>
      <c r="B17" s="21">
        <f>'IM. Trafo.'!B17</f>
        <v>0</v>
      </c>
      <c r="C17" s="47"/>
      <c r="D17" s="47"/>
      <c r="E17" s="47"/>
      <c r="F17" s="47"/>
      <c r="G17" s="47"/>
      <c r="H17" s="48"/>
      <c r="J17" t="e">
        <f>RADIANS(E15)</f>
        <v>#N/A</v>
      </c>
      <c r="K17" t="e">
        <f>B15*COS(J17)</f>
        <v>#N/A</v>
      </c>
      <c r="L17" t="e">
        <f>B15*SIN(J17)</f>
        <v>#N/A</v>
      </c>
    </row>
    <row r="18" spans="1:12" ht="16.149999999999999" customHeight="1" x14ac:dyDescent="0.25">
      <c r="A18" s="58" t="s">
        <v>12</v>
      </c>
      <c r="B18" s="105">
        <f>'IM. Trafo.'!B18</f>
        <v>0</v>
      </c>
      <c r="C18" s="106" t="s">
        <v>13</v>
      </c>
      <c r="D18" s="21" t="s">
        <v>170</v>
      </c>
      <c r="E18" s="23"/>
      <c r="F18" s="9"/>
      <c r="G18" s="9"/>
      <c r="H18" s="10"/>
      <c r="J18">
        <f>RADIANS(E20)</f>
        <v>0</v>
      </c>
      <c r="K18">
        <f>B20*COS(J18)</f>
        <v>0</v>
      </c>
      <c r="L18">
        <f>B20*SIN(J18)</f>
        <v>0</v>
      </c>
    </row>
    <row r="19" spans="1:12" ht="16.149999999999999" customHeight="1" x14ac:dyDescent="0.25">
      <c r="A19" s="58" t="s">
        <v>14</v>
      </c>
      <c r="B19" s="105">
        <f>'IM. Trafo.'!B19</f>
        <v>0</v>
      </c>
      <c r="C19" s="106" t="s">
        <v>13</v>
      </c>
      <c r="D19" s="94" t="s">
        <v>170</v>
      </c>
      <c r="E19" s="95"/>
      <c r="F19" s="32"/>
      <c r="G19" s="32"/>
      <c r="H19" s="33"/>
      <c r="J19">
        <f>RADIANS(E21)</f>
        <v>1.5707963267948966</v>
      </c>
      <c r="K19">
        <f>B21*COS(J19)</f>
        <v>0</v>
      </c>
      <c r="L19">
        <f>B21*SIN(J19)</f>
        <v>0</v>
      </c>
    </row>
    <row r="20" spans="1:12" ht="16.149999999999999" customHeight="1" x14ac:dyDescent="0.25">
      <c r="A20" s="6" t="s">
        <v>154</v>
      </c>
      <c r="B20" s="76">
        <f>'IM. Trafo.'!B20</f>
        <v>0</v>
      </c>
      <c r="C20" s="25" t="s">
        <v>5</v>
      </c>
      <c r="D20" s="26" t="s">
        <v>6</v>
      </c>
      <c r="E20" s="27">
        <v>0</v>
      </c>
      <c r="F20" s="8" t="s">
        <v>2</v>
      </c>
      <c r="G20" s="9"/>
      <c r="H20" s="10"/>
      <c r="K20" t="e">
        <f>SUM(K17:K19)</f>
        <v>#N/A</v>
      </c>
      <c r="L20" t="e">
        <f>SUM(L17:L19)</f>
        <v>#N/A</v>
      </c>
    </row>
    <row r="21" spans="1:12" ht="16.149999999999999" customHeight="1" x14ac:dyDescent="0.25">
      <c r="A21" s="6" t="s">
        <v>155</v>
      </c>
      <c r="B21" s="76">
        <f>'IM. Trafo.'!B21</f>
        <v>0</v>
      </c>
      <c r="C21" s="7" t="s">
        <v>5</v>
      </c>
      <c r="D21" s="6" t="s">
        <v>6</v>
      </c>
      <c r="E21" s="19">
        <v>90</v>
      </c>
      <c r="F21" s="8" t="s">
        <v>2</v>
      </c>
      <c r="G21" s="9"/>
      <c r="H21" s="10"/>
    </row>
    <row r="22" spans="1:12" ht="16.149999999999999" customHeight="1" x14ac:dyDescent="0.35">
      <c r="A22" s="58" t="s">
        <v>344</v>
      </c>
      <c r="B22" s="149" t="e">
        <f>SQRT(K20^2+L20^2)</f>
        <v>#N/A</v>
      </c>
      <c r="C22" s="11" t="s">
        <v>5</v>
      </c>
      <c r="D22" s="58" t="s">
        <v>6</v>
      </c>
      <c r="E22" s="146" t="e">
        <f>DEGREES(ATAN2(K20,L20))</f>
        <v>#N/A</v>
      </c>
      <c r="F22" s="147" t="s">
        <v>2</v>
      </c>
      <c r="G22" s="107"/>
      <c r="H22" s="108"/>
    </row>
    <row r="23" spans="1:12" ht="16.149999999999999" customHeight="1" x14ac:dyDescent="0.25"/>
    <row r="24" spans="1:12" ht="16.149999999999999" customHeight="1" x14ac:dyDescent="0.25"/>
    <row r="25" spans="1:12" ht="16.149999999999999" customHeight="1" x14ac:dyDescent="0.35">
      <c r="A25" s="84" t="s">
        <v>385</v>
      </c>
      <c r="B25" s="85" t="s">
        <v>383</v>
      </c>
      <c r="C25" s="85"/>
      <c r="D25" s="85"/>
      <c r="E25" s="85"/>
      <c r="F25" s="85"/>
      <c r="G25" s="85"/>
      <c r="H25" s="86"/>
      <c r="I25" t="s">
        <v>185</v>
      </c>
    </row>
    <row r="26" spans="1:12" ht="16.149999999999999" customHeight="1" x14ac:dyDescent="0.35">
      <c r="A26" s="58" t="s">
        <v>346</v>
      </c>
      <c r="B26" s="28" t="e">
        <f>B11</f>
        <v>#N/A</v>
      </c>
      <c r="C26" s="7" t="s">
        <v>5</v>
      </c>
      <c r="D26" s="6" t="s">
        <v>6</v>
      </c>
      <c r="E26" s="132" t="e">
        <f>E11</f>
        <v>#N/A</v>
      </c>
      <c r="F26" s="8" t="s">
        <v>2</v>
      </c>
      <c r="G26" s="9"/>
      <c r="H26" s="10"/>
    </row>
    <row r="27" spans="1:12" ht="16.149999999999999" customHeight="1" x14ac:dyDescent="0.25">
      <c r="A27" s="6" t="s">
        <v>15</v>
      </c>
      <c r="B27" s="1"/>
      <c r="C27" s="8" t="s">
        <v>16</v>
      </c>
      <c r="D27" s="9"/>
      <c r="E27" s="9"/>
      <c r="F27" s="9"/>
      <c r="G27" s="9"/>
      <c r="H27" s="10"/>
      <c r="J27" t="s">
        <v>339</v>
      </c>
      <c r="K27" t="s">
        <v>340</v>
      </c>
      <c r="L27" t="s">
        <v>341</v>
      </c>
    </row>
    <row r="28" spans="1:12" ht="16.149999999999999" customHeight="1" x14ac:dyDescent="0.25">
      <c r="A28" s="6" t="s">
        <v>35</v>
      </c>
      <c r="B28" s="21">
        <f>'IM. Linje'!B70</f>
        <v>0</v>
      </c>
      <c r="C28" s="47"/>
      <c r="D28" s="47"/>
      <c r="E28" s="47"/>
      <c r="F28" s="47"/>
      <c r="G28" s="47"/>
      <c r="H28" s="48"/>
      <c r="J28" t="e">
        <f>RADIANS(E26)</f>
        <v>#N/A</v>
      </c>
      <c r="K28" t="e">
        <f>B26*COS(J28)</f>
        <v>#N/A</v>
      </c>
      <c r="L28" t="e">
        <f>B26*SIN(J28)</f>
        <v>#N/A</v>
      </c>
    </row>
    <row r="29" spans="1:12" ht="16.149999999999999" customHeight="1" x14ac:dyDescent="0.25">
      <c r="A29" s="58" t="s">
        <v>12</v>
      </c>
      <c r="B29" s="105" t="str">
        <f>'IM. Linje'!B71</f>
        <v>Kabel</v>
      </c>
      <c r="C29" s="106" t="s">
        <v>13</v>
      </c>
      <c r="D29" s="21" t="s">
        <v>170</v>
      </c>
      <c r="E29" s="23"/>
      <c r="F29" s="9"/>
      <c r="G29" s="9"/>
      <c r="H29" s="10"/>
      <c r="J29">
        <f>RADIANS(E31)</f>
        <v>0</v>
      </c>
      <c r="K29" t="e">
        <f>B31*COS(J29)</f>
        <v>#VALUE!</v>
      </c>
      <c r="L29" t="e">
        <f>B31*SIN(J29)</f>
        <v>#VALUE!</v>
      </c>
    </row>
    <row r="30" spans="1:12" ht="16.149999999999999" customHeight="1" x14ac:dyDescent="0.25">
      <c r="A30" s="58" t="s">
        <v>14</v>
      </c>
      <c r="B30" s="105" t="e">
        <f>'IM. Linje'!B72</f>
        <v>#DIV/0!</v>
      </c>
      <c r="C30" s="106" t="s">
        <v>13</v>
      </c>
      <c r="D30" s="94" t="s">
        <v>170</v>
      </c>
      <c r="E30" s="95"/>
      <c r="F30" s="32"/>
      <c r="G30" s="32"/>
      <c r="H30" s="33"/>
      <c r="J30">
        <f>RADIANS(E32)</f>
        <v>1.5707963267948966</v>
      </c>
      <c r="K30" t="e">
        <f>B32*COS(J30)</f>
        <v>#DIV/0!</v>
      </c>
      <c r="L30" t="e">
        <f>B32*SIN(J30)</f>
        <v>#DIV/0!</v>
      </c>
    </row>
    <row r="31" spans="1:12" ht="16.149999999999999" customHeight="1" x14ac:dyDescent="0.25">
      <c r="A31" s="6" t="s">
        <v>154</v>
      </c>
      <c r="B31" s="76" t="e">
        <f>B27*B29</f>
        <v>#VALUE!</v>
      </c>
      <c r="C31" s="7" t="s">
        <v>5</v>
      </c>
      <c r="D31" s="6" t="s">
        <v>6</v>
      </c>
      <c r="E31" s="20">
        <v>0</v>
      </c>
      <c r="F31" s="8" t="s">
        <v>2</v>
      </c>
      <c r="G31" s="9"/>
      <c r="H31" s="10"/>
      <c r="K31" t="e">
        <f>SUM(K28:K30)</f>
        <v>#N/A</v>
      </c>
      <c r="L31" t="e">
        <f>SUM(L28:L30)</f>
        <v>#N/A</v>
      </c>
    </row>
    <row r="32" spans="1:12" ht="16.149999999999999" customHeight="1" x14ac:dyDescent="0.25">
      <c r="A32" s="6" t="s">
        <v>155</v>
      </c>
      <c r="B32" s="76" t="e">
        <f>B27*B30</f>
        <v>#DIV/0!</v>
      </c>
      <c r="C32" s="7" t="s">
        <v>5</v>
      </c>
      <c r="D32" s="6" t="s">
        <v>6</v>
      </c>
      <c r="E32" s="19">
        <v>90</v>
      </c>
      <c r="F32" s="8" t="s">
        <v>2</v>
      </c>
      <c r="G32" s="9"/>
      <c r="H32" s="10"/>
    </row>
    <row r="33" spans="1:12" ht="16.149999999999999" customHeight="1" x14ac:dyDescent="0.35">
      <c r="A33" s="58" t="s">
        <v>386</v>
      </c>
      <c r="B33" s="149" t="e">
        <f>SQRT(K31^2+L31^2)</f>
        <v>#N/A</v>
      </c>
      <c r="C33" s="11" t="s">
        <v>5</v>
      </c>
      <c r="D33" s="58" t="s">
        <v>6</v>
      </c>
      <c r="E33" s="146" t="e">
        <f>DEGREES(ATAN2(K31,L31))</f>
        <v>#N/A</v>
      </c>
      <c r="F33" s="147" t="s">
        <v>2</v>
      </c>
      <c r="G33" s="107"/>
      <c r="H33" s="108"/>
    </row>
    <row r="34" spans="1:12" ht="16.149999999999999" customHeight="1" x14ac:dyDescent="0.25"/>
    <row r="35" spans="1:12" ht="16.149999999999999" customHeight="1" x14ac:dyDescent="0.25"/>
    <row r="36" spans="1:12" ht="16.149999999999999" customHeight="1" x14ac:dyDescent="0.35">
      <c r="A36" s="84" t="s">
        <v>387</v>
      </c>
      <c r="B36" s="85" t="s">
        <v>384</v>
      </c>
      <c r="C36" s="85">
        <f>'IM. Trafo.'!C36</f>
        <v>0</v>
      </c>
      <c r="D36" s="85"/>
      <c r="E36" s="85"/>
      <c r="F36" s="85"/>
      <c r="G36" s="85"/>
      <c r="H36" s="86"/>
      <c r="I36" t="s">
        <v>186</v>
      </c>
    </row>
    <row r="37" spans="1:12" ht="16.149999999999999" customHeight="1" x14ac:dyDescent="0.35">
      <c r="A37" s="58" t="s">
        <v>348</v>
      </c>
      <c r="B37" s="28" t="e">
        <f>B22</f>
        <v>#N/A</v>
      </c>
      <c r="C37" s="7" t="s">
        <v>5</v>
      </c>
      <c r="D37" s="6" t="s">
        <v>6</v>
      </c>
      <c r="E37" s="132" t="e">
        <f>E22</f>
        <v>#N/A</v>
      </c>
      <c r="F37" s="8" t="s">
        <v>2</v>
      </c>
      <c r="G37" s="9"/>
      <c r="H37" s="10"/>
    </row>
    <row r="38" spans="1:12" ht="16.149999999999999" customHeight="1" x14ac:dyDescent="0.25">
      <c r="A38" s="6" t="s">
        <v>15</v>
      </c>
      <c r="B38" s="1"/>
      <c r="C38" s="8" t="s">
        <v>16</v>
      </c>
      <c r="D38" s="9"/>
      <c r="E38" s="9"/>
      <c r="F38" s="9"/>
      <c r="G38" s="9"/>
      <c r="H38" s="10"/>
      <c r="J38" t="s">
        <v>339</v>
      </c>
      <c r="K38" t="s">
        <v>340</v>
      </c>
      <c r="L38" t="s">
        <v>341</v>
      </c>
    </row>
    <row r="39" spans="1:12" ht="16.149999999999999" customHeight="1" x14ac:dyDescent="0.25">
      <c r="A39" s="6" t="s">
        <v>35</v>
      </c>
      <c r="B39" s="21">
        <f>B28</f>
        <v>0</v>
      </c>
      <c r="C39" s="47"/>
      <c r="D39" s="47"/>
      <c r="E39" s="47"/>
      <c r="F39" s="47"/>
      <c r="G39" s="47"/>
      <c r="H39" s="48"/>
      <c r="J39" t="e">
        <f>RADIANS(E37)</f>
        <v>#N/A</v>
      </c>
      <c r="K39" t="e">
        <f>B37*COS(J39)</f>
        <v>#N/A</v>
      </c>
      <c r="L39" t="e">
        <f>B37*SIN(J39)</f>
        <v>#N/A</v>
      </c>
    </row>
    <row r="40" spans="1:12" ht="16.149999999999999" customHeight="1" x14ac:dyDescent="0.25">
      <c r="A40" s="58" t="s">
        <v>12</v>
      </c>
      <c r="B40" s="105" t="str">
        <f>B29</f>
        <v>Kabel</v>
      </c>
      <c r="C40" s="106" t="s">
        <v>13</v>
      </c>
      <c r="D40" s="21" t="s">
        <v>170</v>
      </c>
      <c r="E40" s="23"/>
      <c r="F40" s="9"/>
      <c r="G40" s="9"/>
      <c r="H40" s="10"/>
      <c r="J40">
        <f>RADIANS(E42)</f>
        <v>0</v>
      </c>
      <c r="K40" t="e">
        <f>B42*COS(J40)</f>
        <v>#VALUE!</v>
      </c>
      <c r="L40" t="e">
        <f>B42*SIN(J40)</f>
        <v>#VALUE!</v>
      </c>
    </row>
    <row r="41" spans="1:12" ht="16.149999999999999" customHeight="1" x14ac:dyDescent="0.25">
      <c r="A41" s="58" t="s">
        <v>14</v>
      </c>
      <c r="B41" s="105" t="e">
        <f>B30</f>
        <v>#DIV/0!</v>
      </c>
      <c r="C41" s="106" t="s">
        <v>13</v>
      </c>
      <c r="D41" s="94" t="s">
        <v>170</v>
      </c>
      <c r="E41" s="95"/>
      <c r="F41" s="32"/>
      <c r="G41" s="32"/>
      <c r="H41" s="33"/>
      <c r="J41">
        <f>RADIANS(E43)</f>
        <v>1.5707963267948966</v>
      </c>
      <c r="K41" t="e">
        <f>B43*COS(J41)</f>
        <v>#DIV/0!</v>
      </c>
      <c r="L41" t="e">
        <f>B43*SIN(J41)</f>
        <v>#DIV/0!</v>
      </c>
    </row>
    <row r="42" spans="1:12" ht="16.149999999999999" customHeight="1" x14ac:dyDescent="0.25">
      <c r="A42" s="6" t="s">
        <v>154</v>
      </c>
      <c r="B42" s="76" t="e">
        <f>B40*B38</f>
        <v>#VALUE!</v>
      </c>
      <c r="C42" s="25" t="s">
        <v>5</v>
      </c>
      <c r="D42" s="26" t="s">
        <v>6</v>
      </c>
      <c r="E42" s="27">
        <v>0</v>
      </c>
      <c r="F42" s="8" t="s">
        <v>2</v>
      </c>
      <c r="G42" s="9"/>
      <c r="H42" s="10"/>
      <c r="K42" t="e">
        <f>SUM(K39:K41)</f>
        <v>#N/A</v>
      </c>
      <c r="L42" t="e">
        <f>SUM(L39:L41)</f>
        <v>#N/A</v>
      </c>
    </row>
    <row r="43" spans="1:12" ht="16.149999999999999" customHeight="1" x14ac:dyDescent="0.25">
      <c r="A43" s="6" t="s">
        <v>155</v>
      </c>
      <c r="B43" s="76" t="e">
        <f>B41*B38</f>
        <v>#DIV/0!</v>
      </c>
      <c r="C43" s="7" t="s">
        <v>5</v>
      </c>
      <c r="D43" s="6" t="s">
        <v>6</v>
      </c>
      <c r="E43" s="19">
        <v>90</v>
      </c>
      <c r="F43" s="8" t="s">
        <v>2</v>
      </c>
      <c r="G43" s="9"/>
      <c r="H43" s="10"/>
    </row>
    <row r="44" spans="1:12" ht="16.149999999999999" customHeight="1" x14ac:dyDescent="0.35">
      <c r="A44" s="58" t="s">
        <v>388</v>
      </c>
      <c r="B44" s="149" t="e">
        <f>SQRT(K42^2+L42^2)</f>
        <v>#N/A</v>
      </c>
      <c r="C44" s="11" t="s">
        <v>5</v>
      </c>
      <c r="D44" s="58" t="s">
        <v>6</v>
      </c>
      <c r="E44" s="146" t="e">
        <f>DEGREES(ATAN2(K42,L42))</f>
        <v>#N/A</v>
      </c>
      <c r="F44" s="147" t="s">
        <v>2</v>
      </c>
      <c r="G44" s="107"/>
      <c r="H44" s="108"/>
    </row>
    <row r="45" spans="1:12" ht="16.149999999999999" customHeight="1" x14ac:dyDescent="0.25"/>
    <row r="46" spans="1:12" ht="16.149999999999999" customHeight="1" x14ac:dyDescent="0.25"/>
    <row r="47" spans="1:12" ht="16.149999999999999" customHeight="1" x14ac:dyDescent="0.35">
      <c r="A47" s="84" t="s">
        <v>393</v>
      </c>
      <c r="B47" s="85" t="s">
        <v>229</v>
      </c>
      <c r="C47" s="87">
        <f>C36</f>
        <v>0</v>
      </c>
      <c r="D47" s="87"/>
      <c r="E47" s="87"/>
      <c r="F47" s="87"/>
      <c r="G47" s="87"/>
      <c r="H47" s="88"/>
    </row>
    <row r="48" spans="1:12" ht="18" x14ac:dyDescent="0.35">
      <c r="A48" s="6" t="s">
        <v>303</v>
      </c>
      <c r="B48" s="1">
        <v>10</v>
      </c>
      <c r="C48" s="8" t="s">
        <v>8</v>
      </c>
      <c r="D48" s="9"/>
      <c r="E48" s="9"/>
      <c r="F48" s="9"/>
      <c r="G48" s="9"/>
      <c r="H48" s="10"/>
    </row>
    <row r="49" spans="1:12" ht="18" x14ac:dyDescent="0.35">
      <c r="A49" s="6" t="s">
        <v>17</v>
      </c>
      <c r="B49" s="1">
        <f>Trafo.!B15</f>
        <v>0</v>
      </c>
      <c r="C49" s="8" t="s">
        <v>7</v>
      </c>
      <c r="D49" s="9"/>
      <c r="E49" s="9"/>
      <c r="F49" s="9"/>
      <c r="G49" s="9"/>
      <c r="H49" s="10"/>
    </row>
    <row r="50" spans="1:12" ht="18" x14ac:dyDescent="0.35">
      <c r="A50" s="6" t="s">
        <v>22</v>
      </c>
      <c r="B50" s="1">
        <f>Trafo.!B18</f>
        <v>0</v>
      </c>
      <c r="C50" s="8" t="s">
        <v>23</v>
      </c>
      <c r="D50" s="9"/>
      <c r="E50" s="9"/>
      <c r="F50" s="9"/>
      <c r="G50" s="9"/>
      <c r="H50" s="10"/>
    </row>
    <row r="51" spans="1:12" ht="18" x14ac:dyDescent="0.35">
      <c r="A51" s="6" t="s">
        <v>25</v>
      </c>
      <c r="B51" s="1">
        <f>Trafo.!B21</f>
        <v>0</v>
      </c>
      <c r="C51" s="8" t="s">
        <v>26</v>
      </c>
      <c r="D51" s="9"/>
      <c r="E51" s="9"/>
      <c r="F51" s="9"/>
      <c r="G51" s="9"/>
      <c r="H51" s="10"/>
    </row>
    <row r="52" spans="1:12" ht="18.75" x14ac:dyDescent="0.35">
      <c r="A52" s="26" t="s">
        <v>333</v>
      </c>
      <c r="B52" s="156" t="e">
        <f>(((B48*10^3)^2)*B50)/((B49*10^3)*100)</f>
        <v>#DIV/0!</v>
      </c>
      <c r="C52" s="24" t="s">
        <v>5</v>
      </c>
      <c r="D52" s="9"/>
      <c r="E52" s="9"/>
      <c r="F52" s="9"/>
      <c r="G52" s="9"/>
      <c r="H52" s="10"/>
    </row>
    <row r="53" spans="1:12" ht="18.75" x14ac:dyDescent="0.35">
      <c r="A53" s="6" t="s">
        <v>334</v>
      </c>
      <c r="B53" s="157" t="e">
        <f>(B51*((B48*10^3)^2)/((B49*10^3)^2))</f>
        <v>#DIV/0!</v>
      </c>
      <c r="C53" s="24" t="s">
        <v>5</v>
      </c>
      <c r="D53" s="9"/>
      <c r="E53" s="9"/>
      <c r="F53" s="9"/>
      <c r="G53" s="9"/>
      <c r="H53" s="10"/>
    </row>
    <row r="54" spans="1:12" ht="18" x14ac:dyDescent="0.35">
      <c r="A54" s="25" t="s">
        <v>165</v>
      </c>
      <c r="B54" s="76" t="e">
        <f>B53/B52</f>
        <v>#DIV/0!</v>
      </c>
      <c r="C54" s="31"/>
      <c r="D54" s="32"/>
      <c r="E54" s="32"/>
      <c r="F54" s="32"/>
      <c r="G54" s="32"/>
      <c r="H54" s="33"/>
    </row>
    <row r="55" spans="1:12" ht="17.25" x14ac:dyDescent="0.25">
      <c r="A55" s="7" t="s">
        <v>166</v>
      </c>
      <c r="B55" s="3" t="e">
        <f>DEGREES(ACOS(B54))</f>
        <v>#DIV/0!</v>
      </c>
      <c r="C55" s="8" t="s">
        <v>2</v>
      </c>
      <c r="D55" s="9"/>
      <c r="E55" s="9"/>
      <c r="F55" s="9"/>
      <c r="G55" s="9"/>
      <c r="H55" s="10"/>
    </row>
    <row r="56" spans="1:12" ht="18" x14ac:dyDescent="0.35">
      <c r="A56" s="7" t="s">
        <v>223</v>
      </c>
      <c r="B56" s="76" t="e">
        <f>B52</f>
        <v>#DIV/0!</v>
      </c>
      <c r="C56" s="25" t="s">
        <v>5</v>
      </c>
      <c r="D56" s="26" t="s">
        <v>6</v>
      </c>
      <c r="E56" s="3" t="e">
        <f>B55</f>
        <v>#DIV/0!</v>
      </c>
      <c r="F56" s="8" t="s">
        <v>2</v>
      </c>
      <c r="G56" s="9"/>
      <c r="H56" s="10"/>
    </row>
    <row r="59" spans="1:12" ht="18" x14ac:dyDescent="0.35">
      <c r="A59" s="112" t="s">
        <v>391</v>
      </c>
      <c r="B59" s="113" t="s">
        <v>258</v>
      </c>
      <c r="C59" s="113">
        <f>C47</f>
        <v>0</v>
      </c>
      <c r="D59" s="113"/>
      <c r="E59" s="113"/>
      <c r="F59" s="113"/>
      <c r="G59" s="113"/>
      <c r="H59" s="80"/>
    </row>
    <row r="60" spans="1:12" ht="18" x14ac:dyDescent="0.35">
      <c r="A60" s="26" t="s">
        <v>20</v>
      </c>
      <c r="B60" s="30">
        <v>10</v>
      </c>
      <c r="C60" s="31" t="s">
        <v>8</v>
      </c>
      <c r="D60" s="32"/>
      <c r="E60" s="32"/>
      <c r="F60" s="32"/>
      <c r="G60" s="32"/>
      <c r="H60" s="33"/>
    </row>
    <row r="61" spans="1:12" ht="18" x14ac:dyDescent="0.35">
      <c r="A61" s="6" t="s">
        <v>21</v>
      </c>
      <c r="B61" s="1">
        <v>0.4</v>
      </c>
      <c r="C61" s="8" t="s">
        <v>8</v>
      </c>
      <c r="D61" s="9"/>
      <c r="E61" s="9"/>
      <c r="F61" s="9"/>
      <c r="G61" s="9"/>
      <c r="H61" s="10"/>
    </row>
    <row r="62" spans="1:12" ht="18" x14ac:dyDescent="0.35">
      <c r="A62" s="6" t="s">
        <v>42</v>
      </c>
      <c r="B62" s="1">
        <f>B60/B61</f>
        <v>25</v>
      </c>
      <c r="C62" s="36"/>
      <c r="D62" s="37"/>
      <c r="E62" s="37"/>
      <c r="F62" s="37"/>
      <c r="G62" s="37"/>
      <c r="H62" s="38"/>
    </row>
    <row r="63" spans="1:12" ht="18" x14ac:dyDescent="0.35">
      <c r="A63" s="58" t="s">
        <v>346</v>
      </c>
      <c r="B63" s="152" t="e">
        <f>B22</f>
        <v>#N/A</v>
      </c>
      <c r="C63" s="11" t="s">
        <v>5</v>
      </c>
      <c r="D63" s="58" t="s">
        <v>6</v>
      </c>
      <c r="E63" s="153" t="e">
        <f>E11</f>
        <v>#N/A</v>
      </c>
      <c r="F63" s="147" t="s">
        <v>2</v>
      </c>
      <c r="G63" s="107"/>
      <c r="H63" s="108"/>
      <c r="J63" t="s">
        <v>339</v>
      </c>
      <c r="K63" t="s">
        <v>340</v>
      </c>
      <c r="L63" t="s">
        <v>341</v>
      </c>
    </row>
    <row r="64" spans="1:12" ht="18" x14ac:dyDescent="0.35">
      <c r="A64" s="7" t="s">
        <v>223</v>
      </c>
      <c r="B64" s="154" t="e">
        <f>B56</f>
        <v>#DIV/0!</v>
      </c>
      <c r="C64" s="25" t="s">
        <v>5</v>
      </c>
      <c r="D64" s="26" t="s">
        <v>6</v>
      </c>
      <c r="E64" s="155" t="e">
        <f>E56</f>
        <v>#DIV/0!</v>
      </c>
      <c r="F64" s="8" t="s">
        <v>2</v>
      </c>
      <c r="G64" s="9"/>
      <c r="H64" s="10"/>
      <c r="J64" t="e">
        <f>RADIANS(E63)</f>
        <v>#N/A</v>
      </c>
      <c r="K64" t="e">
        <f>B63*COS(J64)</f>
        <v>#N/A</v>
      </c>
      <c r="L64" t="e">
        <f>B63*SIN(J64)</f>
        <v>#N/A</v>
      </c>
    </row>
    <row r="65" spans="1:12" ht="18" x14ac:dyDescent="0.35">
      <c r="A65" s="58" t="s">
        <v>347</v>
      </c>
      <c r="B65" s="76" t="e">
        <f>SQRT(K66^2+L66^2)</f>
        <v>#N/A</v>
      </c>
      <c r="C65" s="25" t="s">
        <v>5</v>
      </c>
      <c r="D65" s="26" t="s">
        <v>6</v>
      </c>
      <c r="E65" s="3" t="e">
        <f>DEGREES(ATAN2(K66,L66))</f>
        <v>#N/A</v>
      </c>
      <c r="F65" s="8" t="s">
        <v>2</v>
      </c>
      <c r="G65" s="9"/>
      <c r="H65" s="10"/>
      <c r="J65" t="e">
        <f>RADIANS(E64)</f>
        <v>#DIV/0!</v>
      </c>
      <c r="K65" t="e">
        <f>B64*COS(J65)</f>
        <v>#DIV/0!</v>
      </c>
      <c r="L65" t="e">
        <f>B64*SIN(J65)</f>
        <v>#DIV/0!</v>
      </c>
    </row>
    <row r="66" spans="1:12" ht="18.75" x14ac:dyDescent="0.35">
      <c r="A66" s="58" t="s">
        <v>351</v>
      </c>
      <c r="B66" s="130" t="e">
        <f>B65/(B62^2)</f>
        <v>#N/A</v>
      </c>
      <c r="C66" s="106" t="s">
        <v>5</v>
      </c>
      <c r="D66" s="107"/>
      <c r="E66" s="107"/>
      <c r="F66" s="107"/>
      <c r="G66" s="107"/>
      <c r="H66" s="108"/>
      <c r="K66" t="e">
        <f>SUM(K64:K65)</f>
        <v>#N/A</v>
      </c>
      <c r="L66" t="e">
        <f>SUM(L64:L65)</f>
        <v>#N/A</v>
      </c>
    </row>
    <row r="67" spans="1:12" x14ac:dyDescent="0.25">
      <c r="A67" s="114"/>
      <c r="B67" s="142"/>
      <c r="C67" s="143"/>
      <c r="D67" s="114"/>
      <c r="E67" s="114"/>
      <c r="F67" s="114"/>
      <c r="G67" s="114"/>
      <c r="H67" s="114"/>
    </row>
    <row r="68" spans="1:12" x14ac:dyDescent="0.25">
      <c r="A68" s="114"/>
      <c r="B68" s="114"/>
      <c r="C68" s="114"/>
      <c r="D68" s="114"/>
      <c r="E68" s="114"/>
      <c r="F68" s="114"/>
      <c r="G68" s="114"/>
      <c r="H68" s="114"/>
    </row>
    <row r="69" spans="1:12" ht="18" x14ac:dyDescent="0.35">
      <c r="A69" s="112" t="s">
        <v>392</v>
      </c>
      <c r="B69" s="113" t="s">
        <v>258</v>
      </c>
      <c r="C69" s="113">
        <f>C59</f>
        <v>0</v>
      </c>
      <c r="D69" s="113"/>
      <c r="E69" s="113"/>
      <c r="F69" s="113"/>
      <c r="G69" s="113"/>
      <c r="H69" s="115"/>
    </row>
    <row r="70" spans="1:12" ht="18" x14ac:dyDescent="0.35">
      <c r="A70" s="26" t="s">
        <v>20</v>
      </c>
      <c r="B70" s="30">
        <v>10</v>
      </c>
      <c r="C70" s="31" t="s">
        <v>8</v>
      </c>
      <c r="D70" s="32"/>
      <c r="E70" s="32"/>
      <c r="F70" s="32"/>
      <c r="G70" s="32"/>
      <c r="H70" s="33"/>
    </row>
    <row r="71" spans="1:12" ht="18" x14ac:dyDescent="0.35">
      <c r="A71" s="6" t="s">
        <v>21</v>
      </c>
      <c r="B71" s="1">
        <v>0.4</v>
      </c>
      <c r="C71" s="8" t="s">
        <v>8</v>
      </c>
      <c r="D71" s="9"/>
      <c r="E71" s="9"/>
      <c r="F71" s="9"/>
      <c r="G71" s="9"/>
      <c r="H71" s="10"/>
    </row>
    <row r="72" spans="1:12" ht="18" x14ac:dyDescent="0.35">
      <c r="A72" s="6" t="s">
        <v>42</v>
      </c>
      <c r="B72" s="1">
        <f>B70/B71</f>
        <v>25</v>
      </c>
      <c r="C72" s="36"/>
      <c r="D72" s="37"/>
      <c r="E72" s="37"/>
      <c r="F72" s="37"/>
      <c r="G72" s="37"/>
      <c r="H72" s="38"/>
    </row>
    <row r="73" spans="1:12" ht="18" x14ac:dyDescent="0.35">
      <c r="A73" s="58" t="s">
        <v>348</v>
      </c>
      <c r="B73" s="152" t="e">
        <f>B22</f>
        <v>#N/A</v>
      </c>
      <c r="C73" s="11" t="s">
        <v>5</v>
      </c>
      <c r="D73" s="58" t="s">
        <v>6</v>
      </c>
      <c r="E73" s="153" t="e">
        <f>E22</f>
        <v>#N/A</v>
      </c>
      <c r="F73" s="147" t="s">
        <v>2</v>
      </c>
      <c r="G73" s="107"/>
      <c r="H73" s="108"/>
      <c r="J73" t="s">
        <v>339</v>
      </c>
      <c r="K73" t="s">
        <v>340</v>
      </c>
      <c r="L73" t="s">
        <v>341</v>
      </c>
    </row>
    <row r="74" spans="1:12" ht="18" x14ac:dyDescent="0.35">
      <c r="A74" s="7" t="s">
        <v>223</v>
      </c>
      <c r="B74" s="154" t="e">
        <f>B56</f>
        <v>#DIV/0!</v>
      </c>
      <c r="C74" s="25" t="s">
        <v>5</v>
      </c>
      <c r="D74" s="26" t="s">
        <v>6</v>
      </c>
      <c r="E74" s="155" t="e">
        <f>E56</f>
        <v>#DIV/0!</v>
      </c>
      <c r="F74" s="8" t="s">
        <v>2</v>
      </c>
      <c r="G74" s="9"/>
      <c r="H74" s="10"/>
      <c r="J74" t="e">
        <f>RADIANS(E73)</f>
        <v>#N/A</v>
      </c>
      <c r="K74" t="e">
        <f>B73*COS(J74)</f>
        <v>#N/A</v>
      </c>
      <c r="L74" t="e">
        <f>B73*SIN(J74)</f>
        <v>#N/A</v>
      </c>
    </row>
    <row r="75" spans="1:12" ht="18" x14ac:dyDescent="0.35">
      <c r="A75" s="58" t="s">
        <v>349</v>
      </c>
      <c r="B75" s="76" t="e">
        <f>SQRT(K76^2+L76^2)</f>
        <v>#N/A</v>
      </c>
      <c r="C75" s="25" t="s">
        <v>5</v>
      </c>
      <c r="D75" s="26" t="s">
        <v>6</v>
      </c>
      <c r="E75" s="3" t="e">
        <f>DEGREES(ATAN2(K76,L76))</f>
        <v>#N/A</v>
      </c>
      <c r="F75" s="8" t="s">
        <v>2</v>
      </c>
      <c r="G75" s="9"/>
      <c r="H75" s="10"/>
      <c r="J75" t="e">
        <f>RADIANS(E74)</f>
        <v>#DIV/0!</v>
      </c>
      <c r="K75" t="e">
        <f>B74*COS(J75)</f>
        <v>#DIV/0!</v>
      </c>
      <c r="L75" t="e">
        <f>B74*SIN(J75)</f>
        <v>#DIV/0!</v>
      </c>
    </row>
    <row r="76" spans="1:12" ht="18.75" x14ac:dyDescent="0.35">
      <c r="A76" s="58" t="s">
        <v>350</v>
      </c>
      <c r="B76" s="130" t="e">
        <f>B75/(B72^2)</f>
        <v>#N/A</v>
      </c>
      <c r="C76" s="106" t="s">
        <v>5</v>
      </c>
      <c r="D76" s="107"/>
      <c r="E76" s="107"/>
      <c r="F76" s="107"/>
      <c r="G76" s="107"/>
      <c r="H76" s="108"/>
      <c r="K76" t="e">
        <f>SUM(K74:K75)</f>
        <v>#N/A</v>
      </c>
      <c r="L76" t="e">
        <f>SUM(L74:L75)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12"/>
  <sheetViews>
    <sheetView workbookViewId="0">
      <selection activeCell="A73" sqref="A73"/>
    </sheetView>
  </sheetViews>
  <sheetFormatPr defaultRowHeight="15" x14ac:dyDescent="0.25"/>
  <cols>
    <col min="1" max="1" width="30.710937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</cols>
  <sheetData>
    <row r="3" spans="1:8" x14ac:dyDescent="0.25">
      <c r="A3" s="84" t="s">
        <v>29</v>
      </c>
      <c r="B3" s="85" t="s">
        <v>229</v>
      </c>
      <c r="C3" s="85" t="s">
        <v>352</v>
      </c>
      <c r="D3" s="85"/>
      <c r="E3" s="85"/>
      <c r="F3" s="85"/>
      <c r="G3" s="85"/>
      <c r="H3" s="86"/>
    </row>
    <row r="4" spans="1:8" ht="18" x14ac:dyDescent="0.35">
      <c r="A4" s="6" t="s">
        <v>17</v>
      </c>
      <c r="B4" s="1"/>
      <c r="C4" s="8" t="s">
        <v>7</v>
      </c>
      <c r="D4" s="9"/>
      <c r="E4" s="9"/>
      <c r="F4" s="9"/>
      <c r="G4" s="9"/>
      <c r="H4" s="10"/>
    </row>
    <row r="5" spans="1:8" ht="18" x14ac:dyDescent="0.35">
      <c r="A5" s="6" t="s">
        <v>20</v>
      </c>
      <c r="B5" s="1">
        <f>[2]Impedanser!B4</f>
        <v>10</v>
      </c>
      <c r="C5" s="8" t="s">
        <v>8</v>
      </c>
      <c r="D5" s="9"/>
      <c r="E5" s="9"/>
      <c r="F5" s="9"/>
      <c r="G5" s="9"/>
      <c r="H5" s="10"/>
    </row>
    <row r="6" spans="1:8" ht="18" x14ac:dyDescent="0.35">
      <c r="A6" s="6" t="s">
        <v>21</v>
      </c>
      <c r="B6" s="1">
        <f>[2]Impedanser!B5</f>
        <v>0.4</v>
      </c>
      <c r="C6" s="8" t="s">
        <v>8</v>
      </c>
      <c r="D6" s="9"/>
      <c r="E6" s="9"/>
      <c r="F6" s="9"/>
      <c r="G6" s="9"/>
      <c r="H6" s="10"/>
    </row>
    <row r="7" spans="1:8" ht="18" x14ac:dyDescent="0.35">
      <c r="A7" s="6" t="s">
        <v>22</v>
      </c>
      <c r="B7" s="1"/>
      <c r="C7" s="8" t="s">
        <v>23</v>
      </c>
      <c r="D7" s="9"/>
      <c r="E7" s="9"/>
      <c r="F7" s="9"/>
      <c r="G7" s="9"/>
      <c r="H7" s="10"/>
    </row>
    <row r="8" spans="1:8" ht="18" hidden="1" x14ac:dyDescent="0.35">
      <c r="A8" s="6" t="s">
        <v>24</v>
      </c>
      <c r="B8" s="1"/>
      <c r="C8" s="8" t="s">
        <v>23</v>
      </c>
      <c r="D8" s="9"/>
      <c r="E8" s="9"/>
      <c r="F8" s="9"/>
      <c r="G8" s="9"/>
      <c r="H8" s="10"/>
    </row>
    <row r="9" spans="1:8" ht="18" hidden="1" x14ac:dyDescent="0.35">
      <c r="A9" s="6" t="s">
        <v>30</v>
      </c>
      <c r="B9" s="1"/>
      <c r="C9" s="8" t="s">
        <v>23</v>
      </c>
      <c r="D9" s="9"/>
      <c r="E9" s="9"/>
      <c r="F9" s="9"/>
      <c r="G9" s="9"/>
      <c r="H9" s="10"/>
    </row>
    <row r="10" spans="1:8" ht="18" x14ac:dyDescent="0.35">
      <c r="A10" s="6" t="s">
        <v>25</v>
      </c>
      <c r="B10" s="1"/>
      <c r="C10" s="8" t="s">
        <v>26</v>
      </c>
      <c r="D10" s="9"/>
      <c r="E10" s="9"/>
      <c r="F10" s="9"/>
      <c r="G10" s="9"/>
      <c r="H10" s="10"/>
    </row>
    <row r="11" spans="1:8" ht="18" hidden="1" x14ac:dyDescent="0.35">
      <c r="A11" s="6" t="s">
        <v>27</v>
      </c>
      <c r="B11" s="1"/>
      <c r="C11" s="8" t="s">
        <v>18</v>
      </c>
      <c r="D11" s="9"/>
      <c r="E11" s="9"/>
      <c r="F11" s="9"/>
      <c r="G11" s="9"/>
      <c r="H11" s="10"/>
    </row>
    <row r="12" spans="1:8" ht="18" x14ac:dyDescent="0.35">
      <c r="A12" s="6" t="s">
        <v>42</v>
      </c>
      <c r="B12" s="19">
        <f>B5/B6</f>
        <v>25</v>
      </c>
      <c r="C12" s="8"/>
      <c r="D12" s="9"/>
      <c r="E12" s="9"/>
      <c r="F12" s="9"/>
      <c r="G12" s="9"/>
      <c r="H12" s="10"/>
    </row>
    <row r="15" spans="1:8" ht="18" x14ac:dyDescent="0.35">
      <c r="A15" s="168" t="s">
        <v>187</v>
      </c>
      <c r="B15" s="87" t="s">
        <v>229</v>
      </c>
      <c r="C15" s="85" t="str">
        <f>C3</f>
        <v>T74</v>
      </c>
      <c r="D15" s="85"/>
      <c r="E15" s="85"/>
      <c r="F15" s="85"/>
      <c r="G15" s="85"/>
      <c r="H15" s="86"/>
    </row>
    <row r="16" spans="1:8" ht="18" x14ac:dyDescent="0.35">
      <c r="A16" s="8" t="s">
        <v>20</v>
      </c>
      <c r="B16" s="10"/>
      <c r="C16" s="77">
        <f>B5</f>
        <v>10</v>
      </c>
      <c r="D16" s="8" t="s">
        <v>8</v>
      </c>
      <c r="E16" s="9"/>
      <c r="F16" s="9"/>
      <c r="G16" s="9"/>
      <c r="H16" s="10"/>
    </row>
    <row r="17" spans="1:8" ht="18" x14ac:dyDescent="0.35">
      <c r="A17" s="8" t="s">
        <v>21</v>
      </c>
      <c r="B17" s="10"/>
      <c r="C17" s="77">
        <f>B6</f>
        <v>0.4</v>
      </c>
      <c r="D17" s="8" t="s">
        <v>8</v>
      </c>
      <c r="E17" s="9"/>
      <c r="F17" s="9"/>
      <c r="G17" s="9"/>
      <c r="H17" s="10"/>
    </row>
    <row r="18" spans="1:8" ht="18" x14ac:dyDescent="0.35">
      <c r="A18" s="8" t="s">
        <v>42</v>
      </c>
      <c r="B18" s="10"/>
      <c r="C18" s="169">
        <f>C16/C17</f>
        <v>25</v>
      </c>
      <c r="D18" s="8"/>
      <c r="E18" s="9"/>
      <c r="F18" s="9"/>
      <c r="G18" s="9"/>
      <c r="H18" s="10"/>
    </row>
    <row r="19" spans="1:8" x14ac:dyDescent="0.25">
      <c r="A19" s="49" t="s">
        <v>153</v>
      </c>
      <c r="B19" s="50"/>
      <c r="C19" s="77">
        <v>1.1000000000000001</v>
      </c>
      <c r="D19" s="8"/>
      <c r="E19" s="9"/>
      <c r="F19" s="9"/>
      <c r="G19" s="9"/>
      <c r="H19" s="10"/>
    </row>
    <row r="20" spans="1:8" ht="18" x14ac:dyDescent="0.35">
      <c r="A20" s="8" t="s">
        <v>17</v>
      </c>
      <c r="B20" s="10"/>
      <c r="C20" s="77">
        <f>B4</f>
        <v>0</v>
      </c>
      <c r="D20" s="8" t="s">
        <v>7</v>
      </c>
      <c r="E20" s="9"/>
      <c r="F20" s="9"/>
      <c r="G20" s="9"/>
      <c r="H20" s="10"/>
    </row>
    <row r="21" spans="1:8" ht="18" x14ac:dyDescent="0.35">
      <c r="A21" s="8" t="s">
        <v>20</v>
      </c>
      <c r="B21" s="10"/>
      <c r="C21" s="77">
        <v>10</v>
      </c>
      <c r="D21" s="8" t="s">
        <v>8</v>
      </c>
      <c r="E21" s="9"/>
      <c r="F21" s="9"/>
      <c r="G21" s="9"/>
      <c r="H21" s="10"/>
    </row>
    <row r="22" spans="1:8" ht="18" x14ac:dyDescent="0.35">
      <c r="A22" s="31" t="s">
        <v>188</v>
      </c>
      <c r="B22" s="33"/>
      <c r="C22" s="78">
        <f>(B4*10^3)/((B5*10^3)*SQRT(3))*C19</f>
        <v>0</v>
      </c>
      <c r="D22" s="8" t="s">
        <v>18</v>
      </c>
      <c r="E22" s="9"/>
      <c r="F22" s="9"/>
      <c r="G22" s="9"/>
      <c r="H22" s="10"/>
    </row>
    <row r="23" spans="1:8" ht="18" x14ac:dyDescent="0.35">
      <c r="A23" s="8" t="s">
        <v>116</v>
      </c>
      <c r="B23" s="10"/>
      <c r="C23" s="78">
        <f>C22*B12</f>
        <v>0</v>
      </c>
      <c r="D23" s="8" t="s">
        <v>18</v>
      </c>
      <c r="E23" s="9"/>
      <c r="F23" s="9"/>
      <c r="G23" s="9"/>
      <c r="H23" s="10"/>
    </row>
    <row r="26" spans="1:8" x14ac:dyDescent="0.25">
      <c r="A26" s="84" t="s">
        <v>100</v>
      </c>
      <c r="B26" s="85" t="s">
        <v>229</v>
      </c>
      <c r="C26" s="85" t="str">
        <f>C15</f>
        <v>T74</v>
      </c>
      <c r="D26" s="85"/>
      <c r="E26" s="85"/>
      <c r="F26" s="85"/>
      <c r="G26" s="85"/>
      <c r="H26" s="86"/>
    </row>
    <row r="27" spans="1:8" x14ac:dyDescent="0.25">
      <c r="A27" s="6" t="s">
        <v>204</v>
      </c>
      <c r="B27" s="89">
        <v>3</v>
      </c>
      <c r="C27" s="102"/>
      <c r="D27" s="103"/>
      <c r="E27" s="103"/>
      <c r="F27" s="103"/>
      <c r="G27" s="103"/>
      <c r="H27" s="104"/>
    </row>
    <row r="28" spans="1:8" ht="18" x14ac:dyDescent="0.35">
      <c r="A28" s="6" t="s">
        <v>191</v>
      </c>
      <c r="B28" s="1"/>
      <c r="C28" s="8" t="s">
        <v>18</v>
      </c>
      <c r="D28" s="9"/>
      <c r="E28" s="9"/>
      <c r="F28" s="9"/>
      <c r="G28" s="9"/>
      <c r="H28" s="10"/>
    </row>
    <row r="29" spans="1:8" ht="18" x14ac:dyDescent="0.35">
      <c r="A29" s="6" t="s">
        <v>192</v>
      </c>
      <c r="B29" s="1"/>
      <c r="C29" s="8" t="s">
        <v>18</v>
      </c>
      <c r="D29" s="9"/>
      <c r="E29" s="9"/>
      <c r="F29" s="9"/>
      <c r="G29" s="9"/>
      <c r="H29" s="10"/>
    </row>
    <row r="30" spans="1:8" ht="16.149999999999999" customHeight="1" x14ac:dyDescent="0.25"/>
    <row r="31" spans="1:8" ht="16.149999999999999" customHeight="1" x14ac:dyDescent="0.25"/>
    <row r="32" spans="1:8" ht="16.149999999999999" customHeight="1" x14ac:dyDescent="0.25">
      <c r="A32" s="84" t="s">
        <v>19</v>
      </c>
      <c r="B32" s="85" t="s">
        <v>229</v>
      </c>
      <c r="C32" s="85" t="str">
        <f>C26</f>
        <v>T74</v>
      </c>
      <c r="D32" s="85"/>
      <c r="E32" s="85"/>
      <c r="F32" s="85"/>
      <c r="G32" s="85"/>
      <c r="H32" s="86"/>
    </row>
    <row r="33" spans="1:10" ht="16.149999999999999" customHeight="1" x14ac:dyDescent="0.35">
      <c r="A33" s="6" t="s">
        <v>27</v>
      </c>
      <c r="B33" s="1"/>
      <c r="C33" s="8" t="s">
        <v>18</v>
      </c>
      <c r="D33" s="9"/>
      <c r="E33" s="9"/>
      <c r="F33" s="9"/>
      <c r="G33" s="9"/>
      <c r="H33" s="10"/>
    </row>
    <row r="34" spans="1:10" ht="16.149999999999999" customHeight="1" x14ac:dyDescent="0.35">
      <c r="A34" s="6" t="s">
        <v>21</v>
      </c>
      <c r="B34" s="1">
        <f>[2]Impedanser!B5</f>
        <v>0.4</v>
      </c>
      <c r="C34" s="8" t="s">
        <v>8</v>
      </c>
      <c r="D34" s="9"/>
      <c r="E34" s="9"/>
      <c r="F34" s="9"/>
      <c r="G34" s="9"/>
      <c r="H34" s="10"/>
      <c r="J34" t="s">
        <v>152</v>
      </c>
    </row>
    <row r="35" spans="1:10" ht="16.149999999999999" customHeight="1" x14ac:dyDescent="0.35">
      <c r="A35" s="6" t="s">
        <v>345</v>
      </c>
      <c r="B35" s="2">
        <f>((B34*10^3)*SQRT(3)*B33)*10^-3</f>
        <v>0</v>
      </c>
      <c r="C35" s="8" t="s">
        <v>7</v>
      </c>
      <c r="D35" s="9"/>
      <c r="E35" s="9"/>
      <c r="F35" s="9"/>
      <c r="G35" s="9"/>
      <c r="H35" s="10"/>
    </row>
    <row r="36" spans="1:10" ht="16.149999999999999" customHeight="1" x14ac:dyDescent="0.35">
      <c r="A36" s="6" t="s">
        <v>28</v>
      </c>
      <c r="B36" s="56">
        <v>630</v>
      </c>
      <c r="C36" s="8" t="s">
        <v>7</v>
      </c>
      <c r="D36" s="9"/>
      <c r="E36" s="9"/>
      <c r="F36" s="9"/>
      <c r="G36" s="9"/>
      <c r="H36" s="10"/>
      <c r="J36" t="s">
        <v>189</v>
      </c>
    </row>
    <row r="38" spans="1:10" x14ac:dyDescent="0.25">
      <c r="A38" t="s">
        <v>203</v>
      </c>
      <c r="J38" t="s">
        <v>190</v>
      </c>
    </row>
    <row r="39" spans="1:10" ht="18" x14ac:dyDescent="0.35">
      <c r="A39" s="84" t="s">
        <v>205</v>
      </c>
      <c r="B39" s="85" t="s">
        <v>229</v>
      </c>
      <c r="C39" s="85" t="str">
        <f>C32</f>
        <v>T74</v>
      </c>
      <c r="D39" s="85"/>
      <c r="E39" s="85"/>
      <c r="F39" s="85"/>
      <c r="G39" s="85"/>
      <c r="H39" s="86"/>
    </row>
    <row r="40" spans="1:10" ht="18" x14ac:dyDescent="0.35">
      <c r="A40" s="6" t="s">
        <v>21</v>
      </c>
      <c r="B40" s="1">
        <v>0.4</v>
      </c>
      <c r="C40" s="36" t="s">
        <v>8</v>
      </c>
      <c r="D40" s="37"/>
      <c r="E40" s="37"/>
      <c r="F40" s="37"/>
      <c r="G40" s="37"/>
      <c r="H40" s="38"/>
    </row>
    <row r="41" spans="1:10" ht="18" x14ac:dyDescent="0.35">
      <c r="A41" s="58" t="s">
        <v>389</v>
      </c>
      <c r="B41" s="138"/>
      <c r="C41" s="24" t="s">
        <v>5</v>
      </c>
      <c r="D41" s="103"/>
      <c r="E41" s="103"/>
      <c r="F41" s="103"/>
      <c r="G41" s="103"/>
      <c r="H41" s="104"/>
    </row>
    <row r="42" spans="1:10" ht="18" x14ac:dyDescent="0.35">
      <c r="A42" s="6" t="s">
        <v>207</v>
      </c>
      <c r="B42" s="3" t="e">
        <f>(B40)/(SQRT(3)*B41)</f>
        <v>#DIV/0!</v>
      </c>
      <c r="C42" s="31" t="s">
        <v>82</v>
      </c>
      <c r="D42" s="32"/>
      <c r="E42" s="32"/>
      <c r="F42" s="32"/>
      <c r="G42" s="32"/>
      <c r="H42" s="33"/>
    </row>
    <row r="44" spans="1:10" ht="18" x14ac:dyDescent="0.35">
      <c r="A44" s="84" t="s">
        <v>354</v>
      </c>
      <c r="B44" s="85" t="s">
        <v>229</v>
      </c>
      <c r="C44" s="85" t="str">
        <f>C39</f>
        <v>T74</v>
      </c>
      <c r="D44" s="85"/>
      <c r="E44" s="85"/>
      <c r="F44" s="85"/>
      <c r="G44" s="85"/>
      <c r="H44" s="86"/>
    </row>
    <row r="45" spans="1:10" ht="18" x14ac:dyDescent="0.35">
      <c r="A45" s="6" t="s">
        <v>222</v>
      </c>
      <c r="B45" s="28"/>
      <c r="C45" s="31" t="s">
        <v>82</v>
      </c>
      <c r="D45" s="32"/>
      <c r="E45" s="32"/>
      <c r="F45" s="32"/>
      <c r="G45" s="32"/>
      <c r="H45" s="33"/>
    </row>
    <row r="46" spans="1:10" ht="18" x14ac:dyDescent="0.35">
      <c r="A46" s="6" t="s">
        <v>335</v>
      </c>
      <c r="B46" s="2" t="e">
        <f>(SQRT(3)/2)*B42</f>
        <v>#DIV/0!</v>
      </c>
      <c r="C46" s="8" t="s">
        <v>82</v>
      </c>
      <c r="D46" s="9"/>
      <c r="E46" s="9"/>
      <c r="F46" s="9"/>
      <c r="G46" s="9"/>
      <c r="H46" s="10"/>
    </row>
    <row r="49" spans="1:8" ht="18" x14ac:dyDescent="0.35">
      <c r="A49" s="84" t="s">
        <v>353</v>
      </c>
      <c r="B49" s="85" t="s">
        <v>229</v>
      </c>
      <c r="C49" s="85" t="str">
        <f>C42</f>
        <v>kA</v>
      </c>
      <c r="D49" s="85"/>
      <c r="E49" s="85"/>
      <c r="F49" s="85"/>
      <c r="G49" s="85"/>
      <c r="H49" s="86"/>
    </row>
    <row r="50" spans="1:8" ht="18" x14ac:dyDescent="0.35">
      <c r="A50" s="6" t="s">
        <v>21</v>
      </c>
      <c r="B50" s="1">
        <v>0.4</v>
      </c>
      <c r="C50" s="36" t="s">
        <v>8</v>
      </c>
      <c r="D50" s="37"/>
      <c r="E50" s="37"/>
      <c r="F50" s="37"/>
      <c r="G50" s="37"/>
      <c r="H50" s="38"/>
    </row>
    <row r="51" spans="1:8" ht="18" x14ac:dyDescent="0.35">
      <c r="A51" s="58" t="s">
        <v>355</v>
      </c>
      <c r="B51" s="138"/>
      <c r="C51" s="24" t="s">
        <v>5</v>
      </c>
      <c r="D51" s="103"/>
      <c r="E51" s="103"/>
      <c r="F51" s="103"/>
      <c r="G51" s="103"/>
      <c r="H51" s="104"/>
    </row>
    <row r="52" spans="1:8" ht="18" x14ac:dyDescent="0.35">
      <c r="A52" s="6" t="s">
        <v>390</v>
      </c>
      <c r="B52" s="3" t="e">
        <f>(B50)/(SQRT(3)*B51)</f>
        <v>#DIV/0!</v>
      </c>
      <c r="C52" s="31" t="s">
        <v>82</v>
      </c>
      <c r="D52" s="32"/>
      <c r="E52" s="32"/>
      <c r="F52" s="32"/>
      <c r="G52" s="32"/>
      <c r="H52" s="33"/>
    </row>
    <row r="54" spans="1:8" ht="18" x14ac:dyDescent="0.35">
      <c r="A54" s="84" t="s">
        <v>206</v>
      </c>
      <c r="B54" s="85" t="s">
        <v>229</v>
      </c>
      <c r="C54" s="85" t="str">
        <f>C49</f>
        <v>kA</v>
      </c>
      <c r="D54" s="85"/>
      <c r="E54" s="85"/>
      <c r="F54" s="85"/>
      <c r="G54" s="85"/>
      <c r="H54" s="86"/>
    </row>
    <row r="55" spans="1:8" ht="18" x14ac:dyDescent="0.35">
      <c r="A55" s="6" t="s">
        <v>357</v>
      </c>
      <c r="B55" s="28" t="e">
        <f>B52</f>
        <v>#DIV/0!</v>
      </c>
      <c r="C55" s="31" t="s">
        <v>82</v>
      </c>
      <c r="D55" s="32"/>
      <c r="E55" s="32"/>
      <c r="F55" s="32"/>
      <c r="G55" s="32"/>
      <c r="H55" s="33"/>
    </row>
    <row r="56" spans="1:8" ht="18" x14ac:dyDescent="0.35">
      <c r="A56" s="6" t="s">
        <v>358</v>
      </c>
      <c r="B56" s="2" t="e">
        <f>(SQRT(3)/2)*B52</f>
        <v>#DIV/0!</v>
      </c>
      <c r="C56" s="8" t="s">
        <v>82</v>
      </c>
      <c r="D56" s="9"/>
      <c r="E56" s="9"/>
      <c r="F56" s="9"/>
      <c r="G56" s="9"/>
      <c r="H56" s="10"/>
    </row>
    <row r="63" spans="1:8" x14ac:dyDescent="0.25">
      <c r="A63" s="98" t="s">
        <v>198</v>
      </c>
      <c r="B63" s="85" t="s">
        <v>229</v>
      </c>
      <c r="C63" s="99" t="str">
        <f>C44</f>
        <v>T74</v>
      </c>
      <c r="D63" s="99"/>
      <c r="E63" s="99"/>
      <c r="F63" s="99"/>
      <c r="G63" s="99"/>
      <c r="H63" s="100"/>
    </row>
    <row r="64" spans="1:8" ht="18" x14ac:dyDescent="0.35">
      <c r="A64" s="6" t="s">
        <v>21</v>
      </c>
      <c r="B64" s="1">
        <v>0.4</v>
      </c>
      <c r="C64" s="36" t="s">
        <v>8</v>
      </c>
      <c r="D64" s="37"/>
      <c r="E64" s="37"/>
      <c r="F64" s="37"/>
      <c r="G64" s="37"/>
      <c r="H64" s="38"/>
    </row>
    <row r="65" spans="1:8" ht="18" x14ac:dyDescent="0.35">
      <c r="A65" s="58" t="s">
        <v>394</v>
      </c>
      <c r="B65" s="138"/>
      <c r="C65" s="24" t="s">
        <v>5</v>
      </c>
      <c r="D65" s="103"/>
      <c r="E65" s="103"/>
      <c r="F65" s="103"/>
      <c r="G65" s="103"/>
      <c r="H65" s="104"/>
    </row>
    <row r="66" spans="1:8" ht="18" x14ac:dyDescent="0.35">
      <c r="A66" s="6" t="s">
        <v>395</v>
      </c>
      <c r="B66" s="3" t="e">
        <f>(B64)/(SQRT(3)*B65)</f>
        <v>#DIV/0!</v>
      </c>
      <c r="C66" s="8" t="s">
        <v>82</v>
      </c>
      <c r="D66" s="9"/>
      <c r="E66" s="9"/>
      <c r="F66" s="9"/>
      <c r="G66" s="9"/>
      <c r="H66" s="10"/>
    </row>
    <row r="67" spans="1:8" ht="18" x14ac:dyDescent="0.35">
      <c r="A67" s="6" t="s">
        <v>199</v>
      </c>
      <c r="B67" s="34" t="e">
        <f>((B64*10^3)*SQRT(3)*B66)*10^-3</f>
        <v>#DIV/0!</v>
      </c>
      <c r="C67" s="9" t="s">
        <v>7</v>
      </c>
      <c r="D67" s="9"/>
      <c r="E67" s="9"/>
      <c r="F67" s="9"/>
      <c r="G67" s="9"/>
      <c r="H67" s="10"/>
    </row>
    <row r="69" spans="1:8" x14ac:dyDescent="0.25">
      <c r="A69" s="98" t="s">
        <v>197</v>
      </c>
      <c r="B69" s="85" t="s">
        <v>229</v>
      </c>
      <c r="C69" s="99" t="str">
        <f>C63</f>
        <v>T74</v>
      </c>
      <c r="D69" s="99"/>
      <c r="E69" s="99"/>
      <c r="F69" s="99"/>
      <c r="G69" s="99"/>
      <c r="H69" s="100"/>
    </row>
    <row r="70" spans="1:8" ht="18" x14ac:dyDescent="0.35">
      <c r="A70" s="6" t="s">
        <v>21</v>
      </c>
      <c r="B70" s="1">
        <v>0.4</v>
      </c>
      <c r="C70" s="36" t="s">
        <v>8</v>
      </c>
      <c r="D70" s="37"/>
      <c r="E70" s="37"/>
      <c r="F70" s="37"/>
      <c r="G70" s="37"/>
      <c r="H70" s="38"/>
    </row>
    <row r="71" spans="1:8" ht="18" x14ac:dyDescent="0.35">
      <c r="A71" s="58" t="s">
        <v>396</v>
      </c>
      <c r="B71" s="138"/>
      <c r="C71" s="24" t="s">
        <v>5</v>
      </c>
      <c r="D71" s="103"/>
      <c r="E71" s="103"/>
      <c r="F71" s="103"/>
      <c r="G71" s="103"/>
      <c r="H71" s="104"/>
    </row>
    <row r="72" spans="1:8" ht="18" x14ac:dyDescent="0.35">
      <c r="A72" s="6" t="s">
        <v>397</v>
      </c>
      <c r="B72" s="3" t="e">
        <f>B70/(SQRT(3)*B71)</f>
        <v>#DIV/0!</v>
      </c>
      <c r="C72" s="8" t="s">
        <v>82</v>
      </c>
      <c r="D72" s="9"/>
      <c r="E72" s="9"/>
      <c r="F72" s="9"/>
      <c r="G72" s="9"/>
      <c r="H72" s="10"/>
    </row>
    <row r="73" spans="1:8" ht="18" x14ac:dyDescent="0.35">
      <c r="A73" s="6" t="s">
        <v>56</v>
      </c>
      <c r="B73" s="116" t="e">
        <f>((B70^3)*SQRT(3)*B72)*10^-3</f>
        <v>#DIV/0!</v>
      </c>
      <c r="C73" s="9" t="s">
        <v>7</v>
      </c>
      <c r="D73" s="9"/>
      <c r="E73" s="9"/>
      <c r="F73" s="9"/>
      <c r="G73" s="9"/>
      <c r="H73" s="10"/>
    </row>
    <row r="76" spans="1:8" x14ac:dyDescent="0.25">
      <c r="A76" s="84" t="s">
        <v>228</v>
      </c>
      <c r="B76" s="85"/>
      <c r="C76" s="85"/>
      <c r="D76" s="85"/>
      <c r="E76" s="85"/>
      <c r="F76" s="85"/>
      <c r="G76" s="85"/>
      <c r="H76" s="86"/>
    </row>
    <row r="77" spans="1:8" ht="15" customHeight="1" x14ac:dyDescent="0.35">
      <c r="A77" s="6" t="s">
        <v>20</v>
      </c>
      <c r="B77" s="1">
        <v>10</v>
      </c>
      <c r="C77" s="8" t="s">
        <v>8</v>
      </c>
      <c r="D77" s="9"/>
      <c r="E77" s="9"/>
      <c r="F77" s="9"/>
      <c r="G77" s="9"/>
      <c r="H77" s="10"/>
    </row>
    <row r="78" spans="1:8" x14ac:dyDescent="0.25">
      <c r="A78" s="127" t="s">
        <v>230</v>
      </c>
      <c r="B78" s="127" t="s">
        <v>18</v>
      </c>
      <c r="C78" s="127" t="s">
        <v>238</v>
      </c>
      <c r="D78" s="127" t="s">
        <v>239</v>
      </c>
      <c r="E78" s="127" t="s">
        <v>240</v>
      </c>
      <c r="F78" s="127" t="s">
        <v>236</v>
      </c>
      <c r="G78" s="90" t="s">
        <v>237</v>
      </c>
      <c r="H78" s="92"/>
    </row>
    <row r="79" spans="1:8" ht="18" x14ac:dyDescent="0.35">
      <c r="A79" s="6" t="s">
        <v>232</v>
      </c>
      <c r="B79" s="1"/>
      <c r="C79" s="1"/>
      <c r="D79" s="1"/>
      <c r="E79" s="1"/>
      <c r="F79" s="1"/>
      <c r="G79" s="1"/>
      <c r="H79" s="6"/>
    </row>
    <row r="80" spans="1:8" ht="18" x14ac:dyDescent="0.35">
      <c r="A80" s="6" t="s">
        <v>243</v>
      </c>
      <c r="B80" s="1"/>
      <c r="C80" s="1"/>
      <c r="D80" s="1"/>
      <c r="E80" s="1"/>
      <c r="F80" s="1"/>
      <c r="G80" s="1"/>
      <c r="H80" s="6"/>
    </row>
    <row r="81" spans="1:8" x14ac:dyDescent="0.25">
      <c r="A81" s="6" t="s">
        <v>241</v>
      </c>
      <c r="B81" s="1">
        <v>3</v>
      </c>
      <c r="C81" s="1">
        <v>3</v>
      </c>
      <c r="D81" s="1">
        <v>3</v>
      </c>
      <c r="E81" s="1">
        <v>3</v>
      </c>
      <c r="F81" s="1">
        <v>3</v>
      </c>
      <c r="G81" s="1">
        <v>3</v>
      </c>
      <c r="H81" s="6"/>
    </row>
    <row r="82" spans="1:8" ht="18" x14ac:dyDescent="0.35">
      <c r="A82" s="6" t="s">
        <v>235</v>
      </c>
      <c r="B82" s="3">
        <f t="shared" ref="B82:G82" si="0">(B80*10^3)/(SQRT(3)*($B$77*10^3))+B79</f>
        <v>0</v>
      </c>
      <c r="C82" s="3">
        <f t="shared" si="0"/>
        <v>0</v>
      </c>
      <c r="D82" s="3">
        <f t="shared" si="0"/>
        <v>0</v>
      </c>
      <c r="E82" s="3">
        <f t="shared" si="0"/>
        <v>0</v>
      </c>
      <c r="F82" s="3">
        <f t="shared" si="0"/>
        <v>0</v>
      </c>
      <c r="G82" s="3">
        <f t="shared" si="0"/>
        <v>0</v>
      </c>
      <c r="H82" s="121"/>
    </row>
    <row r="83" spans="1:8" x14ac:dyDescent="0.25">
      <c r="A83" s="6" t="s">
        <v>244</v>
      </c>
      <c r="B83" s="129">
        <v>0.20599999999999999</v>
      </c>
      <c r="C83" s="129">
        <v>0.20599999999999999</v>
      </c>
      <c r="D83" s="129">
        <v>0.20599999999999999</v>
      </c>
      <c r="E83" s="129">
        <v>0.20599999999999999</v>
      </c>
      <c r="F83" s="129">
        <v>0.20599999999999999</v>
      </c>
      <c r="G83" s="129">
        <v>0.20599999999999999</v>
      </c>
      <c r="H83" s="6"/>
    </row>
    <row r="84" spans="1:8" x14ac:dyDescent="0.25">
      <c r="A84" s="6" t="s">
        <v>242</v>
      </c>
      <c r="B84" s="1"/>
      <c r="C84" s="1"/>
      <c r="D84" s="1"/>
      <c r="E84" s="1"/>
      <c r="F84" s="1"/>
      <c r="G84" s="1"/>
      <c r="H84" s="6"/>
    </row>
    <row r="85" spans="1:8" ht="17.25" x14ac:dyDescent="0.25">
      <c r="A85" s="125" t="s">
        <v>245</v>
      </c>
      <c r="B85" s="126"/>
      <c r="C85" s="126"/>
      <c r="D85" s="126"/>
      <c r="E85" s="126"/>
      <c r="F85" s="126"/>
      <c r="G85" s="126"/>
      <c r="H85" s="18"/>
    </row>
    <row r="86" spans="1:8" x14ac:dyDescent="0.25">
      <c r="A86" s="7" t="s">
        <v>234</v>
      </c>
      <c r="B86" s="2">
        <f>C81*(C82+D82+E82)^2*C83*C84</f>
        <v>0</v>
      </c>
      <c r="C86" s="8" t="s">
        <v>26</v>
      </c>
      <c r="D86" s="9"/>
      <c r="E86" s="9"/>
      <c r="F86" s="9"/>
      <c r="G86" s="9"/>
      <c r="H86" s="10"/>
    </row>
    <row r="87" spans="1:8" ht="16.149999999999999" customHeight="1" x14ac:dyDescent="0.25">
      <c r="A87" s="7" t="s">
        <v>233</v>
      </c>
      <c r="B87" s="2">
        <f>D81*(D82+E82)^2*D83*D84</f>
        <v>0</v>
      </c>
      <c r="C87" s="8" t="s">
        <v>26</v>
      </c>
      <c r="D87" s="9"/>
      <c r="E87" s="9"/>
      <c r="F87" s="9"/>
      <c r="G87" s="9"/>
      <c r="H87" s="10"/>
    </row>
    <row r="88" spans="1:8" x14ac:dyDescent="0.25">
      <c r="A88" s="7" t="s">
        <v>231</v>
      </c>
      <c r="B88" s="128">
        <f>E81*(E82)^2*E83*E84</f>
        <v>0</v>
      </c>
      <c r="C88" s="8" t="s">
        <v>26</v>
      </c>
      <c r="D88" s="9"/>
      <c r="E88" s="9"/>
      <c r="F88" s="9"/>
      <c r="G88" s="9"/>
      <c r="H88" s="10"/>
    </row>
    <row r="89" spans="1:8" x14ac:dyDescent="0.25">
      <c r="A89" s="7" t="s">
        <v>246</v>
      </c>
      <c r="B89" s="19">
        <f>F81*(F82+G82)^2*F83*F84</f>
        <v>0</v>
      </c>
      <c r="C89" s="8" t="s">
        <v>26</v>
      </c>
      <c r="D89" s="9"/>
      <c r="E89" s="9"/>
      <c r="F89" s="9"/>
      <c r="G89" s="9"/>
      <c r="H89" s="10"/>
    </row>
    <row r="90" spans="1:8" x14ac:dyDescent="0.25">
      <c r="A90" s="7" t="s">
        <v>247</v>
      </c>
      <c r="B90" s="19">
        <f>G81*(G82)^2*G83*G84</f>
        <v>0</v>
      </c>
      <c r="C90" s="8" t="s">
        <v>26</v>
      </c>
      <c r="D90" s="9"/>
      <c r="E90" s="9"/>
      <c r="F90" s="9"/>
      <c r="G90" s="9"/>
      <c r="H90" s="10"/>
    </row>
    <row r="91" spans="1:8" ht="18" x14ac:dyDescent="0.35">
      <c r="A91" s="7" t="s">
        <v>248</v>
      </c>
      <c r="B91" s="2">
        <f>SUM(B86:B90)</f>
        <v>0</v>
      </c>
      <c r="C91" s="8" t="s">
        <v>26</v>
      </c>
      <c r="D91" s="9"/>
      <c r="E91" s="9"/>
      <c r="F91" s="9"/>
      <c r="G91" s="9"/>
      <c r="H91" s="10"/>
    </row>
    <row r="92" spans="1:8" ht="18" x14ac:dyDescent="0.35">
      <c r="A92" s="7" t="s">
        <v>249</v>
      </c>
      <c r="B92" s="62">
        <f>24*B91</f>
        <v>0</v>
      </c>
      <c r="C92" s="8" t="s">
        <v>250</v>
      </c>
      <c r="D92" s="9"/>
      <c r="E92" s="9"/>
      <c r="F92" s="9"/>
      <c r="G92" s="9"/>
      <c r="H92" s="10"/>
    </row>
    <row r="97" spans="1:7" x14ac:dyDescent="0.25">
      <c r="E97" s="68"/>
    </row>
    <row r="98" spans="1:7" ht="16.149999999999999" customHeight="1" x14ac:dyDescent="0.25">
      <c r="E98" s="68"/>
    </row>
    <row r="99" spans="1:7" x14ac:dyDescent="0.25">
      <c r="E99" s="68"/>
    </row>
    <row r="100" spans="1:7" x14ac:dyDescent="0.25">
      <c r="E100" s="68"/>
    </row>
    <row r="101" spans="1:7" x14ac:dyDescent="0.25">
      <c r="E101" s="68"/>
    </row>
    <row r="102" spans="1:7" x14ac:dyDescent="0.25">
      <c r="A102" t="s">
        <v>106</v>
      </c>
      <c r="G102" t="s">
        <v>103</v>
      </c>
    </row>
    <row r="103" spans="1:7" ht="18" x14ac:dyDescent="0.35">
      <c r="A103" t="s">
        <v>17</v>
      </c>
      <c r="B103">
        <v>1000</v>
      </c>
      <c r="C103" t="s">
        <v>7</v>
      </c>
    </row>
    <row r="104" spans="1:7" x14ac:dyDescent="0.25">
      <c r="A104" t="s">
        <v>101</v>
      </c>
      <c r="B104">
        <v>700</v>
      </c>
      <c r="C104" t="s">
        <v>7</v>
      </c>
    </row>
    <row r="105" spans="1:7" x14ac:dyDescent="0.25">
      <c r="A105" t="s">
        <v>12</v>
      </c>
      <c r="B105">
        <v>0.02</v>
      </c>
    </row>
    <row r="106" spans="1:7" x14ac:dyDescent="0.25">
      <c r="A106" t="s">
        <v>3</v>
      </c>
    </row>
    <row r="107" spans="1:7" x14ac:dyDescent="0.25">
      <c r="A107" t="s">
        <v>104</v>
      </c>
      <c r="B107">
        <v>0.8</v>
      </c>
    </row>
    <row r="108" spans="1:7" ht="18" x14ac:dyDescent="0.35">
      <c r="A108" t="s">
        <v>105</v>
      </c>
      <c r="B108" s="68">
        <f>B103*B107</f>
        <v>800</v>
      </c>
      <c r="C108" t="s">
        <v>7</v>
      </c>
    </row>
    <row r="110" spans="1:7" x14ac:dyDescent="0.25">
      <c r="A110" t="s">
        <v>107</v>
      </c>
    </row>
    <row r="111" spans="1:7" x14ac:dyDescent="0.25">
      <c r="A111" s="69"/>
    </row>
    <row r="112" spans="1:7" x14ac:dyDescent="0.25">
      <c r="A112" s="30"/>
      <c r="B112">
        <f>-NPER(B105,B104,B103,B108)</f>
        <v>2.5902267219585529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0"/>
  <sheetViews>
    <sheetView topLeftCell="A82" workbookViewId="0">
      <selection activeCell="B105" sqref="B105"/>
    </sheetView>
  </sheetViews>
  <sheetFormatPr defaultRowHeight="15" x14ac:dyDescent="0.25"/>
  <cols>
    <col min="1" max="1" width="28.5703125" customWidth="1"/>
    <col min="2" max="2" width="12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  <col min="10" max="10" width="12.28515625" bestFit="1" customWidth="1"/>
  </cols>
  <sheetData>
    <row r="3" spans="1:8" x14ac:dyDescent="0.25">
      <c r="A3" s="84" t="s">
        <v>274</v>
      </c>
      <c r="B3" s="85" t="s">
        <v>258</v>
      </c>
      <c r="C3" s="85" t="s">
        <v>255</v>
      </c>
      <c r="D3" s="85"/>
      <c r="E3" s="85"/>
      <c r="F3" s="85"/>
      <c r="G3" s="85"/>
      <c r="H3" s="86"/>
    </row>
    <row r="4" spans="1:8" ht="18" x14ac:dyDescent="0.35">
      <c r="A4" s="6" t="s">
        <v>20</v>
      </c>
      <c r="B4" s="1">
        <v>10</v>
      </c>
      <c r="C4" s="8" t="s">
        <v>8</v>
      </c>
      <c r="D4" s="9"/>
      <c r="E4" s="9"/>
      <c r="F4" s="9"/>
      <c r="G4" s="9"/>
      <c r="H4" s="10"/>
    </row>
    <row r="5" spans="1:8" ht="18" x14ac:dyDescent="0.35">
      <c r="A5" s="6" t="s">
        <v>17</v>
      </c>
      <c r="B5" s="1" t="e">
        <f>#REF!</f>
        <v>#REF!</v>
      </c>
      <c r="C5" s="8" t="s">
        <v>7</v>
      </c>
      <c r="D5" s="9"/>
      <c r="E5" s="9"/>
      <c r="F5" s="9"/>
      <c r="G5" s="9"/>
      <c r="H5" s="10"/>
    </row>
    <row r="6" spans="1:8" ht="18" x14ac:dyDescent="0.35">
      <c r="A6" s="6" t="s">
        <v>279</v>
      </c>
      <c r="B6" s="2" t="e">
        <f>(B5*10^3)/(SQRT(3)*(B4*10^3))</f>
        <v>#REF!</v>
      </c>
      <c r="C6" s="8" t="s">
        <v>18</v>
      </c>
      <c r="D6" s="9"/>
      <c r="E6" s="9"/>
      <c r="F6" s="9"/>
      <c r="G6" s="9"/>
      <c r="H6" s="10"/>
    </row>
    <row r="7" spans="1:8" ht="18" x14ac:dyDescent="0.35">
      <c r="A7" s="51" t="s">
        <v>280</v>
      </c>
      <c r="B7" s="2" t="e">
        <f>1.5*B6</f>
        <v>#REF!</v>
      </c>
      <c r="C7" s="8" t="s">
        <v>18</v>
      </c>
      <c r="D7" s="9"/>
      <c r="E7" s="9"/>
      <c r="F7" s="9"/>
      <c r="G7" s="9"/>
      <c r="H7" s="10"/>
    </row>
    <row r="10" spans="1:8" x14ac:dyDescent="0.25">
      <c r="A10" s="84" t="s">
        <v>273</v>
      </c>
      <c r="B10" s="85" t="s">
        <v>229</v>
      </c>
      <c r="C10" s="85" t="s">
        <v>255</v>
      </c>
      <c r="D10" s="85"/>
      <c r="E10" s="85"/>
      <c r="F10" s="85"/>
      <c r="G10" s="85"/>
      <c r="H10" s="86"/>
    </row>
    <row r="11" spans="1:8" ht="18" x14ac:dyDescent="0.35">
      <c r="A11" s="6" t="s">
        <v>38</v>
      </c>
      <c r="B11" s="28" t="e">
        <f>L.relæ!B97</f>
        <v>#DIV/0!</v>
      </c>
      <c r="C11" s="8" t="s">
        <v>37</v>
      </c>
      <c r="D11" s="9"/>
      <c r="E11" s="9"/>
      <c r="F11" s="9"/>
      <c r="G11" s="9"/>
      <c r="H11" s="10"/>
    </row>
    <row r="12" spans="1:8" ht="18" x14ac:dyDescent="0.35">
      <c r="A12" s="6" t="s">
        <v>196</v>
      </c>
      <c r="B12" s="2" t="e">
        <f>B11*0.5</f>
        <v>#DIV/0!</v>
      </c>
      <c r="C12" s="8" t="s">
        <v>37</v>
      </c>
      <c r="D12" s="9"/>
      <c r="E12" s="9"/>
      <c r="F12" s="9"/>
      <c r="G12" s="9"/>
      <c r="H12" s="10"/>
    </row>
    <row r="15" spans="1:8" x14ac:dyDescent="0.25">
      <c r="A15" s="84" t="s">
        <v>272</v>
      </c>
      <c r="B15" s="85" t="s">
        <v>229</v>
      </c>
      <c r="C15" s="85" t="str">
        <f>C10</f>
        <v>T201</v>
      </c>
      <c r="D15" s="85"/>
      <c r="E15" s="85"/>
      <c r="F15" s="85"/>
      <c r="G15" s="85"/>
      <c r="H15" s="86"/>
    </row>
    <row r="16" spans="1:8" ht="18" x14ac:dyDescent="0.35">
      <c r="A16" s="26" t="s">
        <v>20</v>
      </c>
      <c r="B16" s="30">
        <v>10</v>
      </c>
      <c r="C16" s="31" t="s">
        <v>8</v>
      </c>
      <c r="D16" s="32"/>
      <c r="E16" s="32"/>
      <c r="F16" s="32"/>
      <c r="G16" s="32"/>
      <c r="H16" s="33"/>
    </row>
    <row r="17" spans="1:10" ht="18" x14ac:dyDescent="0.35">
      <c r="A17" s="6" t="s">
        <v>21</v>
      </c>
      <c r="B17" s="1">
        <v>0.4</v>
      </c>
      <c r="C17" s="8" t="s">
        <v>8</v>
      </c>
      <c r="D17" s="9"/>
      <c r="E17" s="9"/>
      <c r="F17" s="9"/>
      <c r="G17" s="9"/>
      <c r="H17" s="10"/>
    </row>
    <row r="18" spans="1:10" ht="18" x14ac:dyDescent="0.35">
      <c r="A18" s="6" t="s">
        <v>42</v>
      </c>
      <c r="B18" s="1">
        <f>B16/B17</f>
        <v>25</v>
      </c>
      <c r="C18" s="36"/>
      <c r="D18" s="37"/>
      <c r="E18" s="37"/>
      <c r="F18" s="37"/>
      <c r="G18" s="37"/>
      <c r="H18" s="38"/>
    </row>
    <row r="19" spans="1:10" ht="18" x14ac:dyDescent="0.35">
      <c r="A19" s="6" t="s">
        <v>17</v>
      </c>
      <c r="B19" s="1" t="e">
        <f>B5</f>
        <v>#REF!</v>
      </c>
      <c r="C19" s="8" t="s">
        <v>7</v>
      </c>
      <c r="D19" s="9"/>
      <c r="E19" s="9"/>
      <c r="F19" s="9"/>
      <c r="G19" s="9"/>
      <c r="H19" s="10"/>
    </row>
    <row r="20" spans="1:10" ht="18" x14ac:dyDescent="0.35">
      <c r="A20" s="6" t="s">
        <v>279</v>
      </c>
      <c r="B20" s="2" t="e">
        <f>(B19*10^3)/(SQRT(3)*(B16*10^3))</f>
        <v>#REF!</v>
      </c>
      <c r="C20" s="8" t="s">
        <v>18</v>
      </c>
      <c r="D20" s="9"/>
      <c r="E20" s="9"/>
      <c r="F20" s="9"/>
      <c r="G20" s="9"/>
      <c r="H20" s="10"/>
    </row>
    <row r="21" spans="1:10" ht="18" x14ac:dyDescent="0.35">
      <c r="A21" s="58" t="s">
        <v>398</v>
      </c>
      <c r="B21" s="144"/>
      <c r="C21" s="106" t="s">
        <v>5</v>
      </c>
      <c r="D21" s="107"/>
      <c r="E21" s="107"/>
      <c r="F21" s="107"/>
      <c r="G21" s="107"/>
      <c r="H21" s="108"/>
    </row>
    <row r="22" spans="1:10" ht="18" x14ac:dyDescent="0.35">
      <c r="A22" s="6" t="s">
        <v>209</v>
      </c>
      <c r="B22" s="2" t="e">
        <f>(B16*10^3)/(SQRT(3)*B21)</f>
        <v>#DIV/0!</v>
      </c>
      <c r="C22" s="8" t="s">
        <v>18</v>
      </c>
      <c r="D22" s="9"/>
      <c r="E22" s="9"/>
      <c r="F22" s="9"/>
      <c r="G22" s="9"/>
      <c r="H22" s="10"/>
    </row>
    <row r="23" spans="1:10" ht="18" x14ac:dyDescent="0.35">
      <c r="A23" s="6" t="s">
        <v>211</v>
      </c>
      <c r="B23" s="2" t="e">
        <f>(SQRT(3)/2)*B22</f>
        <v>#DIV/0!</v>
      </c>
      <c r="C23" s="8" t="s">
        <v>18</v>
      </c>
      <c r="D23" s="9"/>
      <c r="E23" s="9"/>
      <c r="F23" s="9"/>
      <c r="G23" s="9"/>
      <c r="H23" s="10"/>
    </row>
    <row r="24" spans="1:10" ht="18" x14ac:dyDescent="0.35">
      <c r="A24" s="58" t="s">
        <v>399</v>
      </c>
      <c r="B24" s="145"/>
      <c r="C24" s="106" t="s">
        <v>5</v>
      </c>
      <c r="D24" s="107"/>
      <c r="E24" s="107"/>
      <c r="F24" s="107"/>
      <c r="G24" s="107"/>
      <c r="H24" s="108"/>
    </row>
    <row r="25" spans="1:10" ht="18" x14ac:dyDescent="0.35">
      <c r="A25" s="6" t="s">
        <v>207</v>
      </c>
      <c r="B25" s="2" t="e">
        <f>B17*10^3/(SQRT(3)*B24)</f>
        <v>#DIV/0!</v>
      </c>
      <c r="C25" s="8" t="s">
        <v>18</v>
      </c>
      <c r="D25" s="9"/>
      <c r="E25" s="9"/>
      <c r="F25" s="9"/>
      <c r="G25" s="9"/>
      <c r="H25" s="10"/>
    </row>
    <row r="26" spans="1:10" ht="18" x14ac:dyDescent="0.35">
      <c r="A26" s="6" t="s">
        <v>210</v>
      </c>
      <c r="B26" s="2" t="e">
        <f>(B25/B18)</f>
        <v>#DIV/0!</v>
      </c>
      <c r="C26" s="8" t="s">
        <v>18</v>
      </c>
      <c r="D26" s="9"/>
      <c r="E26" s="9"/>
      <c r="F26" s="9"/>
      <c r="G26" s="9"/>
      <c r="H26" s="10"/>
    </row>
    <row r="27" spans="1:10" ht="18" x14ac:dyDescent="0.35">
      <c r="A27" s="6" t="s">
        <v>161</v>
      </c>
      <c r="B27" s="2" t="e">
        <f>0.75*(B23)</f>
        <v>#DIV/0!</v>
      </c>
      <c r="C27" s="8" t="s">
        <v>18</v>
      </c>
      <c r="D27" s="9"/>
      <c r="E27" s="9"/>
      <c r="F27" s="9"/>
      <c r="G27" s="9"/>
      <c r="H27" s="10"/>
    </row>
    <row r="28" spans="1:10" ht="18" x14ac:dyDescent="0.35">
      <c r="A28" s="6" t="s">
        <v>281</v>
      </c>
      <c r="B28" s="2" t="e">
        <f>12*B20</f>
        <v>#REF!</v>
      </c>
      <c r="C28" s="8" t="s">
        <v>18</v>
      </c>
      <c r="D28" s="9"/>
      <c r="E28" s="9"/>
      <c r="F28" s="9"/>
      <c r="G28" s="9"/>
      <c r="H28" s="10"/>
    </row>
    <row r="29" spans="1:10" x14ac:dyDescent="0.25">
      <c r="A29" s="90" t="s">
        <v>156</v>
      </c>
      <c r="B29" s="91"/>
      <c r="C29" s="91"/>
      <c r="D29" s="91"/>
      <c r="E29" s="91"/>
      <c r="F29" s="91"/>
      <c r="G29" s="91"/>
      <c r="H29" s="92"/>
    </row>
    <row r="30" spans="1:10" ht="18" x14ac:dyDescent="0.35">
      <c r="A30" s="6" t="s">
        <v>162</v>
      </c>
      <c r="B30" s="19" t="e">
        <f>IF(J30=1,"OK","Ikke OK")</f>
        <v>#DIV/0!</v>
      </c>
      <c r="C30" s="8"/>
      <c r="D30" s="9"/>
      <c r="E30" s="9"/>
      <c r="F30" s="9"/>
      <c r="G30" s="9"/>
      <c r="H30" s="10"/>
      <c r="J30" t="e">
        <f>IF(B33&lt;B27,1,0)</f>
        <v>#DIV/0!</v>
      </c>
    </row>
    <row r="31" spans="1:10" ht="18" x14ac:dyDescent="0.35">
      <c r="A31" s="6" t="s">
        <v>282</v>
      </c>
      <c r="B31" s="19" t="e">
        <f>IF(J31=1,"OK","Ikke OK")</f>
        <v>#REF!</v>
      </c>
      <c r="C31" s="8"/>
      <c r="D31" s="9"/>
      <c r="E31" s="9"/>
      <c r="F31" s="9"/>
      <c r="G31" s="9"/>
      <c r="H31" s="10"/>
      <c r="J31" t="e">
        <f>IF(B33&gt;B28,1,0)</f>
        <v>#REF!</v>
      </c>
    </row>
    <row r="32" spans="1:10" ht="18" x14ac:dyDescent="0.35">
      <c r="A32" s="6" t="s">
        <v>163</v>
      </c>
      <c r="B32" s="2" t="e">
        <f>IF(J32=1,"OK","Ikke OK")</f>
        <v>#DIV/0!</v>
      </c>
      <c r="C32" s="8"/>
      <c r="D32" s="9"/>
      <c r="E32" s="9"/>
      <c r="F32" s="9"/>
      <c r="G32" s="9"/>
      <c r="H32" s="10"/>
      <c r="J32" t="e">
        <f>IF(B33&gt;B26,1,0)</f>
        <v>#DIV/0!</v>
      </c>
    </row>
    <row r="33" spans="1:8" x14ac:dyDescent="0.25">
      <c r="A33" s="6" t="s">
        <v>39</v>
      </c>
      <c r="B33" s="1"/>
      <c r="C33" s="8" t="s">
        <v>18</v>
      </c>
      <c r="D33" s="9"/>
      <c r="E33" s="9"/>
      <c r="F33" s="9"/>
      <c r="G33" s="9"/>
      <c r="H33" s="10"/>
    </row>
    <row r="34" spans="1:8" x14ac:dyDescent="0.25">
      <c r="A34" s="6" t="s">
        <v>40</v>
      </c>
      <c r="B34" s="4">
        <v>0.04</v>
      </c>
      <c r="C34" s="8"/>
      <c r="D34" s="9"/>
      <c r="E34" s="9"/>
      <c r="F34" s="9"/>
      <c r="G34" s="9"/>
      <c r="H34" s="10"/>
    </row>
    <row r="37" spans="1:8" x14ac:dyDescent="0.25">
      <c r="A37" s="84" t="s">
        <v>151</v>
      </c>
      <c r="B37" s="85" t="s">
        <v>229</v>
      </c>
      <c r="C37" s="85" t="str">
        <f>C15</f>
        <v>T201</v>
      </c>
      <c r="D37" s="85"/>
      <c r="E37" s="85"/>
      <c r="F37" s="85"/>
      <c r="G37" s="85"/>
      <c r="H37" s="86"/>
    </row>
    <row r="38" spans="1:8" x14ac:dyDescent="0.25">
      <c r="A38" s="6" t="s">
        <v>33</v>
      </c>
      <c r="B38" s="62" t="e">
        <f>B7</f>
        <v>#REF!</v>
      </c>
      <c r="C38" s="8" t="s">
        <v>18</v>
      </c>
      <c r="D38" s="9"/>
      <c r="E38" s="9"/>
      <c r="F38" s="9"/>
      <c r="G38" s="9"/>
      <c r="H38" s="10"/>
    </row>
    <row r="39" spans="1:8" x14ac:dyDescent="0.25">
      <c r="A39" s="6" t="s">
        <v>34</v>
      </c>
      <c r="B39" s="62" t="e">
        <f>B12</f>
        <v>#DIV/0!</v>
      </c>
      <c r="C39" s="8" t="s">
        <v>37</v>
      </c>
      <c r="D39" s="9"/>
      <c r="E39" s="9"/>
      <c r="F39" s="9"/>
      <c r="G39" s="9"/>
      <c r="H39" s="10"/>
    </row>
    <row r="40" spans="1:8" x14ac:dyDescent="0.25">
      <c r="A40" s="6" t="s">
        <v>39</v>
      </c>
      <c r="B40" s="56">
        <f>B33</f>
        <v>0</v>
      </c>
      <c r="C40" s="8" t="s">
        <v>18</v>
      </c>
      <c r="D40" s="9"/>
      <c r="E40" s="9"/>
      <c r="F40" s="9"/>
      <c r="G40" s="9"/>
      <c r="H40" s="10"/>
    </row>
    <row r="41" spans="1:8" x14ac:dyDescent="0.25">
      <c r="A41" s="6" t="s">
        <v>40</v>
      </c>
      <c r="B41" s="62">
        <f>B34</f>
        <v>0.04</v>
      </c>
      <c r="C41" s="8" t="s">
        <v>37</v>
      </c>
      <c r="D41" s="9"/>
      <c r="E41" s="9"/>
      <c r="F41" s="9"/>
      <c r="G41" s="9"/>
      <c r="H41" s="10"/>
    </row>
    <row r="44" spans="1:8" x14ac:dyDescent="0.25">
      <c r="A44" s="84" t="s">
        <v>117</v>
      </c>
      <c r="B44" s="85" t="s">
        <v>229</v>
      </c>
      <c r="C44" s="85" t="str">
        <f>C37</f>
        <v>T201</v>
      </c>
      <c r="D44" s="85"/>
      <c r="E44" s="85"/>
      <c r="F44" s="85"/>
      <c r="G44" s="85"/>
      <c r="H44" s="86"/>
    </row>
    <row r="45" spans="1:8" ht="18" x14ac:dyDescent="0.35">
      <c r="A45" s="6" t="s">
        <v>89</v>
      </c>
      <c r="B45" s="4">
        <f>Trafo.!C33</f>
        <v>0</v>
      </c>
      <c r="C45" s="8" t="s">
        <v>18</v>
      </c>
      <c r="D45" s="9"/>
      <c r="E45" s="9"/>
      <c r="F45" s="9"/>
      <c r="G45" s="9"/>
      <c r="H45" s="10"/>
    </row>
    <row r="46" spans="1:8" x14ac:dyDescent="0.25">
      <c r="A46" s="6" t="s">
        <v>31</v>
      </c>
      <c r="B46" s="82"/>
      <c r="C46" s="66"/>
      <c r="D46" s="66"/>
      <c r="E46" s="66"/>
      <c r="F46" s="66"/>
      <c r="G46" s="66"/>
      <c r="H46" s="61"/>
    </row>
    <row r="49" spans="1:8" x14ac:dyDescent="0.25">
      <c r="A49" s="84" t="s">
        <v>269</v>
      </c>
      <c r="B49" s="85" t="s">
        <v>270</v>
      </c>
      <c r="C49" s="85" t="str">
        <f>C3</f>
        <v>T201</v>
      </c>
      <c r="D49" s="85"/>
      <c r="E49" s="85"/>
      <c r="F49" s="85"/>
      <c r="G49" s="85"/>
      <c r="H49" s="86"/>
    </row>
    <row r="50" spans="1:8" x14ac:dyDescent="0.25">
      <c r="A50" s="6" t="s">
        <v>66</v>
      </c>
      <c r="B50" s="21" t="s">
        <v>336</v>
      </c>
      <c r="C50" s="22"/>
      <c r="D50" s="22"/>
      <c r="E50" s="22"/>
      <c r="F50" s="22"/>
      <c r="G50" s="22"/>
      <c r="H50" s="23"/>
    </row>
    <row r="51" spans="1:8" ht="18" x14ac:dyDescent="0.35">
      <c r="A51" s="6" t="s">
        <v>90</v>
      </c>
      <c r="B51" s="17"/>
      <c r="C51" s="8" t="s">
        <v>18</v>
      </c>
      <c r="D51" s="9"/>
      <c r="E51" s="9"/>
      <c r="F51" s="9"/>
      <c r="G51" s="9"/>
      <c r="H51" s="10"/>
    </row>
    <row r="52" spans="1:8" ht="18" x14ac:dyDescent="0.35">
      <c r="A52" s="6" t="s">
        <v>84</v>
      </c>
      <c r="B52" s="17"/>
      <c r="C52" s="8" t="s">
        <v>82</v>
      </c>
      <c r="D52" s="9"/>
      <c r="E52" s="9"/>
      <c r="F52" s="9"/>
      <c r="G52" s="9"/>
      <c r="H52" s="10"/>
    </row>
    <row r="53" spans="1:8" ht="18" x14ac:dyDescent="0.35">
      <c r="A53" s="6" t="s">
        <v>85</v>
      </c>
      <c r="B53" s="17"/>
      <c r="C53" s="8" t="s">
        <v>82</v>
      </c>
      <c r="D53" s="9"/>
      <c r="E53" s="9"/>
      <c r="F53" s="9"/>
      <c r="G53" s="9"/>
      <c r="H53" s="10"/>
    </row>
    <row r="54" spans="1:8" ht="18" x14ac:dyDescent="0.35">
      <c r="A54" s="6" t="s">
        <v>89</v>
      </c>
      <c r="B54" s="28"/>
      <c r="C54" s="8" t="s">
        <v>18</v>
      </c>
      <c r="D54" s="9"/>
      <c r="E54" s="9"/>
      <c r="F54" s="9"/>
      <c r="G54" s="9"/>
      <c r="H54" s="10"/>
    </row>
    <row r="55" spans="1:8" x14ac:dyDescent="0.25">
      <c r="A55" s="6" t="s">
        <v>39</v>
      </c>
      <c r="B55" s="29"/>
      <c r="C55" s="8" t="s">
        <v>18</v>
      </c>
      <c r="D55" s="9"/>
      <c r="E55" s="9"/>
      <c r="F55" s="9"/>
      <c r="G55" s="9"/>
      <c r="H55" s="10"/>
    </row>
    <row r="56" spans="1:8" ht="18" x14ac:dyDescent="0.35">
      <c r="A56" s="6" t="s">
        <v>91</v>
      </c>
      <c r="B56" s="17">
        <v>1</v>
      </c>
      <c r="C56" s="8"/>
      <c r="D56" s="9"/>
      <c r="E56" s="9"/>
      <c r="F56" s="9"/>
      <c r="G56" s="9"/>
      <c r="H56" s="10"/>
    </row>
    <row r="57" spans="1:8" ht="18" x14ac:dyDescent="0.35">
      <c r="A57" s="6" t="s">
        <v>92</v>
      </c>
      <c r="B57" s="17">
        <v>1</v>
      </c>
      <c r="C57" s="8"/>
      <c r="D57" s="9"/>
      <c r="E57" s="9"/>
      <c r="F57" s="9"/>
      <c r="G57" s="9"/>
      <c r="H57" s="10"/>
    </row>
    <row r="58" spans="1:8" ht="18" x14ac:dyDescent="0.35">
      <c r="A58" s="6" t="s">
        <v>20</v>
      </c>
      <c r="B58" s="67">
        <v>10</v>
      </c>
      <c r="C58" s="8" t="s">
        <v>8</v>
      </c>
      <c r="D58" s="9"/>
      <c r="E58" s="9"/>
      <c r="F58" s="9"/>
      <c r="G58" s="9"/>
      <c r="H58" s="10"/>
    </row>
    <row r="59" spans="1:8" ht="18" x14ac:dyDescent="0.35">
      <c r="A59" s="6" t="s">
        <v>21</v>
      </c>
      <c r="B59" s="67">
        <v>0.4</v>
      </c>
      <c r="C59" s="8" t="s">
        <v>8</v>
      </c>
      <c r="D59" s="9"/>
      <c r="E59" s="9"/>
      <c r="F59" s="9"/>
      <c r="G59" s="9"/>
      <c r="H59" s="10"/>
    </row>
    <row r="60" spans="1:8" ht="18" x14ac:dyDescent="0.35">
      <c r="A60" s="6" t="s">
        <v>42</v>
      </c>
      <c r="B60" s="3">
        <f>B58/B59</f>
        <v>25</v>
      </c>
      <c r="C60" s="8"/>
      <c r="D60" s="9"/>
      <c r="E60" s="9"/>
      <c r="F60" s="9"/>
      <c r="G60" s="9"/>
      <c r="H60" s="10"/>
    </row>
    <row r="61" spans="1:8" ht="18" x14ac:dyDescent="0.35">
      <c r="A61" s="58" t="s">
        <v>400</v>
      </c>
      <c r="B61" s="144"/>
      <c r="C61" s="106" t="s">
        <v>5</v>
      </c>
      <c r="D61" s="107"/>
      <c r="E61" s="107"/>
      <c r="F61" s="107"/>
      <c r="G61" s="107"/>
      <c r="H61" s="108"/>
    </row>
    <row r="62" spans="1:8" ht="18" x14ac:dyDescent="0.35">
      <c r="A62" s="26" t="s">
        <v>401</v>
      </c>
      <c r="B62" s="2" t="e">
        <f>(B58*10^3)/(SQRT(3)*B61)</f>
        <v>#DIV/0!</v>
      </c>
      <c r="C62" s="131" t="s">
        <v>18</v>
      </c>
      <c r="D62" s="123"/>
      <c r="E62" s="123"/>
      <c r="F62" s="123"/>
      <c r="G62" s="123"/>
      <c r="H62" s="124"/>
    </row>
    <row r="63" spans="1:8" ht="18" x14ac:dyDescent="0.35">
      <c r="A63" s="26" t="s">
        <v>276</v>
      </c>
      <c r="B63" s="2" t="e">
        <f>(SQRT(3)/2)*B62</f>
        <v>#DIV/0!</v>
      </c>
      <c r="C63" s="8" t="s">
        <v>18</v>
      </c>
      <c r="D63" s="9"/>
      <c r="E63" s="9"/>
      <c r="F63" s="9"/>
      <c r="G63" s="9"/>
      <c r="H63" s="10"/>
    </row>
    <row r="64" spans="1:8" ht="18" x14ac:dyDescent="0.35">
      <c r="A64" s="6" t="s">
        <v>36</v>
      </c>
      <c r="B64" s="139">
        <f>L.relæ!B100</f>
        <v>0.04</v>
      </c>
      <c r="C64" s="31" t="s">
        <v>37</v>
      </c>
      <c r="D64" s="32"/>
      <c r="E64" s="32"/>
      <c r="F64" s="32"/>
      <c r="G64" s="32"/>
      <c r="H64" s="33"/>
    </row>
    <row r="65" spans="1:11" x14ac:dyDescent="0.25">
      <c r="A65" s="6" t="s">
        <v>40</v>
      </c>
      <c r="B65" s="28">
        <f>B41</f>
        <v>0.04</v>
      </c>
      <c r="C65" s="8" t="s">
        <v>37</v>
      </c>
      <c r="D65" s="9"/>
      <c r="E65" s="9"/>
      <c r="F65" s="9"/>
      <c r="G65" s="9"/>
      <c r="H65" s="10"/>
    </row>
    <row r="66" spans="1:11" x14ac:dyDescent="0.25">
      <c r="A66" s="84" t="s">
        <v>86</v>
      </c>
      <c r="B66" s="85"/>
      <c r="C66" s="85"/>
      <c r="D66" s="85"/>
      <c r="E66" s="85"/>
      <c r="F66" s="85"/>
      <c r="G66" s="85"/>
      <c r="H66" s="86"/>
    </row>
    <row r="67" spans="1:11" ht="18" x14ac:dyDescent="0.35">
      <c r="A67" s="6" t="s">
        <v>94</v>
      </c>
      <c r="B67" s="20">
        <f>B51*B56*B57</f>
        <v>0</v>
      </c>
      <c r="C67" s="8" t="s">
        <v>18</v>
      </c>
      <c r="D67" s="9"/>
      <c r="E67" s="9"/>
      <c r="F67" s="9"/>
      <c r="G67" s="9"/>
      <c r="H67" s="10"/>
    </row>
    <row r="68" spans="1:11" ht="18" x14ac:dyDescent="0.35">
      <c r="A68" s="6" t="s">
        <v>275</v>
      </c>
      <c r="B68" s="56" t="str">
        <f>IF(J68+K68=2,"OK","Ikke OK")</f>
        <v>OK</v>
      </c>
      <c r="C68" s="8"/>
      <c r="D68" s="9"/>
      <c r="E68" s="9"/>
      <c r="F68" s="9"/>
      <c r="G68" s="9"/>
      <c r="H68" s="10"/>
      <c r="J68">
        <f>IF(B55&lt;=B54,1,0)</f>
        <v>1</v>
      </c>
      <c r="K68">
        <f>IF(B55&lt;=B67,1,0)</f>
        <v>1</v>
      </c>
    </row>
    <row r="69" spans="1:11" x14ac:dyDescent="0.25">
      <c r="A69" s="84" t="s">
        <v>87</v>
      </c>
      <c r="B69" s="85"/>
      <c r="C69" s="85"/>
      <c r="D69" s="85"/>
      <c r="E69" s="85"/>
      <c r="F69" s="85"/>
      <c r="G69" s="85"/>
      <c r="H69" s="86"/>
    </row>
    <row r="70" spans="1:11" ht="18" x14ac:dyDescent="0.35">
      <c r="A70" s="6" t="s">
        <v>277</v>
      </c>
      <c r="B70" s="3" t="e">
        <f>B62*SQRT(B65+B64)*10^-3</f>
        <v>#DIV/0!</v>
      </c>
      <c r="C70" s="8" t="s">
        <v>82</v>
      </c>
      <c r="D70" s="9"/>
      <c r="E70" s="9"/>
      <c r="F70" s="9"/>
      <c r="G70" s="9"/>
      <c r="H70" s="10"/>
    </row>
    <row r="71" spans="1:11" ht="18" x14ac:dyDescent="0.35">
      <c r="A71" s="6" t="s">
        <v>285</v>
      </c>
      <c r="B71" s="56" t="e">
        <f>IF(B51&gt;=B70,"OK","Ikke OK")</f>
        <v>#DIV/0!</v>
      </c>
      <c r="C71" s="8"/>
      <c r="D71" s="9"/>
      <c r="E71" s="9"/>
      <c r="F71" s="9"/>
      <c r="G71" s="9"/>
      <c r="H71" s="10"/>
    </row>
    <row r="72" spans="1:11" x14ac:dyDescent="0.25">
      <c r="A72" s="84" t="s">
        <v>88</v>
      </c>
      <c r="B72" s="85"/>
      <c r="C72" s="85"/>
      <c r="D72" s="85"/>
      <c r="E72" s="85"/>
      <c r="F72" s="85"/>
      <c r="G72" s="85"/>
      <c r="H72" s="86"/>
    </row>
    <row r="73" spans="1:11" ht="18" x14ac:dyDescent="0.35">
      <c r="A73" s="6" t="s">
        <v>278</v>
      </c>
      <c r="B73" s="3" t="e">
        <f>B63*SQRT(B65+B64)*10^-3</f>
        <v>#DIV/0!</v>
      </c>
      <c r="C73" s="8" t="s">
        <v>82</v>
      </c>
      <c r="D73" s="9"/>
      <c r="E73" s="9"/>
      <c r="F73" s="9"/>
      <c r="G73" s="9"/>
      <c r="H73" s="10"/>
    </row>
    <row r="74" spans="1:11" ht="18" x14ac:dyDescent="0.35">
      <c r="A74" s="6" t="s">
        <v>286</v>
      </c>
      <c r="B74" s="56" t="e">
        <f>IF(B52&gt;=B73,"OK","Ikke OK")</f>
        <v>#DIV/0!</v>
      </c>
      <c r="C74" s="8"/>
      <c r="D74" s="9"/>
      <c r="E74" s="9"/>
      <c r="F74" s="9"/>
      <c r="G74" s="9"/>
      <c r="H74" s="10"/>
    </row>
    <row r="77" spans="1:11" x14ac:dyDescent="0.25">
      <c r="A77" s="84" t="s">
        <v>58</v>
      </c>
      <c r="B77" s="85" t="s">
        <v>258</v>
      </c>
      <c r="C77" s="85" t="str">
        <f>C49</f>
        <v>T201</v>
      </c>
      <c r="D77" s="85"/>
      <c r="E77" s="85"/>
      <c r="F77" s="85"/>
      <c r="G77" s="85"/>
      <c r="H77" s="86"/>
    </row>
    <row r="78" spans="1:11" ht="18" x14ac:dyDescent="0.35">
      <c r="A78" s="6" t="s">
        <v>20</v>
      </c>
      <c r="B78" s="67">
        <v>10</v>
      </c>
      <c r="C78" s="8" t="s">
        <v>8</v>
      </c>
      <c r="D78" s="9"/>
      <c r="E78" s="9"/>
      <c r="F78" s="9"/>
      <c r="G78" s="9"/>
      <c r="H78" s="10"/>
    </row>
    <row r="79" spans="1:11" ht="18" x14ac:dyDescent="0.35">
      <c r="A79" s="6" t="s">
        <v>21</v>
      </c>
      <c r="B79" s="67">
        <v>0.4</v>
      </c>
      <c r="C79" s="8" t="s">
        <v>8</v>
      </c>
      <c r="D79" s="9"/>
      <c r="E79" s="9"/>
      <c r="F79" s="9"/>
      <c r="G79" s="9"/>
      <c r="H79" s="10"/>
    </row>
    <row r="80" spans="1:11" ht="18" x14ac:dyDescent="0.35">
      <c r="A80" s="6" t="s">
        <v>42</v>
      </c>
      <c r="B80" s="3">
        <f>B78/B79</f>
        <v>25</v>
      </c>
      <c r="C80" s="8"/>
      <c r="D80" s="9"/>
      <c r="E80" s="9"/>
      <c r="F80" s="9"/>
      <c r="G80" s="9"/>
      <c r="H80" s="10"/>
    </row>
    <row r="81" spans="1:8" ht="18" x14ac:dyDescent="0.35">
      <c r="A81" s="6" t="s">
        <v>402</v>
      </c>
      <c r="B81" s="132"/>
      <c r="C81" s="106" t="s">
        <v>5</v>
      </c>
      <c r="D81" s="9"/>
      <c r="E81" s="9"/>
      <c r="F81" s="9"/>
      <c r="G81" s="9"/>
      <c r="H81" s="10"/>
    </row>
    <row r="82" spans="1:8" ht="18" x14ac:dyDescent="0.35">
      <c r="A82" s="58" t="s">
        <v>403</v>
      </c>
      <c r="B82" s="3">
        <f>(B78*10^3)/2*B81</f>
        <v>0</v>
      </c>
      <c r="C82" s="8" t="s">
        <v>18</v>
      </c>
      <c r="D82" s="9"/>
      <c r="E82" s="9"/>
      <c r="F82" s="9"/>
      <c r="G82" s="9"/>
      <c r="H82" s="10"/>
    </row>
    <row r="83" spans="1:8" ht="18" x14ac:dyDescent="0.35">
      <c r="A83" s="6" t="s">
        <v>404</v>
      </c>
      <c r="B83" s="132"/>
      <c r="C83" s="24" t="s">
        <v>5</v>
      </c>
      <c r="D83" s="9"/>
      <c r="E83" s="9"/>
      <c r="F83" s="9"/>
      <c r="G83" s="9"/>
      <c r="H83" s="10"/>
    </row>
    <row r="84" spans="1:8" ht="18" x14ac:dyDescent="0.35">
      <c r="A84" s="26" t="s">
        <v>405</v>
      </c>
      <c r="B84" s="3" t="e">
        <f>(B78*10^3)/(SQRT(3)*B83)</f>
        <v>#DIV/0!</v>
      </c>
      <c r="C84" s="131" t="s">
        <v>18</v>
      </c>
      <c r="D84" s="123"/>
      <c r="E84" s="123"/>
      <c r="F84" s="123"/>
      <c r="G84" s="123"/>
      <c r="H84" s="124"/>
    </row>
    <row r="85" spans="1:8" ht="18" x14ac:dyDescent="0.35">
      <c r="A85" s="26" t="s">
        <v>263</v>
      </c>
      <c r="B85" s="3" t="e">
        <f>B84*B80</f>
        <v>#DIV/0!</v>
      </c>
      <c r="C85" s="31" t="s">
        <v>18</v>
      </c>
      <c r="D85" s="32"/>
      <c r="E85" s="32"/>
      <c r="F85" s="32"/>
      <c r="G85" s="32"/>
      <c r="H85" s="33"/>
    </row>
    <row r="86" spans="1:8" ht="18" x14ac:dyDescent="0.35">
      <c r="A86" s="26" t="s">
        <v>259</v>
      </c>
      <c r="B86" s="3" t="e">
        <f>B85/(SQRT(3)*B80)</f>
        <v>#DIV/0!</v>
      </c>
      <c r="C86" s="49" t="s">
        <v>18</v>
      </c>
      <c r="D86" s="53"/>
      <c r="E86" s="53"/>
      <c r="F86" s="53"/>
      <c r="G86" s="53"/>
      <c r="H86" s="50"/>
    </row>
    <row r="87" spans="1:8" ht="18" x14ac:dyDescent="0.35">
      <c r="A87" s="58" t="s">
        <v>409</v>
      </c>
      <c r="B87" s="135" t="e">
        <f>L.relæ!B99</f>
        <v>#DIV/0!</v>
      </c>
      <c r="C87" s="8" t="s">
        <v>37</v>
      </c>
      <c r="D87" s="9"/>
      <c r="E87" s="9"/>
      <c r="F87" s="9"/>
      <c r="G87" s="9"/>
      <c r="H87" s="10"/>
    </row>
    <row r="88" spans="1:8" ht="18" x14ac:dyDescent="0.35">
      <c r="A88" s="58" t="s">
        <v>62</v>
      </c>
      <c r="B88" s="136">
        <f>L.relæ!B100</f>
        <v>0.04</v>
      </c>
      <c r="C88" s="8" t="s">
        <v>37</v>
      </c>
      <c r="D88" s="9"/>
      <c r="E88" s="9"/>
      <c r="F88" s="9"/>
      <c r="G88" s="9"/>
      <c r="H88" s="10"/>
    </row>
    <row r="89" spans="1:8" x14ac:dyDescent="0.25">
      <c r="A89" s="58" t="s">
        <v>34</v>
      </c>
      <c r="B89" s="136" t="e">
        <f>B39</f>
        <v>#DIV/0!</v>
      </c>
      <c r="C89" s="8"/>
      <c r="D89" s="9"/>
      <c r="E89" s="9"/>
      <c r="F89" s="9"/>
      <c r="G89" s="9"/>
      <c r="H89" s="10"/>
    </row>
    <row r="90" spans="1:8" ht="17.25" x14ac:dyDescent="0.25">
      <c r="A90" s="58" t="s">
        <v>51</v>
      </c>
      <c r="B90" s="129"/>
      <c r="C90" s="8" t="s">
        <v>54</v>
      </c>
      <c r="D90" s="9"/>
      <c r="E90" s="9"/>
      <c r="F90" s="9"/>
      <c r="G90" s="9"/>
      <c r="H90" s="10"/>
    </row>
    <row r="91" spans="1:8" ht="18" x14ac:dyDescent="0.35">
      <c r="A91" s="58" t="s">
        <v>63</v>
      </c>
      <c r="B91" s="129"/>
      <c r="C91" s="24" t="s">
        <v>55</v>
      </c>
      <c r="D91" s="9"/>
      <c r="E91" s="9"/>
      <c r="F91" s="9"/>
      <c r="G91" s="9"/>
      <c r="H91" s="10"/>
    </row>
    <row r="92" spans="1:8" ht="18" x14ac:dyDescent="0.35">
      <c r="A92" s="58" t="s">
        <v>64</v>
      </c>
      <c r="B92" s="129"/>
      <c r="C92" s="24" t="s">
        <v>55</v>
      </c>
      <c r="D92" s="9"/>
      <c r="E92" s="9"/>
      <c r="F92" s="9"/>
      <c r="G92" s="9"/>
      <c r="H92" s="10"/>
    </row>
    <row r="93" spans="1:8" x14ac:dyDescent="0.25">
      <c r="A93" s="58" t="s">
        <v>52</v>
      </c>
      <c r="B93" s="129"/>
      <c r="C93" s="24" t="s">
        <v>55</v>
      </c>
      <c r="D93" s="9"/>
      <c r="E93" s="9"/>
      <c r="F93" s="9"/>
      <c r="G93" s="9"/>
      <c r="H93" s="10"/>
    </row>
    <row r="94" spans="1:8" x14ac:dyDescent="0.25">
      <c r="A94" s="90" t="s">
        <v>60</v>
      </c>
      <c r="B94" s="91"/>
      <c r="C94" s="91"/>
      <c r="D94" s="91"/>
      <c r="E94" s="91"/>
      <c r="F94" s="91"/>
      <c r="G94" s="91"/>
      <c r="H94" s="92"/>
    </row>
    <row r="95" spans="1:8" x14ac:dyDescent="0.25">
      <c r="A95" s="35"/>
      <c r="B95" s="54"/>
      <c r="C95" s="36"/>
      <c r="D95" s="37"/>
      <c r="E95" s="37"/>
      <c r="F95" s="37"/>
      <c r="G95" s="37"/>
      <c r="H95" s="38"/>
    </row>
    <row r="96" spans="1:8" x14ac:dyDescent="0.25">
      <c r="A96" s="35"/>
      <c r="B96" s="55"/>
      <c r="C96" s="49"/>
      <c r="D96" s="53"/>
      <c r="E96" s="53"/>
      <c r="F96" s="53"/>
      <c r="G96" s="53"/>
      <c r="H96" s="50"/>
    </row>
    <row r="97" spans="1:8" ht="17.25" x14ac:dyDescent="0.25">
      <c r="A97" s="26"/>
      <c r="B97" s="64" t="e">
        <f>(B82/B90)*(SQRT((B87+B88)/LN((B92+B93)/(B91+B93))))</f>
        <v>#DIV/0!</v>
      </c>
      <c r="C97" s="31" t="s">
        <v>53</v>
      </c>
      <c r="D97" s="32"/>
      <c r="E97" s="32"/>
      <c r="F97" s="32"/>
      <c r="G97" s="32"/>
      <c r="H97" s="33"/>
    </row>
    <row r="98" spans="1:8" x14ac:dyDescent="0.25">
      <c r="A98" s="13"/>
      <c r="B98" s="119"/>
      <c r="C98" s="36"/>
      <c r="D98" s="37"/>
      <c r="E98" s="37"/>
      <c r="F98" s="37"/>
      <c r="G98" s="37"/>
      <c r="H98" s="38"/>
    </row>
    <row r="99" spans="1:8" x14ac:dyDescent="0.25">
      <c r="A99" s="35"/>
      <c r="B99" s="137"/>
      <c r="C99" s="49"/>
      <c r="D99" s="53"/>
      <c r="E99" s="53"/>
      <c r="F99" s="53"/>
      <c r="G99" s="53"/>
      <c r="H99" s="50"/>
    </row>
    <row r="100" spans="1:8" ht="17.25" x14ac:dyDescent="0.25">
      <c r="A100" s="26"/>
      <c r="B100" s="83"/>
      <c r="C100" s="31" t="s">
        <v>53</v>
      </c>
      <c r="D100" s="32"/>
      <c r="E100" s="32"/>
      <c r="F100" s="32"/>
      <c r="G100" s="32"/>
      <c r="H100" s="33"/>
    </row>
    <row r="101" spans="1:8" x14ac:dyDescent="0.25">
      <c r="A101" s="90" t="s">
        <v>57</v>
      </c>
      <c r="B101" s="91"/>
      <c r="C101" s="91"/>
      <c r="D101" s="91"/>
      <c r="E101" s="91"/>
      <c r="F101" s="91"/>
      <c r="G101" s="91"/>
      <c r="H101" s="92"/>
    </row>
    <row r="102" spans="1:8" x14ac:dyDescent="0.25">
      <c r="A102" s="35"/>
      <c r="B102" s="54"/>
      <c r="C102" s="36"/>
      <c r="D102" s="37"/>
      <c r="E102" s="37"/>
      <c r="F102" s="37"/>
      <c r="G102" s="37"/>
      <c r="H102" s="38"/>
    </row>
    <row r="103" spans="1:8" x14ac:dyDescent="0.25">
      <c r="A103" s="35"/>
      <c r="B103" s="55"/>
      <c r="C103" s="49"/>
      <c r="D103" s="53"/>
      <c r="E103" s="53"/>
      <c r="F103" s="53"/>
      <c r="G103" s="53"/>
      <c r="H103" s="50"/>
    </row>
    <row r="104" spans="1:8" ht="17.25" x14ac:dyDescent="0.25">
      <c r="A104" s="26"/>
      <c r="B104" s="63" t="e">
        <f>(B85/B90)*(SQRT((B89+B88)/LN((B92+B93)/(B91+B93))))</f>
        <v>#DIV/0!</v>
      </c>
      <c r="C104" s="31" t="s">
        <v>53</v>
      </c>
      <c r="D104" s="32"/>
      <c r="E104" s="32"/>
      <c r="F104" s="32"/>
      <c r="G104" s="32"/>
      <c r="H104" s="33"/>
    </row>
    <row r="105" spans="1:8" x14ac:dyDescent="0.25">
      <c r="A105" s="13"/>
      <c r="B105" s="119"/>
      <c r="C105" s="36"/>
      <c r="D105" s="37"/>
      <c r="E105" s="37"/>
      <c r="F105" s="37"/>
      <c r="G105" s="37"/>
      <c r="H105" s="38"/>
    </row>
    <row r="106" spans="1:8" x14ac:dyDescent="0.25">
      <c r="A106" s="35"/>
      <c r="B106" s="137"/>
      <c r="C106" s="49"/>
      <c r="D106" s="53"/>
      <c r="E106" s="53"/>
      <c r="F106" s="53"/>
      <c r="G106" s="53"/>
      <c r="H106" s="50"/>
    </row>
    <row r="107" spans="1:8" ht="17.25" x14ac:dyDescent="0.25">
      <c r="A107" s="26"/>
      <c r="B107" s="83"/>
      <c r="C107" s="31" t="s">
        <v>53</v>
      </c>
      <c r="D107" s="32"/>
      <c r="E107" s="32"/>
      <c r="F107" s="32"/>
      <c r="G107" s="32"/>
      <c r="H107" s="33"/>
    </row>
    <row r="110" spans="1:8" x14ac:dyDescent="0.25">
      <c r="A110" s="84" t="s">
        <v>213</v>
      </c>
      <c r="B110" s="85"/>
      <c r="C110" s="85"/>
      <c r="D110" s="85"/>
      <c r="E110" s="85"/>
      <c r="F110" s="85"/>
      <c r="G110" s="85"/>
      <c r="H110" s="86"/>
    </row>
    <row r="111" spans="1:8" ht="18" x14ac:dyDescent="0.35">
      <c r="A111" s="6" t="s">
        <v>212</v>
      </c>
      <c r="B111" s="1"/>
      <c r="C111" s="8" t="s">
        <v>18</v>
      </c>
      <c r="D111" s="9"/>
      <c r="E111" s="9"/>
      <c r="F111" s="9"/>
      <c r="G111" s="9"/>
      <c r="H111" s="10"/>
    </row>
    <row r="112" spans="1:8" x14ac:dyDescent="0.25">
      <c r="A112" s="6" t="s">
        <v>283</v>
      </c>
      <c r="B112" s="1"/>
      <c r="C112" s="8"/>
      <c r="D112" s="9"/>
      <c r="E112" s="9"/>
      <c r="F112" s="9"/>
      <c r="G112" s="9"/>
      <c r="H112" s="10"/>
    </row>
    <row r="113" spans="1:12" ht="18" x14ac:dyDescent="0.35">
      <c r="A113" s="6" t="s">
        <v>179</v>
      </c>
      <c r="B113" s="1">
        <f>K113+L113</f>
        <v>80</v>
      </c>
      <c r="C113" s="8" t="s">
        <v>72</v>
      </c>
      <c r="D113" s="9"/>
      <c r="E113" s="9"/>
      <c r="F113" s="9"/>
      <c r="G113" s="9"/>
      <c r="H113" s="10"/>
      <c r="J113">
        <f>IF(B112="TT",1,0)</f>
        <v>0</v>
      </c>
      <c r="K113">
        <f>IF(J113=0,80,0)</f>
        <v>80</v>
      </c>
      <c r="L113">
        <f>IF(J113=1,250,0)</f>
        <v>0</v>
      </c>
    </row>
    <row r="114" spans="1:12" ht="18" x14ac:dyDescent="0.35">
      <c r="A114" s="7" t="s">
        <v>73</v>
      </c>
      <c r="B114" s="56" t="e">
        <f>B113/B111</f>
        <v>#DIV/0!</v>
      </c>
      <c r="C114" s="24" t="s">
        <v>71</v>
      </c>
      <c r="D114" s="9"/>
      <c r="E114" s="9"/>
      <c r="F114" s="9"/>
      <c r="G114" s="9"/>
      <c r="H114" s="10"/>
    </row>
    <row r="150" spans="10:10" x14ac:dyDescent="0.25">
      <c r="J150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95"/>
  <sheetViews>
    <sheetView topLeftCell="A59" workbookViewId="0">
      <selection activeCell="A66" sqref="A66"/>
    </sheetView>
  </sheetViews>
  <sheetFormatPr defaultRowHeight="15" x14ac:dyDescent="0.25"/>
  <cols>
    <col min="1" max="1" width="27.85546875" customWidth="1"/>
    <col min="2" max="2" width="12.28515625" bestFit="1" customWidth="1"/>
    <col min="3" max="3" width="7.28515625" customWidth="1"/>
    <col min="4" max="4" width="5.7109375" customWidth="1"/>
    <col min="5" max="5" width="12" customWidth="1"/>
    <col min="6" max="6" width="8.5703125" customWidth="1"/>
    <col min="7" max="7" width="12" customWidth="1"/>
    <col min="8" max="8" width="1.7109375" customWidth="1"/>
    <col min="10" max="10" width="12" bestFit="1" customWidth="1"/>
  </cols>
  <sheetData>
    <row r="3" spans="1:10" x14ac:dyDescent="0.25">
      <c r="A3" s="84" t="s">
        <v>41</v>
      </c>
      <c r="B3" s="85" t="s">
        <v>229</v>
      </c>
      <c r="C3" s="85" t="s">
        <v>255</v>
      </c>
      <c r="D3" s="85"/>
      <c r="E3" s="85"/>
      <c r="F3" s="85"/>
      <c r="G3" s="85"/>
      <c r="H3" s="86"/>
    </row>
    <row r="4" spans="1:10" ht="16.149999999999999" customHeight="1" x14ac:dyDescent="0.35">
      <c r="A4" s="26" t="s">
        <v>17</v>
      </c>
      <c r="B4" s="67" t="e">
        <f>#REF!</f>
        <v>#REF!</v>
      </c>
      <c r="C4" s="8" t="s">
        <v>7</v>
      </c>
      <c r="D4" s="9"/>
      <c r="E4" s="9"/>
      <c r="F4" s="9"/>
      <c r="G4" s="9"/>
      <c r="H4" s="10"/>
    </row>
    <row r="5" spans="1:10" ht="16.149999999999999" customHeight="1" x14ac:dyDescent="0.35">
      <c r="A5" s="6" t="s">
        <v>20</v>
      </c>
      <c r="B5" s="67">
        <v>10</v>
      </c>
      <c r="C5" s="8" t="s">
        <v>8</v>
      </c>
      <c r="D5" s="9"/>
      <c r="E5" s="9"/>
      <c r="F5" s="9"/>
      <c r="G5" s="9"/>
      <c r="H5" s="10"/>
    </row>
    <row r="6" spans="1:10" ht="16.149999999999999" customHeight="1" x14ac:dyDescent="0.35">
      <c r="A6" s="6" t="s">
        <v>21</v>
      </c>
      <c r="B6" s="67">
        <v>0.4</v>
      </c>
      <c r="C6" s="8" t="s">
        <v>8</v>
      </c>
      <c r="D6" s="9"/>
      <c r="E6" s="9"/>
      <c r="F6" s="9"/>
      <c r="G6" s="9"/>
      <c r="H6" s="10"/>
    </row>
    <row r="7" spans="1:10" ht="16.149999999999999" customHeight="1" x14ac:dyDescent="0.35">
      <c r="A7" s="6" t="s">
        <v>42</v>
      </c>
      <c r="B7" s="3">
        <f>B5/B6</f>
        <v>25</v>
      </c>
      <c r="C7" s="8"/>
      <c r="D7" s="9"/>
      <c r="E7" s="9"/>
      <c r="F7" s="9"/>
      <c r="G7" s="9"/>
      <c r="H7" s="10"/>
    </row>
    <row r="8" spans="1:10" ht="16.149999999999999" customHeight="1" x14ac:dyDescent="0.35">
      <c r="A8" s="6" t="s">
        <v>299</v>
      </c>
      <c r="B8" s="3" t="e">
        <f>(B4*10^3)/(SQRT(3)*(B5*10^3))</f>
        <v>#REF!</v>
      </c>
      <c r="C8" s="8" t="s">
        <v>18</v>
      </c>
      <c r="D8" s="9"/>
      <c r="E8" s="9"/>
      <c r="F8" s="9"/>
      <c r="G8" s="9"/>
      <c r="H8" s="10"/>
    </row>
    <row r="9" spans="1:10" ht="16.149999999999999" customHeight="1" x14ac:dyDescent="0.25">
      <c r="A9" s="6" t="s">
        <v>43</v>
      </c>
      <c r="B9" s="67">
        <v>20</v>
      </c>
      <c r="C9" s="8" t="s">
        <v>23</v>
      </c>
      <c r="D9" s="9"/>
      <c r="E9" s="9"/>
      <c r="F9" s="9"/>
      <c r="G9" s="9"/>
      <c r="H9" s="10"/>
    </row>
    <row r="10" spans="1:10" ht="16.149999999999999" customHeight="1" x14ac:dyDescent="0.35">
      <c r="A10" s="6" t="s">
        <v>300</v>
      </c>
      <c r="B10" s="3" t="e">
        <f>1.2*B8</f>
        <v>#REF!</v>
      </c>
      <c r="C10" s="35" t="s">
        <v>18</v>
      </c>
      <c r="D10" s="49" t="s">
        <v>45</v>
      </c>
      <c r="E10" s="50"/>
      <c r="F10" s="52"/>
      <c r="G10" s="8" t="s">
        <v>18</v>
      </c>
      <c r="H10" s="10"/>
    </row>
    <row r="11" spans="1:10" ht="16.149999999999999" customHeight="1" x14ac:dyDescent="0.35">
      <c r="A11" s="6" t="s">
        <v>301</v>
      </c>
      <c r="B11" s="3" t="e">
        <f>12*B8</f>
        <v>#REF!</v>
      </c>
      <c r="C11" s="8" t="s">
        <v>18</v>
      </c>
      <c r="D11" s="9"/>
      <c r="E11" s="9"/>
      <c r="F11" s="9"/>
      <c r="G11" s="9"/>
      <c r="H11" s="10"/>
    </row>
    <row r="12" spans="1:10" ht="16.149999999999999" customHeight="1" x14ac:dyDescent="0.35">
      <c r="A12" s="6" t="s">
        <v>47</v>
      </c>
      <c r="B12" s="17"/>
      <c r="C12" s="8" t="s">
        <v>37</v>
      </c>
      <c r="D12" s="9"/>
      <c r="E12" s="9"/>
      <c r="F12" s="9"/>
      <c r="G12" s="9"/>
      <c r="H12" s="10"/>
      <c r="J12" t="s">
        <v>49</v>
      </c>
    </row>
    <row r="13" spans="1:10" ht="16.149999999999999" customHeight="1" x14ac:dyDescent="0.25">
      <c r="A13" s="6" t="s">
        <v>48</v>
      </c>
      <c r="B13" s="19" t="str">
        <f>IF(B12&gt;0.1,"Ok","Ikke OK")</f>
        <v>Ikke OK</v>
      </c>
      <c r="C13" s="8"/>
      <c r="D13" s="9"/>
      <c r="E13" s="9"/>
      <c r="F13" s="9"/>
      <c r="G13" s="9"/>
      <c r="H13" s="10"/>
    </row>
    <row r="14" spans="1:10" ht="16.149999999999999" customHeight="1" x14ac:dyDescent="0.25">
      <c r="A14" s="8" t="s">
        <v>256</v>
      </c>
      <c r="B14" s="60" t="s">
        <v>257</v>
      </c>
      <c r="C14" s="66" t="s">
        <v>46</v>
      </c>
      <c r="D14" s="66">
        <f>F10</f>
        <v>0</v>
      </c>
      <c r="E14" s="61" t="s">
        <v>18</v>
      </c>
      <c r="F14" s="9"/>
      <c r="G14" s="9"/>
      <c r="H14" s="10"/>
    </row>
    <row r="15" spans="1:10" ht="16.149999999999999" customHeight="1" x14ac:dyDescent="0.25">
      <c r="A15" s="57"/>
      <c r="B15" s="133"/>
      <c r="C15" s="57"/>
      <c r="E15" s="68"/>
    </row>
    <row r="16" spans="1:10" ht="16.149999999999999" customHeight="1" x14ac:dyDescent="0.25"/>
    <row r="17" spans="1:10" x14ac:dyDescent="0.25">
      <c r="A17" s="84" t="s">
        <v>44</v>
      </c>
      <c r="B17" s="85" t="s">
        <v>258</v>
      </c>
      <c r="C17" s="85" t="str">
        <f>C3</f>
        <v>T201</v>
      </c>
      <c r="D17" s="85"/>
      <c r="E17" s="85"/>
      <c r="F17" s="85"/>
      <c r="G17" s="85"/>
      <c r="H17" s="86"/>
    </row>
    <row r="18" spans="1:10" ht="18" x14ac:dyDescent="0.35">
      <c r="A18" s="58" t="s">
        <v>400</v>
      </c>
      <c r="B18" s="144"/>
      <c r="C18" s="106" t="s">
        <v>5</v>
      </c>
      <c r="D18" s="107"/>
      <c r="E18" s="107"/>
      <c r="F18" s="107"/>
      <c r="G18" s="107"/>
      <c r="H18" s="108"/>
    </row>
    <row r="19" spans="1:10" ht="18" x14ac:dyDescent="0.35">
      <c r="A19" s="26" t="s">
        <v>406</v>
      </c>
      <c r="B19" s="2" t="e">
        <f>(B5*10^3)/(SQRT(3)*B18)</f>
        <v>#DIV/0!</v>
      </c>
      <c r="C19" s="131" t="s">
        <v>18</v>
      </c>
      <c r="D19" s="123"/>
      <c r="E19" s="123"/>
      <c r="F19" s="123"/>
      <c r="G19" s="123"/>
      <c r="H19" s="124"/>
    </row>
    <row r="20" spans="1:10" ht="16.149999999999999" customHeight="1" x14ac:dyDescent="0.35">
      <c r="A20" s="26" t="s">
        <v>264</v>
      </c>
      <c r="B20" s="2" t="e">
        <f>B19*B7</f>
        <v>#DIV/0!</v>
      </c>
      <c r="C20" s="31" t="s">
        <v>18</v>
      </c>
      <c r="D20" s="32"/>
      <c r="E20" s="32"/>
      <c r="F20" s="32"/>
      <c r="G20" s="32"/>
      <c r="H20" s="33"/>
    </row>
    <row r="21" spans="1:10" ht="16.149999999999999" customHeight="1" x14ac:dyDescent="0.35">
      <c r="A21" s="26" t="s">
        <v>265</v>
      </c>
      <c r="B21" s="2" t="e">
        <f>B20/(SQRT(3)*B7)</f>
        <v>#DIV/0!</v>
      </c>
      <c r="C21" s="49" t="s">
        <v>18</v>
      </c>
      <c r="D21" s="53"/>
      <c r="E21" s="53"/>
      <c r="F21" s="53"/>
      <c r="G21" s="53"/>
      <c r="H21" s="50"/>
    </row>
    <row r="22" spans="1:10" ht="16.149999999999999" customHeight="1" x14ac:dyDescent="0.35">
      <c r="A22" s="6" t="s">
        <v>83</v>
      </c>
      <c r="B22" s="46"/>
      <c r="C22" s="6" t="s">
        <v>37</v>
      </c>
      <c r="D22" s="9" t="s">
        <v>261</v>
      </c>
      <c r="E22" s="9"/>
      <c r="F22" s="9"/>
      <c r="G22" s="9"/>
      <c r="H22" s="10"/>
      <c r="J22" t="s">
        <v>50</v>
      </c>
    </row>
    <row r="23" spans="1:10" ht="16.149999999999999" customHeight="1" x14ac:dyDescent="0.25">
      <c r="A23" s="8" t="s">
        <v>260</v>
      </c>
      <c r="B23" s="83" t="str">
        <f>IF(B22&lt;2,"OK","Ikke OK")</f>
        <v>OK</v>
      </c>
      <c r="C23" s="31"/>
      <c r="D23" s="32"/>
      <c r="E23" s="32"/>
      <c r="F23" s="32"/>
      <c r="G23" s="32"/>
      <c r="H23" s="33"/>
    </row>
    <row r="26" spans="1:10" x14ac:dyDescent="0.25">
      <c r="A26" s="84" t="s">
        <v>117</v>
      </c>
      <c r="B26" s="85" t="s">
        <v>229</v>
      </c>
      <c r="C26" s="85" t="str">
        <f>C17</f>
        <v>T201</v>
      </c>
      <c r="D26" s="85"/>
      <c r="E26" s="85"/>
      <c r="F26" s="85"/>
      <c r="G26" s="85"/>
      <c r="H26" s="86"/>
    </row>
    <row r="27" spans="1:10" ht="18" x14ac:dyDescent="0.35">
      <c r="A27" s="6" t="s">
        <v>89</v>
      </c>
      <c r="B27" s="4" t="e">
        <f>#REF!</f>
        <v>#REF!</v>
      </c>
      <c r="C27" s="8" t="s">
        <v>18</v>
      </c>
      <c r="D27" s="9"/>
      <c r="E27" s="9"/>
      <c r="F27" s="9"/>
      <c r="G27" s="9"/>
      <c r="H27" s="10"/>
    </row>
    <row r="28" spans="1:10" x14ac:dyDescent="0.25">
      <c r="A28" s="6" t="s">
        <v>31</v>
      </c>
      <c r="B28" s="82"/>
      <c r="C28" s="66"/>
      <c r="D28" s="66"/>
      <c r="E28" s="66"/>
      <c r="F28" s="66"/>
      <c r="G28" s="66"/>
      <c r="H28" s="61"/>
    </row>
    <row r="31" spans="1:10" x14ac:dyDescent="0.25">
      <c r="A31" s="84" t="s">
        <v>269</v>
      </c>
      <c r="B31" s="85" t="s">
        <v>270</v>
      </c>
      <c r="C31" s="85" t="str">
        <f>C17</f>
        <v>T201</v>
      </c>
      <c r="D31" s="85"/>
      <c r="E31" s="85"/>
      <c r="F31" s="85"/>
      <c r="G31" s="85"/>
      <c r="H31" s="86"/>
    </row>
    <row r="32" spans="1:10" ht="16.149999999999999" customHeight="1" x14ac:dyDescent="0.25">
      <c r="A32" s="6" t="s">
        <v>66</v>
      </c>
      <c r="B32" s="21"/>
      <c r="C32" s="22"/>
      <c r="D32" s="22"/>
      <c r="E32" s="22"/>
      <c r="F32" s="22"/>
      <c r="G32" s="22"/>
      <c r="H32" s="23"/>
      <c r="J32" t="s">
        <v>95</v>
      </c>
    </row>
    <row r="33" spans="1:10" ht="16.149999999999999" customHeight="1" x14ac:dyDescent="0.35">
      <c r="A33" s="6" t="s">
        <v>90</v>
      </c>
      <c r="B33" s="17"/>
      <c r="C33" s="8" t="s">
        <v>18</v>
      </c>
      <c r="D33" s="9"/>
      <c r="E33" s="9"/>
      <c r="F33" s="9"/>
      <c r="G33" s="9"/>
      <c r="H33" s="10"/>
    </row>
    <row r="34" spans="1:10" ht="16.149999999999999" customHeight="1" x14ac:dyDescent="0.35">
      <c r="A34" s="6" t="s">
        <v>287</v>
      </c>
      <c r="B34" s="17"/>
      <c r="C34" s="8" t="s">
        <v>82</v>
      </c>
      <c r="D34" s="9"/>
      <c r="E34" s="9"/>
      <c r="F34" s="9"/>
      <c r="G34" s="9"/>
      <c r="H34" s="10"/>
    </row>
    <row r="35" spans="1:10" ht="16.149999999999999" customHeight="1" x14ac:dyDescent="0.35">
      <c r="A35" s="6" t="s">
        <v>253</v>
      </c>
      <c r="B35" s="17"/>
      <c r="C35" s="8" t="s">
        <v>82</v>
      </c>
      <c r="D35" s="9"/>
      <c r="E35" s="9"/>
      <c r="F35" s="9"/>
      <c r="G35" s="9"/>
      <c r="H35" s="10"/>
    </row>
    <row r="36" spans="1:10" ht="16.149999999999999" customHeight="1" x14ac:dyDescent="0.35">
      <c r="A36" s="6" t="s">
        <v>288</v>
      </c>
      <c r="B36" s="28"/>
      <c r="C36" s="8" t="s">
        <v>18</v>
      </c>
      <c r="D36" s="9"/>
      <c r="E36" s="9"/>
      <c r="F36" s="9"/>
      <c r="G36" s="9"/>
      <c r="H36" s="10"/>
    </row>
    <row r="37" spans="1:10" ht="16.149999999999999" customHeight="1" x14ac:dyDescent="0.35">
      <c r="A37" s="6" t="s">
        <v>292</v>
      </c>
      <c r="B37" s="29"/>
      <c r="C37" s="8" t="s">
        <v>18</v>
      </c>
      <c r="D37" s="9"/>
      <c r="E37" s="9"/>
      <c r="F37" s="9"/>
      <c r="G37" s="9"/>
      <c r="H37" s="10"/>
    </row>
    <row r="38" spans="1:10" ht="16.149999999999999" customHeight="1" x14ac:dyDescent="0.35">
      <c r="A38" s="6" t="s">
        <v>289</v>
      </c>
      <c r="B38" s="17">
        <v>1</v>
      </c>
      <c r="C38" s="8"/>
      <c r="D38" s="9"/>
      <c r="E38" s="9"/>
      <c r="F38" s="9"/>
      <c r="G38" s="9"/>
      <c r="H38" s="10"/>
      <c r="J38" t="s">
        <v>96</v>
      </c>
    </row>
    <row r="39" spans="1:10" ht="16.149999999999999" customHeight="1" x14ac:dyDescent="0.35">
      <c r="A39" s="6" t="s">
        <v>92</v>
      </c>
      <c r="B39" s="17">
        <v>1</v>
      </c>
      <c r="C39" s="8"/>
      <c r="D39" s="9"/>
      <c r="E39" s="9"/>
      <c r="F39" s="9"/>
      <c r="G39" s="9"/>
      <c r="H39" s="10"/>
      <c r="J39" t="s">
        <v>93</v>
      </c>
    </row>
    <row r="40" spans="1:10" ht="16.149999999999999" customHeight="1" x14ac:dyDescent="0.35">
      <c r="A40" s="6" t="s">
        <v>20</v>
      </c>
      <c r="B40" s="67">
        <v>10</v>
      </c>
      <c r="C40" s="8" t="s">
        <v>8</v>
      </c>
      <c r="D40" s="9"/>
      <c r="E40" s="9"/>
      <c r="F40" s="9"/>
      <c r="G40" s="9"/>
      <c r="H40" s="10"/>
    </row>
    <row r="41" spans="1:10" ht="16.149999999999999" customHeight="1" x14ac:dyDescent="0.35">
      <c r="A41" s="6" t="s">
        <v>21</v>
      </c>
      <c r="B41" s="67">
        <v>0.4</v>
      </c>
      <c r="C41" s="8" t="s">
        <v>8</v>
      </c>
      <c r="D41" s="9"/>
      <c r="E41" s="9"/>
      <c r="F41" s="9"/>
      <c r="G41" s="9"/>
      <c r="H41" s="10"/>
    </row>
    <row r="42" spans="1:10" ht="16.149999999999999" customHeight="1" x14ac:dyDescent="0.35">
      <c r="A42" s="6" t="s">
        <v>42</v>
      </c>
      <c r="B42" s="3">
        <f>B40/B41</f>
        <v>25</v>
      </c>
      <c r="C42" s="8"/>
      <c r="D42" s="9"/>
      <c r="E42" s="9"/>
      <c r="F42" s="9"/>
      <c r="G42" s="9"/>
      <c r="H42" s="10"/>
    </row>
    <row r="43" spans="1:10" ht="16.149999999999999" customHeight="1" x14ac:dyDescent="0.35">
      <c r="A43" s="58" t="s">
        <v>400</v>
      </c>
      <c r="B43" s="144"/>
      <c r="C43" s="106" t="s">
        <v>5</v>
      </c>
      <c r="D43" s="107"/>
      <c r="E43" s="107"/>
      <c r="F43" s="107"/>
      <c r="G43" s="107"/>
      <c r="H43" s="108"/>
    </row>
    <row r="44" spans="1:10" ht="16.149999999999999" customHeight="1" x14ac:dyDescent="0.35">
      <c r="A44" s="26" t="s">
        <v>406</v>
      </c>
      <c r="B44" s="2" t="e">
        <f>(B40*10^3)/(SQRT(3)*B43)</f>
        <v>#DIV/0!</v>
      </c>
      <c r="C44" s="131" t="s">
        <v>18</v>
      </c>
      <c r="D44" s="123"/>
      <c r="E44" s="123"/>
      <c r="F44" s="123"/>
      <c r="G44" s="123"/>
      <c r="H44" s="124"/>
    </row>
    <row r="45" spans="1:10" ht="16.149999999999999" customHeight="1" x14ac:dyDescent="0.35">
      <c r="A45" s="26" t="s">
        <v>268</v>
      </c>
      <c r="B45" s="2" t="e">
        <f>(SQRT(3)/2)*B44</f>
        <v>#DIV/0!</v>
      </c>
      <c r="C45" s="8" t="s">
        <v>18</v>
      </c>
      <c r="D45" s="9"/>
      <c r="E45" s="9"/>
      <c r="F45" s="9"/>
      <c r="G45" s="9"/>
      <c r="H45" s="10"/>
    </row>
    <row r="46" spans="1:10" ht="16.149999999999999" customHeight="1" x14ac:dyDescent="0.35">
      <c r="A46" s="26" t="s">
        <v>264</v>
      </c>
      <c r="B46" s="2" t="e">
        <f>B44*B42</f>
        <v>#DIV/0!</v>
      </c>
      <c r="C46" s="31" t="s">
        <v>18</v>
      </c>
      <c r="D46" s="32"/>
      <c r="E46" s="32"/>
      <c r="F46" s="32"/>
      <c r="G46" s="32"/>
      <c r="H46" s="33"/>
    </row>
    <row r="47" spans="1:10" ht="16.149999999999999" customHeight="1" x14ac:dyDescent="0.35">
      <c r="A47" s="26" t="s">
        <v>265</v>
      </c>
      <c r="B47" s="2" t="e">
        <f>B46/(SQRT(3)*B42)</f>
        <v>#DIV/0!</v>
      </c>
      <c r="C47" s="49" t="s">
        <v>18</v>
      </c>
      <c r="D47" s="53"/>
      <c r="E47" s="53"/>
      <c r="F47" s="53"/>
      <c r="G47" s="53"/>
      <c r="H47" s="50"/>
    </row>
    <row r="48" spans="1:10" ht="16.149999999999999" customHeight="1" x14ac:dyDescent="0.35">
      <c r="A48" s="6" t="s">
        <v>83</v>
      </c>
      <c r="B48" s="46">
        <f>B22</f>
        <v>0</v>
      </c>
      <c r="C48" s="6" t="s">
        <v>37</v>
      </c>
      <c r="D48" s="9" t="s">
        <v>261</v>
      </c>
      <c r="E48" s="9"/>
      <c r="F48" s="9"/>
      <c r="G48" s="9"/>
      <c r="H48" s="10"/>
    </row>
    <row r="49" spans="1:11" x14ac:dyDescent="0.25">
      <c r="A49" s="84" t="s">
        <v>86</v>
      </c>
      <c r="B49" s="85"/>
      <c r="C49" s="85"/>
      <c r="D49" s="85"/>
      <c r="E49" s="85"/>
      <c r="F49" s="85"/>
      <c r="G49" s="85"/>
      <c r="H49" s="86"/>
    </row>
    <row r="50" spans="1:11" ht="16.149999999999999" customHeight="1" x14ac:dyDescent="0.35">
      <c r="A50" s="6" t="s">
        <v>290</v>
      </c>
      <c r="B50" s="20">
        <f>B33*B38*B39</f>
        <v>0</v>
      </c>
      <c r="C50" s="8" t="s">
        <v>18</v>
      </c>
      <c r="D50" s="9"/>
      <c r="E50" s="9"/>
      <c r="F50" s="9"/>
      <c r="G50" s="9"/>
      <c r="H50" s="10"/>
    </row>
    <row r="51" spans="1:11" ht="16.149999999999999" customHeight="1" x14ac:dyDescent="0.35">
      <c r="A51" s="6" t="s">
        <v>291</v>
      </c>
      <c r="B51" s="56" t="str">
        <f>IF(J51+K51=2,"OK","Ikke OK")</f>
        <v>OK</v>
      </c>
      <c r="C51" s="8"/>
      <c r="D51" s="9"/>
      <c r="E51" s="9"/>
      <c r="F51" s="9"/>
      <c r="G51" s="9"/>
      <c r="H51" s="10"/>
      <c r="J51">
        <f>IF(B36&lt;=B37,1,0)</f>
        <v>1</v>
      </c>
      <c r="K51">
        <f>IF(B37&lt;=B50,1,0)</f>
        <v>1</v>
      </c>
    </row>
    <row r="52" spans="1:11" x14ac:dyDescent="0.25">
      <c r="A52" s="84" t="s">
        <v>87</v>
      </c>
      <c r="B52" s="85"/>
      <c r="C52" s="85"/>
      <c r="D52" s="85"/>
      <c r="E52" s="85"/>
      <c r="F52" s="85"/>
      <c r="G52" s="85"/>
      <c r="H52" s="86"/>
    </row>
    <row r="53" spans="1:11" ht="16.149999999999999" customHeight="1" x14ac:dyDescent="0.35">
      <c r="A53" s="6" t="s">
        <v>293</v>
      </c>
      <c r="B53" s="2" t="e">
        <f>B47*SQRT(B48)*10^-3</f>
        <v>#DIV/0!</v>
      </c>
      <c r="C53" s="8" t="s">
        <v>82</v>
      </c>
      <c r="D53" s="9"/>
      <c r="E53" s="9"/>
      <c r="F53" s="9"/>
      <c r="G53" s="9"/>
      <c r="H53" s="10"/>
    </row>
    <row r="54" spans="1:11" ht="16.149999999999999" customHeight="1" x14ac:dyDescent="0.35">
      <c r="A54" s="6" t="s">
        <v>294</v>
      </c>
      <c r="B54" s="56" t="e">
        <f>IF(B34&gt;=B53,"OK","Ikke OK")</f>
        <v>#DIV/0!</v>
      </c>
      <c r="C54" s="8"/>
      <c r="D54" s="9"/>
      <c r="E54" s="9"/>
      <c r="F54" s="9"/>
      <c r="G54" s="9"/>
      <c r="H54" s="10"/>
    </row>
    <row r="55" spans="1:11" x14ac:dyDescent="0.25">
      <c r="A55" s="84" t="s">
        <v>88</v>
      </c>
      <c r="B55" s="85"/>
      <c r="C55" s="85"/>
      <c r="D55" s="85"/>
      <c r="E55" s="85"/>
      <c r="F55" s="85"/>
      <c r="G55" s="85"/>
      <c r="H55" s="86"/>
    </row>
    <row r="56" spans="1:11" ht="16.149999999999999" customHeight="1" x14ac:dyDescent="0.35">
      <c r="A56" s="6" t="s">
        <v>295</v>
      </c>
      <c r="B56" s="34">
        <f>B35*SQRT(B48)*10^-3</f>
        <v>0</v>
      </c>
      <c r="C56" s="8" t="s">
        <v>82</v>
      </c>
      <c r="D56" s="9"/>
      <c r="E56" s="9"/>
      <c r="F56" s="9"/>
      <c r="G56" s="9"/>
      <c r="H56" s="10"/>
    </row>
    <row r="57" spans="1:11" ht="16.149999999999999" customHeight="1" x14ac:dyDescent="0.35">
      <c r="A57" s="6" t="s">
        <v>296</v>
      </c>
      <c r="B57" s="56" t="str">
        <f>IF(B35&gt;=B56,"OK","Ikke OK")</f>
        <v>OK</v>
      </c>
      <c r="C57" s="8"/>
      <c r="D57" s="9"/>
      <c r="E57" s="9"/>
      <c r="F57" s="9"/>
      <c r="G57" s="9"/>
      <c r="H57" s="10"/>
    </row>
    <row r="60" spans="1:11" x14ac:dyDescent="0.25">
      <c r="A60" s="84" t="s">
        <v>59</v>
      </c>
      <c r="B60" s="85" t="s">
        <v>229</v>
      </c>
      <c r="C60" s="85" t="str">
        <f>C3</f>
        <v>T201</v>
      </c>
      <c r="D60" s="85"/>
      <c r="E60" s="85"/>
      <c r="F60" s="85"/>
      <c r="G60" s="85"/>
      <c r="H60" s="86"/>
    </row>
    <row r="61" spans="1:11" ht="18" x14ac:dyDescent="0.35">
      <c r="A61" s="6" t="s">
        <v>20</v>
      </c>
      <c r="B61" s="67">
        <v>10</v>
      </c>
      <c r="C61" s="8" t="s">
        <v>8</v>
      </c>
      <c r="D61" s="9"/>
      <c r="E61" s="9"/>
      <c r="F61" s="9"/>
      <c r="G61" s="9"/>
      <c r="H61" s="10"/>
    </row>
    <row r="62" spans="1:11" ht="18" x14ac:dyDescent="0.35">
      <c r="A62" s="6" t="s">
        <v>21</v>
      </c>
      <c r="B62" s="67">
        <v>0.4</v>
      </c>
      <c r="C62" s="8" t="s">
        <v>8</v>
      </c>
      <c r="D62" s="9"/>
      <c r="E62" s="9"/>
      <c r="F62" s="9"/>
      <c r="G62" s="9"/>
      <c r="H62" s="10"/>
    </row>
    <row r="63" spans="1:11" ht="18" x14ac:dyDescent="0.35">
      <c r="A63" s="6" t="s">
        <v>42</v>
      </c>
      <c r="B63" s="3">
        <f>B61/B62</f>
        <v>25</v>
      </c>
      <c r="C63" s="8"/>
      <c r="D63" s="9"/>
      <c r="E63" s="9"/>
      <c r="F63" s="9"/>
      <c r="G63" s="9"/>
      <c r="H63" s="10"/>
    </row>
    <row r="64" spans="1:11" ht="18" x14ac:dyDescent="0.35">
      <c r="A64" s="6" t="s">
        <v>408</v>
      </c>
      <c r="B64" s="132"/>
      <c r="C64" s="106" t="s">
        <v>5</v>
      </c>
      <c r="D64" s="9"/>
      <c r="E64" s="9"/>
      <c r="F64" s="9"/>
      <c r="G64" s="9"/>
      <c r="H64" s="10"/>
    </row>
    <row r="65" spans="1:10" ht="18" x14ac:dyDescent="0.35">
      <c r="A65" s="58" t="s">
        <v>410</v>
      </c>
      <c r="B65" s="3">
        <f>(B61*10^3)/2*B64</f>
        <v>0</v>
      </c>
      <c r="C65" s="8" t="s">
        <v>18</v>
      </c>
      <c r="D65" s="9"/>
      <c r="E65" s="9"/>
      <c r="F65" s="9"/>
      <c r="G65" s="9"/>
      <c r="H65" s="10"/>
      <c r="J65" t="s">
        <v>407</v>
      </c>
    </row>
    <row r="66" spans="1:10" ht="18" x14ac:dyDescent="0.35">
      <c r="A66" s="6" t="s">
        <v>404</v>
      </c>
      <c r="B66" s="132"/>
      <c r="C66" s="24" t="s">
        <v>5</v>
      </c>
      <c r="D66" s="9"/>
      <c r="E66" s="9"/>
      <c r="F66" s="9"/>
      <c r="G66" s="9"/>
      <c r="H66" s="10"/>
    </row>
    <row r="67" spans="1:10" ht="18" x14ac:dyDescent="0.35">
      <c r="A67" s="26" t="s">
        <v>406</v>
      </c>
      <c r="B67" s="3" t="e">
        <f>(B61*10^3)/(SQRT(3)*B66)</f>
        <v>#DIV/0!</v>
      </c>
      <c r="C67" s="131" t="s">
        <v>18</v>
      </c>
      <c r="D67" s="123"/>
      <c r="E67" s="123"/>
      <c r="F67" s="123"/>
      <c r="G67" s="123"/>
      <c r="H67" s="124"/>
    </row>
    <row r="68" spans="1:10" ht="18" x14ac:dyDescent="0.35">
      <c r="A68" s="26" t="s">
        <v>297</v>
      </c>
      <c r="B68" s="3" t="e">
        <f>B67*B63</f>
        <v>#DIV/0!</v>
      </c>
      <c r="C68" s="31" t="s">
        <v>18</v>
      </c>
      <c r="D68" s="32"/>
      <c r="E68" s="32"/>
      <c r="F68" s="32"/>
      <c r="G68" s="32"/>
      <c r="H68" s="33"/>
    </row>
    <row r="69" spans="1:10" ht="18" x14ac:dyDescent="0.35">
      <c r="A69" s="26" t="s">
        <v>298</v>
      </c>
      <c r="B69" s="3" t="e">
        <f>B68/(SQRT(3)*B63)</f>
        <v>#DIV/0!</v>
      </c>
      <c r="C69" s="49" t="s">
        <v>18</v>
      </c>
      <c r="D69" s="53"/>
      <c r="E69" s="53"/>
      <c r="F69" s="53"/>
      <c r="G69" s="53"/>
      <c r="H69" s="50"/>
    </row>
    <row r="70" spans="1:10" ht="18" x14ac:dyDescent="0.35">
      <c r="A70" s="6" t="s">
        <v>83</v>
      </c>
      <c r="B70" s="134">
        <f>B22</f>
        <v>0</v>
      </c>
      <c r="C70" s="6" t="s">
        <v>37</v>
      </c>
      <c r="D70" s="9" t="s">
        <v>261</v>
      </c>
      <c r="E70" s="9"/>
      <c r="F70" s="9"/>
      <c r="G70" s="9"/>
      <c r="H70" s="10"/>
    </row>
    <row r="71" spans="1:10" ht="16.149999999999999" customHeight="1" x14ac:dyDescent="0.25">
      <c r="A71" s="58" t="s">
        <v>51</v>
      </c>
      <c r="B71" s="129"/>
      <c r="C71" s="8" t="s">
        <v>54</v>
      </c>
      <c r="D71" s="9"/>
      <c r="E71" s="9"/>
      <c r="F71" s="9"/>
      <c r="G71" s="9"/>
      <c r="H71" s="10"/>
    </row>
    <row r="72" spans="1:10" ht="16.149999999999999" customHeight="1" x14ac:dyDescent="0.35">
      <c r="A72" s="58" t="s">
        <v>63</v>
      </c>
      <c r="B72" s="129"/>
      <c r="C72" s="24" t="s">
        <v>55</v>
      </c>
      <c r="D72" s="9"/>
      <c r="E72" s="9"/>
      <c r="F72" s="9"/>
      <c r="G72" s="9"/>
      <c r="H72" s="10"/>
    </row>
    <row r="73" spans="1:10" ht="16.149999999999999" customHeight="1" x14ac:dyDescent="0.35">
      <c r="A73" s="58" t="s">
        <v>64</v>
      </c>
      <c r="B73" s="129"/>
      <c r="C73" s="24" t="s">
        <v>55</v>
      </c>
      <c r="D73" s="9"/>
      <c r="E73" s="9"/>
      <c r="F73" s="9"/>
      <c r="G73" s="9"/>
      <c r="H73" s="10"/>
    </row>
    <row r="74" spans="1:10" ht="16.149999999999999" customHeight="1" x14ac:dyDescent="0.25">
      <c r="A74" s="58" t="s">
        <v>52</v>
      </c>
      <c r="B74" s="129"/>
      <c r="C74" s="24" t="s">
        <v>55</v>
      </c>
      <c r="D74" s="9"/>
      <c r="E74" s="9"/>
      <c r="F74" s="9"/>
      <c r="G74" s="9"/>
      <c r="H74" s="10"/>
    </row>
    <row r="75" spans="1:10" x14ac:dyDescent="0.25">
      <c r="A75" s="90" t="s">
        <v>60</v>
      </c>
      <c r="B75" s="91"/>
      <c r="C75" s="91"/>
      <c r="D75" s="91"/>
      <c r="E75" s="91"/>
      <c r="F75" s="91"/>
      <c r="G75" s="91"/>
      <c r="H75" s="92"/>
    </row>
    <row r="76" spans="1:10" x14ac:dyDescent="0.25">
      <c r="A76" s="35"/>
      <c r="B76" s="54"/>
      <c r="C76" s="36"/>
      <c r="D76" s="37"/>
      <c r="E76" s="37"/>
      <c r="F76" s="37"/>
      <c r="G76" s="37"/>
      <c r="H76" s="38"/>
    </row>
    <row r="77" spans="1:10" x14ac:dyDescent="0.25">
      <c r="A77" s="35"/>
      <c r="B77" s="55"/>
      <c r="C77" s="49"/>
      <c r="D77" s="53"/>
      <c r="E77" s="53"/>
      <c r="F77" s="53"/>
      <c r="G77" s="53"/>
      <c r="H77" s="50"/>
    </row>
    <row r="78" spans="1:10" ht="17.25" x14ac:dyDescent="0.25">
      <c r="A78" s="26"/>
      <c r="B78" s="64" t="e">
        <f>(B65/B71)*(SQRT((B70)/LN((B73+B74)/(B72+B74))))</f>
        <v>#DIV/0!</v>
      </c>
      <c r="C78" s="31" t="s">
        <v>53</v>
      </c>
      <c r="D78" s="32"/>
      <c r="E78" s="32"/>
      <c r="F78" s="32"/>
      <c r="G78" s="32"/>
      <c r="H78" s="33"/>
    </row>
    <row r="79" spans="1:10" x14ac:dyDescent="0.25">
      <c r="A79" s="13"/>
      <c r="B79" s="119"/>
      <c r="C79" s="36"/>
      <c r="D79" s="37"/>
      <c r="E79" s="37"/>
      <c r="F79" s="37"/>
      <c r="G79" s="37"/>
      <c r="H79" s="38"/>
    </row>
    <row r="80" spans="1:10" x14ac:dyDescent="0.25">
      <c r="A80" s="35"/>
      <c r="B80" s="137"/>
      <c r="C80" s="49"/>
      <c r="D80" s="53"/>
      <c r="E80" s="53"/>
      <c r="F80" s="53"/>
      <c r="G80" s="53"/>
      <c r="H80" s="50"/>
    </row>
    <row r="81" spans="1:12" ht="17.25" x14ac:dyDescent="0.25">
      <c r="A81" s="26"/>
      <c r="B81" s="83">
        <v>70</v>
      </c>
      <c r="C81" s="31" t="s">
        <v>53</v>
      </c>
      <c r="D81" s="32"/>
      <c r="E81" s="32"/>
      <c r="F81" s="32"/>
      <c r="G81" s="32"/>
      <c r="H81" s="33"/>
    </row>
    <row r="82" spans="1:12" x14ac:dyDescent="0.25">
      <c r="A82" s="90" t="s">
        <v>57</v>
      </c>
      <c r="B82" s="91"/>
      <c r="C82" s="91"/>
      <c r="D82" s="91"/>
      <c r="E82" s="91"/>
      <c r="F82" s="91"/>
      <c r="G82" s="91"/>
      <c r="H82" s="92"/>
    </row>
    <row r="83" spans="1:12" x14ac:dyDescent="0.25">
      <c r="A83" s="35"/>
      <c r="B83" s="54"/>
      <c r="C83" s="36"/>
      <c r="D83" s="37"/>
      <c r="E83" s="37"/>
      <c r="F83" s="37"/>
      <c r="G83" s="37"/>
      <c r="H83" s="38"/>
    </row>
    <row r="84" spans="1:12" x14ac:dyDescent="0.25">
      <c r="A84" s="35"/>
      <c r="B84" s="55"/>
      <c r="C84" s="49"/>
      <c r="D84" s="53"/>
      <c r="E84" s="53"/>
      <c r="F84" s="53"/>
      <c r="G84" s="53"/>
      <c r="H84" s="50"/>
    </row>
    <row r="85" spans="1:12" ht="17.25" x14ac:dyDescent="0.25">
      <c r="A85" s="26"/>
      <c r="B85" s="63" t="e">
        <f>(B69/B71)*(SQRT((B70)/LN((B73+B74)/(B72+B74))))</f>
        <v>#DIV/0!</v>
      </c>
      <c r="C85" s="31" t="s">
        <v>53</v>
      </c>
      <c r="D85" s="32"/>
      <c r="E85" s="32"/>
      <c r="F85" s="32"/>
      <c r="G85" s="32"/>
      <c r="H85" s="33"/>
    </row>
    <row r="86" spans="1:12" x14ac:dyDescent="0.25">
      <c r="A86" s="13"/>
      <c r="B86" s="119"/>
      <c r="C86" s="36"/>
      <c r="D86" s="37"/>
      <c r="E86" s="37"/>
      <c r="F86" s="37"/>
      <c r="G86" s="37"/>
      <c r="H86" s="38"/>
    </row>
    <row r="87" spans="1:12" x14ac:dyDescent="0.25">
      <c r="A87" s="35"/>
      <c r="B87" s="137"/>
      <c r="C87" s="49"/>
      <c r="D87" s="53"/>
      <c r="E87" s="53"/>
      <c r="F87" s="53"/>
      <c r="G87" s="53"/>
      <c r="H87" s="50"/>
    </row>
    <row r="88" spans="1:12" ht="17.25" x14ac:dyDescent="0.25">
      <c r="A88" s="26"/>
      <c r="B88" s="83"/>
      <c r="C88" s="31" t="s">
        <v>53</v>
      </c>
      <c r="D88" s="32"/>
      <c r="E88" s="32"/>
      <c r="F88" s="32"/>
      <c r="G88" s="32"/>
      <c r="H88" s="33"/>
    </row>
    <row r="91" spans="1:12" x14ac:dyDescent="0.25">
      <c r="A91" s="84" t="s">
        <v>213</v>
      </c>
      <c r="B91" s="85"/>
      <c r="C91" s="85"/>
      <c r="D91" s="85"/>
      <c r="E91" s="85"/>
      <c r="F91" s="85"/>
      <c r="G91" s="85"/>
      <c r="H91" s="86"/>
    </row>
    <row r="92" spans="1:12" ht="18" x14ac:dyDescent="0.35">
      <c r="A92" s="6" t="s">
        <v>212</v>
      </c>
      <c r="B92" s="1"/>
      <c r="C92" s="8" t="s">
        <v>18</v>
      </c>
      <c r="D92" s="9"/>
      <c r="E92" s="9"/>
      <c r="F92" s="9"/>
      <c r="G92" s="9"/>
      <c r="H92" s="10"/>
    </row>
    <row r="93" spans="1:12" x14ac:dyDescent="0.25">
      <c r="A93" s="6" t="s">
        <v>283</v>
      </c>
      <c r="B93" s="1"/>
      <c r="C93" s="8"/>
      <c r="D93" s="9"/>
      <c r="E93" s="9"/>
      <c r="F93" s="9"/>
      <c r="G93" s="9"/>
      <c r="H93" s="10"/>
    </row>
    <row r="94" spans="1:12" ht="18" x14ac:dyDescent="0.35">
      <c r="A94" s="6" t="s">
        <v>179</v>
      </c>
      <c r="B94" s="1">
        <f>K94+L94</f>
        <v>80</v>
      </c>
      <c r="C94" s="8" t="s">
        <v>72</v>
      </c>
      <c r="D94" s="9"/>
      <c r="E94" s="9"/>
      <c r="F94" s="9"/>
      <c r="G94" s="9"/>
      <c r="H94" s="10"/>
      <c r="J94">
        <f>IF(B93="TT",1,0)</f>
        <v>0</v>
      </c>
      <c r="K94">
        <f>IF(J94=0,80,0)</f>
        <v>80</v>
      </c>
      <c r="L94">
        <f>IF(J94=1,250,0)</f>
        <v>0</v>
      </c>
    </row>
    <row r="95" spans="1:12" ht="18" x14ac:dyDescent="0.35">
      <c r="A95" s="7" t="s">
        <v>73</v>
      </c>
      <c r="B95" s="56" t="e">
        <f>B94/B92</f>
        <v>#DIV/0!</v>
      </c>
      <c r="C95" s="24" t="s">
        <v>71</v>
      </c>
      <c r="D95" s="9"/>
      <c r="E95" s="9"/>
      <c r="F95" s="9"/>
      <c r="G95" s="9"/>
      <c r="H95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IM. Linje</vt:lpstr>
      <vt:lpstr>L.relæ</vt:lpstr>
      <vt:lpstr>Trafo.</vt:lpstr>
      <vt:lpstr>IM. Trafo.</vt:lpstr>
      <vt:lpstr>KT.relæ</vt:lpstr>
      <vt:lpstr>SM</vt:lpstr>
      <vt:lpstr>Interne</vt:lpstr>
      <vt:lpstr>Jord</vt:lpstr>
      <vt:lpstr>IM. sat.</vt:lpstr>
      <vt:lpstr>Sat.</vt:lpstr>
      <vt:lpstr>KT.relæ sat.</vt:lpstr>
      <vt:lpstr>SM sat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Ghaith Al-Maliki</dc:creator>
  <cp:lastModifiedBy>Ghaith</cp:lastModifiedBy>
  <dcterms:created xsi:type="dcterms:W3CDTF">2023-04-20T12:24:21Z</dcterms:created>
  <dcterms:modified xsi:type="dcterms:W3CDTF">2025-07-30T18:40:54Z</dcterms:modified>
</cp:coreProperties>
</file>