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s\Programming\MinidimSharp\assets\xlsx\"/>
    </mc:Choice>
  </mc:AlternateContent>
  <bookViews>
    <workbookView xWindow="-120" yWindow="-120" windowWidth="29040" windowHeight="15720" activeTab="2"/>
  </bookViews>
  <sheets>
    <sheet name="IM" sheetId="12" r:id="rId1"/>
    <sheet name="Dim. MCCB" sheetId="2" r:id="rId2"/>
    <sheet name="Dim. MCB" sheetId="3" r:id="rId3"/>
    <sheet name="Dim. SM" sheetId="1" r:id="rId4"/>
    <sheet name="Dim. MMS" sheetId="4" r:id="rId5"/>
    <sheet name="Dim. RCBO" sheetId="14" r:id="rId6"/>
    <sheet name="Dim. KS" sheetId="11" r:id="rId7"/>
    <sheet name="SP" sheetId="8" r:id="rId8"/>
    <sheet name="OH" sheetId="7" r:id="rId9"/>
    <sheet name="FK" sheetId="9" r:id="rId10"/>
    <sheet name="BL" sheetId="6" r:id="rId11"/>
    <sheet name="transient overspænding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12" l="1"/>
  <c r="B48" i="12"/>
  <c r="B49" i="12"/>
  <c r="B145" i="1"/>
  <c r="G13" i="12" l="1"/>
  <c r="G14" i="12"/>
  <c r="G21" i="12"/>
  <c r="E23" i="12" s="1"/>
  <c r="G22" i="12"/>
  <c r="E24" i="12" s="1"/>
  <c r="B24" i="12"/>
  <c r="B23" i="12"/>
  <c r="I22" i="12"/>
  <c r="B34" i="12" s="1" a="1"/>
  <c r="B34" i="12" s="1"/>
  <c r="I21" i="12"/>
  <c r="B138" i="1"/>
  <c r="A132" i="12"/>
  <c r="J33" i="14"/>
  <c r="H33" i="14"/>
  <c r="J35" i="4"/>
  <c r="H35" i="4"/>
  <c r="J33" i="3"/>
  <c r="H33" i="3"/>
  <c r="C57" i="4"/>
  <c r="C145" i="4"/>
  <c r="B146" i="4"/>
  <c r="B148" i="4" s="1"/>
  <c r="B126" i="4"/>
  <c r="E127" i="4" s="1"/>
  <c r="B139" i="14"/>
  <c r="B160" i="3"/>
  <c r="B165" i="3" s="1"/>
  <c r="B167" i="3" s="1"/>
  <c r="B134" i="14"/>
  <c r="B129" i="14"/>
  <c r="C138" i="14"/>
  <c r="B145" i="14"/>
  <c r="B147" i="14" s="1"/>
  <c r="L141" i="14"/>
  <c r="N141" i="14" s="1"/>
  <c r="J141" i="14"/>
  <c r="L140" i="14"/>
  <c r="N140" i="14" s="1"/>
  <c r="J140" i="14"/>
  <c r="B127" i="14"/>
  <c r="B119" i="14"/>
  <c r="B118" i="14"/>
  <c r="J116" i="14"/>
  <c r="J117" i="14" s="1"/>
  <c r="I116" i="14"/>
  <c r="I117" i="14" s="1"/>
  <c r="C116" i="14"/>
  <c r="C125" i="14" s="1"/>
  <c r="E106" i="14"/>
  <c r="C104" i="14"/>
  <c r="C110" i="14" s="1"/>
  <c r="H100" i="14"/>
  <c r="J100" i="14" s="1"/>
  <c r="A100" i="14"/>
  <c r="H99" i="14"/>
  <c r="J99" i="14" s="1"/>
  <c r="A99" i="14"/>
  <c r="H98" i="14"/>
  <c r="J98" i="14" s="1"/>
  <c r="A98" i="14"/>
  <c r="H97" i="14"/>
  <c r="J97" i="14" s="1"/>
  <c r="A97" i="14"/>
  <c r="H96" i="14"/>
  <c r="J96" i="14" s="1"/>
  <c r="A96" i="14"/>
  <c r="J88" i="14"/>
  <c r="H88" i="14"/>
  <c r="I88" i="14" s="1"/>
  <c r="H87" i="14"/>
  <c r="J87" i="14" s="1"/>
  <c r="H86" i="14"/>
  <c r="J86" i="14" s="1"/>
  <c r="H85" i="14"/>
  <c r="I85" i="14" s="1"/>
  <c r="H84" i="14"/>
  <c r="J84" i="14" s="1"/>
  <c r="H75" i="14"/>
  <c r="H74" i="14"/>
  <c r="H70" i="14"/>
  <c r="H69" i="14"/>
  <c r="B69" i="14"/>
  <c r="B74" i="14" s="1"/>
  <c r="H63" i="14"/>
  <c r="B63" i="14"/>
  <c r="H62" i="14"/>
  <c r="B62" i="14"/>
  <c r="H60" i="14"/>
  <c r="B59" i="14" s="1"/>
  <c r="H57" i="14"/>
  <c r="H56" i="14"/>
  <c r="D50" i="14"/>
  <c r="B46" i="14"/>
  <c r="D44" i="14"/>
  <c r="B39" i="14"/>
  <c r="B41" i="14" s="1"/>
  <c r="B38" i="14"/>
  <c r="I49" i="14" s="1"/>
  <c r="B49" i="14" s="1"/>
  <c r="F33" i="14"/>
  <c r="B33" i="14"/>
  <c r="B57" i="14" s="1"/>
  <c r="B28" i="14"/>
  <c r="B27" i="14"/>
  <c r="C16" i="14"/>
  <c r="C36" i="14" s="1"/>
  <c r="C55" i="14" s="1"/>
  <c r="C80" i="14" s="1"/>
  <c r="C92" i="14" s="1"/>
  <c r="D13" i="14"/>
  <c r="B10" i="14"/>
  <c r="B183" i="3"/>
  <c r="B185" i="3" s="1"/>
  <c r="B149" i="3"/>
  <c r="B148" i="3"/>
  <c r="B139" i="3"/>
  <c r="B138" i="3"/>
  <c r="B127" i="3"/>
  <c r="B137" i="3" s="1"/>
  <c r="B140" i="3" s="1"/>
  <c r="I116" i="3"/>
  <c r="B169" i="1"/>
  <c r="B171" i="1" s="1"/>
  <c r="B46" i="1"/>
  <c r="H79" i="1" s="1"/>
  <c r="B45" i="1"/>
  <c r="B58" i="1" s="1"/>
  <c r="B14" i="1"/>
  <c r="B19" i="11"/>
  <c r="B118" i="3"/>
  <c r="B69" i="3"/>
  <c r="B75" i="3" s="1"/>
  <c r="B134" i="4"/>
  <c r="D52" i="4"/>
  <c r="B48" i="4"/>
  <c r="D46" i="4"/>
  <c r="B41" i="4"/>
  <c r="B43" i="4" s="1"/>
  <c r="B40" i="4"/>
  <c r="I51" i="4" s="1"/>
  <c r="B76" i="1"/>
  <c r="B82" i="1" s="1"/>
  <c r="B31" i="6"/>
  <c r="A99" i="4"/>
  <c r="A100" i="4"/>
  <c r="A101" i="4"/>
  <c r="A102" i="4"/>
  <c r="A98" i="4"/>
  <c r="A104" i="1"/>
  <c r="A105" i="1"/>
  <c r="A106" i="1"/>
  <c r="A107" i="1"/>
  <c r="A103" i="1"/>
  <c r="A97" i="3"/>
  <c r="A98" i="3"/>
  <c r="A99" i="3"/>
  <c r="A100" i="3"/>
  <c r="A96" i="3"/>
  <c r="A102" i="2"/>
  <c r="A103" i="2"/>
  <c r="A104" i="2"/>
  <c r="A105" i="2"/>
  <c r="A101" i="2"/>
  <c r="F38" i="2"/>
  <c r="H38" i="2" s="1"/>
  <c r="F33" i="3"/>
  <c r="F40" i="1"/>
  <c r="H40" i="1" s="1"/>
  <c r="F35" i="4"/>
  <c r="B30" i="4"/>
  <c r="B31" i="4" s="1"/>
  <c r="B29" i="4"/>
  <c r="C18" i="4"/>
  <c r="C38" i="4" s="1"/>
  <c r="B35" i="4"/>
  <c r="B59" i="4" s="1"/>
  <c r="B35" i="1"/>
  <c r="B36" i="1" s="1"/>
  <c r="F39" i="1" s="1"/>
  <c r="B34" i="1"/>
  <c r="D57" i="1"/>
  <c r="B53" i="1"/>
  <c r="D51" i="1"/>
  <c r="B59" i="1"/>
  <c r="B77" i="1" s="1"/>
  <c r="C16" i="3"/>
  <c r="C36" i="3" s="1"/>
  <c r="C55" i="3" s="1"/>
  <c r="B28" i="3"/>
  <c r="B29" i="3" s="1"/>
  <c r="B27" i="3"/>
  <c r="D50" i="3"/>
  <c r="B46" i="3"/>
  <c r="D44" i="3"/>
  <c r="B39" i="3"/>
  <c r="H72" i="3" s="1"/>
  <c r="B38" i="3"/>
  <c r="D51" i="3" s="1"/>
  <c r="B33" i="3"/>
  <c r="B52" i="3" s="1"/>
  <c r="B70" i="3" s="1"/>
  <c r="B38" i="2"/>
  <c r="B119" i="3"/>
  <c r="H65" i="4"/>
  <c r="B65" i="4"/>
  <c r="H64" i="4"/>
  <c r="B64" i="4"/>
  <c r="H62" i="4"/>
  <c r="B61" i="4" s="1"/>
  <c r="H59" i="4"/>
  <c r="H58" i="4"/>
  <c r="H70" i="1"/>
  <c r="B70" i="1"/>
  <c r="H69" i="1"/>
  <c r="B69" i="1"/>
  <c r="H67" i="1"/>
  <c r="B66" i="1" s="1"/>
  <c r="H64" i="1"/>
  <c r="H63" i="1"/>
  <c r="H60" i="3"/>
  <c r="B59" i="3" s="1"/>
  <c r="H63" i="3"/>
  <c r="B63" i="3"/>
  <c r="H62" i="3"/>
  <c r="B62" i="3"/>
  <c r="H57" i="3"/>
  <c r="H56" i="3"/>
  <c r="H110" i="12"/>
  <c r="H109" i="12"/>
  <c r="H105" i="12"/>
  <c r="H104" i="12"/>
  <c r="B104" i="12"/>
  <c r="B109" i="12" s="1"/>
  <c r="H98" i="12"/>
  <c r="B98" i="12"/>
  <c r="H97" i="12"/>
  <c r="B97" i="12"/>
  <c r="H95" i="12"/>
  <c r="H92" i="12"/>
  <c r="H91" i="12"/>
  <c r="C103" i="12"/>
  <c r="I6" i="12"/>
  <c r="H70" i="3"/>
  <c r="I5" i="12"/>
  <c r="I14" i="12"/>
  <c r="I13" i="12"/>
  <c r="I29" i="12"/>
  <c r="H77" i="4"/>
  <c r="B77" i="4"/>
  <c r="H76" i="4"/>
  <c r="B76" i="4"/>
  <c r="H72" i="4"/>
  <c r="H71" i="4"/>
  <c r="H77" i="2"/>
  <c r="H82" i="1"/>
  <c r="H81" i="1"/>
  <c r="H77" i="1"/>
  <c r="H76" i="1"/>
  <c r="H75" i="3"/>
  <c r="H74" i="3"/>
  <c r="H69" i="3"/>
  <c r="B74" i="2"/>
  <c r="B80" i="2" s="1"/>
  <c r="H80" i="2"/>
  <c r="H79" i="2"/>
  <c r="H75" i="2"/>
  <c r="H74" i="2"/>
  <c r="C139" i="12"/>
  <c r="C127" i="12"/>
  <c r="B15" i="12"/>
  <c r="I45" i="1" l="1"/>
  <c r="I23" i="12"/>
  <c r="E34" i="12" a="1"/>
  <c r="E34" i="12" s="1"/>
  <c r="I52" i="1"/>
  <c r="I56" i="1"/>
  <c r="B56" i="1" s="1"/>
  <c r="I57" i="1"/>
  <c r="I50" i="1"/>
  <c r="B50" i="1" s="1"/>
  <c r="J51" i="1"/>
  <c r="D58" i="1"/>
  <c r="I51" i="1"/>
  <c r="I40" i="1"/>
  <c r="J40" i="1"/>
  <c r="D41" i="1" s="1"/>
  <c r="B33" i="12" a="1"/>
  <c r="B33" i="12" s="1"/>
  <c r="E33" i="12" a="1"/>
  <c r="E33" i="12" s="1"/>
  <c r="I47" i="4"/>
  <c r="B46" i="4" s="1"/>
  <c r="J46" i="4"/>
  <c r="I40" i="4"/>
  <c r="I53" i="4"/>
  <c r="B53" i="4" s="1"/>
  <c r="J52" i="4"/>
  <c r="B54" i="4"/>
  <c r="B72" i="4" s="1"/>
  <c r="I45" i="4"/>
  <c r="I46" i="4"/>
  <c r="B45" i="4" s="1"/>
  <c r="H74" i="4"/>
  <c r="I52" i="4"/>
  <c r="D47" i="4"/>
  <c r="B170" i="3"/>
  <c r="B162" i="3"/>
  <c r="I38" i="14"/>
  <c r="C144" i="14"/>
  <c r="I51" i="14"/>
  <c r="B51" i="14" s="1"/>
  <c r="I100" i="14"/>
  <c r="B117" i="14"/>
  <c r="B121" i="14" s="1"/>
  <c r="D122" i="14" s="1"/>
  <c r="D43" i="14"/>
  <c r="J85" i="14"/>
  <c r="C68" i="14"/>
  <c r="J44" i="14"/>
  <c r="I87" i="14"/>
  <c r="H72" i="14"/>
  <c r="I50" i="14"/>
  <c r="J56" i="14"/>
  <c r="I96" i="14"/>
  <c r="J57" i="14"/>
  <c r="I97" i="14"/>
  <c r="I43" i="14"/>
  <c r="B43" i="14" s="1"/>
  <c r="I86" i="14"/>
  <c r="J50" i="14"/>
  <c r="B75" i="14"/>
  <c r="J70" i="14" s="1"/>
  <c r="B71" i="14"/>
  <c r="I74" i="14" s="1"/>
  <c r="I62" i="14"/>
  <c r="J74" i="14"/>
  <c r="J69" i="14"/>
  <c r="J71" i="14" s="1"/>
  <c r="I69" i="14"/>
  <c r="I99" i="14"/>
  <c r="D51" i="14"/>
  <c r="I44" i="14"/>
  <c r="B52" i="14"/>
  <c r="B70" i="14" s="1"/>
  <c r="J62" i="14"/>
  <c r="B29" i="14"/>
  <c r="I33" i="14"/>
  <c r="D34" i="14" s="1"/>
  <c r="I84" i="14"/>
  <c r="M140" i="14"/>
  <c r="D45" i="14"/>
  <c r="I56" i="14"/>
  <c r="I63" i="14"/>
  <c r="B132" i="14"/>
  <c r="B35" i="14"/>
  <c r="C35" i="14" s="1"/>
  <c r="I45" i="14"/>
  <c r="B45" i="14" s="1"/>
  <c r="J63" i="14"/>
  <c r="D49" i="14"/>
  <c r="I57" i="14"/>
  <c r="M141" i="14"/>
  <c r="B140" i="14" s="1"/>
  <c r="D141" i="14" s="1"/>
  <c r="I98" i="14"/>
  <c r="B144" i="3"/>
  <c r="B134" i="3"/>
  <c r="E141" i="3"/>
  <c r="E142" i="3"/>
  <c r="B147" i="3"/>
  <c r="B130" i="3"/>
  <c r="E131" i="3" s="1"/>
  <c r="B74" i="3"/>
  <c r="J74" i="3" s="1"/>
  <c r="B41" i="3"/>
  <c r="I44" i="3"/>
  <c r="D49" i="3"/>
  <c r="I33" i="3"/>
  <c r="I45" i="3"/>
  <c r="J44" i="3"/>
  <c r="I49" i="3"/>
  <c r="B49" i="3" s="1"/>
  <c r="J50" i="3"/>
  <c r="I50" i="3"/>
  <c r="I51" i="3"/>
  <c r="B51" i="3" s="1"/>
  <c r="B57" i="3"/>
  <c r="I38" i="3"/>
  <c r="D45" i="3"/>
  <c r="I43" i="3"/>
  <c r="B43" i="3" s="1"/>
  <c r="J57" i="1"/>
  <c r="B64" i="1"/>
  <c r="D52" i="1"/>
  <c r="D56" i="1"/>
  <c r="D51" i="4"/>
  <c r="B51" i="4"/>
  <c r="D45" i="4"/>
  <c r="D53" i="4"/>
  <c r="B81" i="1"/>
  <c r="J76" i="1" s="1"/>
  <c r="D43" i="3"/>
  <c r="D50" i="1"/>
  <c r="B33" i="4"/>
  <c r="F34" i="4"/>
  <c r="B37" i="4"/>
  <c r="C37" i="4" s="1"/>
  <c r="B38" i="1"/>
  <c r="B48" i="1"/>
  <c r="F32" i="3"/>
  <c r="B31" i="3"/>
  <c r="B35" i="3"/>
  <c r="C35" i="3" s="1"/>
  <c r="I62" i="3"/>
  <c r="J58" i="4"/>
  <c r="J64" i="1"/>
  <c r="J57" i="3"/>
  <c r="J97" i="12"/>
  <c r="I98" i="12"/>
  <c r="B71" i="3"/>
  <c r="J56" i="3"/>
  <c r="I64" i="4"/>
  <c r="I58" i="4"/>
  <c r="J59" i="4"/>
  <c r="J65" i="4"/>
  <c r="J64" i="4"/>
  <c r="I65" i="4"/>
  <c r="I59" i="4"/>
  <c r="B73" i="4"/>
  <c r="I76" i="4" s="1"/>
  <c r="J72" i="4"/>
  <c r="I69" i="1"/>
  <c r="J63" i="1"/>
  <c r="B78" i="1"/>
  <c r="I70" i="1"/>
  <c r="J69" i="1"/>
  <c r="I63" i="1"/>
  <c r="J70" i="1"/>
  <c r="I64" i="1"/>
  <c r="J77" i="1"/>
  <c r="J62" i="3"/>
  <c r="I63" i="3"/>
  <c r="I56" i="3"/>
  <c r="J63" i="3"/>
  <c r="I57" i="3"/>
  <c r="J91" i="12"/>
  <c r="I91" i="12"/>
  <c r="B110" i="12"/>
  <c r="J105" i="12" s="1"/>
  <c r="I97" i="12"/>
  <c r="B106" i="12"/>
  <c r="I109" i="12" s="1"/>
  <c r="I104" i="12"/>
  <c r="J104" i="12"/>
  <c r="J109" i="12"/>
  <c r="J98" i="12"/>
  <c r="I92" i="12"/>
  <c r="J92" i="12"/>
  <c r="I7" i="12"/>
  <c r="J71" i="4"/>
  <c r="J76" i="4"/>
  <c r="I71" i="4"/>
  <c r="I77" i="4"/>
  <c r="J77" i="4"/>
  <c r="I72" i="4"/>
  <c r="I82" i="1"/>
  <c r="J82" i="1"/>
  <c r="I77" i="1"/>
  <c r="J70" i="3"/>
  <c r="I75" i="3"/>
  <c r="J75" i="3"/>
  <c r="I70" i="3"/>
  <c r="I80" i="2"/>
  <c r="B79" i="2"/>
  <c r="J79" i="2" s="1"/>
  <c r="J80" i="2"/>
  <c r="I75" i="2"/>
  <c r="J75" i="2"/>
  <c r="I135" i="12"/>
  <c r="J135" i="12" s="1"/>
  <c r="I134" i="12"/>
  <c r="J134" i="12" s="1"/>
  <c r="I133" i="12"/>
  <c r="J133" i="12" s="1"/>
  <c r="I123" i="12"/>
  <c r="J123" i="12" s="1"/>
  <c r="I122" i="12"/>
  <c r="K122" i="12" s="1"/>
  <c r="I121" i="12"/>
  <c r="K121" i="12" s="1"/>
  <c r="B132" i="2"/>
  <c r="H65" i="2"/>
  <c r="B64" i="2" s="1"/>
  <c r="B76" i="2" s="1"/>
  <c r="B62" i="2"/>
  <c r="H68" i="2"/>
  <c r="B68" i="2"/>
  <c r="H67" i="2"/>
  <c r="B67" i="2"/>
  <c r="H62" i="2"/>
  <c r="H61" i="2"/>
  <c r="B83" i="12"/>
  <c r="B82" i="12"/>
  <c r="B87" i="12" s="1"/>
  <c r="B105" i="12" s="1"/>
  <c r="B47" i="12"/>
  <c r="C45" i="12"/>
  <c r="C57" i="12" s="1"/>
  <c r="C63" i="12" s="1"/>
  <c r="C69" i="12" s="1"/>
  <c r="C75" i="12" s="1"/>
  <c r="B42" i="12"/>
  <c r="B30" i="12"/>
  <c r="G29" i="12"/>
  <c r="E30" i="12" s="1"/>
  <c r="B16" i="12"/>
  <c r="H102" i="4"/>
  <c r="J102" i="4" s="1"/>
  <c r="H101" i="4"/>
  <c r="J101" i="4" s="1"/>
  <c r="H100" i="4"/>
  <c r="J100" i="4" s="1"/>
  <c r="H99" i="4"/>
  <c r="J99" i="4" s="1"/>
  <c r="H98" i="4"/>
  <c r="J98" i="4" s="1"/>
  <c r="H90" i="4"/>
  <c r="J90" i="4" s="1"/>
  <c r="H89" i="4"/>
  <c r="J89" i="4" s="1"/>
  <c r="H88" i="4"/>
  <c r="J88" i="4" s="1"/>
  <c r="H87" i="4"/>
  <c r="I87" i="4" s="1"/>
  <c r="H86" i="4"/>
  <c r="J86" i="4" s="1"/>
  <c r="H107" i="1"/>
  <c r="I107" i="1" s="1"/>
  <c r="H106" i="1"/>
  <c r="J106" i="1" s="1"/>
  <c r="H105" i="1"/>
  <c r="I105" i="1" s="1"/>
  <c r="H95" i="1"/>
  <c r="J95" i="1" s="1"/>
  <c r="H94" i="1"/>
  <c r="J94" i="1" s="1"/>
  <c r="H93" i="1"/>
  <c r="J93" i="1" s="1"/>
  <c r="H100" i="3"/>
  <c r="I100" i="3" s="1"/>
  <c r="H99" i="3"/>
  <c r="J99" i="3" s="1"/>
  <c r="H98" i="3"/>
  <c r="J98" i="3" s="1"/>
  <c r="H97" i="3"/>
  <c r="J97" i="3" s="1"/>
  <c r="H96" i="3"/>
  <c r="J96" i="3" s="1"/>
  <c r="H88" i="3"/>
  <c r="J88" i="3" s="1"/>
  <c r="H87" i="3"/>
  <c r="J87" i="3" s="1"/>
  <c r="H86" i="3"/>
  <c r="I86" i="3" s="1"/>
  <c r="H85" i="3"/>
  <c r="I85" i="3" s="1"/>
  <c r="H84" i="3"/>
  <c r="J84" i="3" s="1"/>
  <c r="H93" i="2"/>
  <c r="I93" i="2" s="1"/>
  <c r="B8" i="12"/>
  <c r="B7" i="12"/>
  <c r="B52" i="1" l="1"/>
  <c r="B57" i="1"/>
  <c r="J81" i="1"/>
  <c r="I76" i="1"/>
  <c r="I78" i="1" s="1"/>
  <c r="I81" i="1"/>
  <c r="I83" i="1" s="1"/>
  <c r="B51" i="1"/>
  <c r="B47" i="4"/>
  <c r="J66" i="4"/>
  <c r="J61" i="4"/>
  <c r="B172" i="3"/>
  <c r="I70" i="14"/>
  <c r="B44" i="14"/>
  <c r="I75" i="14"/>
  <c r="I76" i="14"/>
  <c r="J75" i="14"/>
  <c r="J76" i="14" s="1"/>
  <c r="J59" i="14"/>
  <c r="B50" i="14"/>
  <c r="I71" i="14"/>
  <c r="E76" i="14" s="1"/>
  <c r="I64" i="14"/>
  <c r="F32" i="14"/>
  <c r="B31" i="14"/>
  <c r="J64" i="14"/>
  <c r="I59" i="14"/>
  <c r="B150" i="3"/>
  <c r="E151" i="3" s="1"/>
  <c r="B154" i="3"/>
  <c r="E132" i="3"/>
  <c r="B44" i="3"/>
  <c r="J69" i="3"/>
  <c r="J71" i="3" s="1"/>
  <c r="D34" i="3"/>
  <c r="I69" i="3"/>
  <c r="I71" i="3" s="1"/>
  <c r="I74" i="3"/>
  <c r="I76" i="3" s="1"/>
  <c r="B45" i="3"/>
  <c r="J59" i="3"/>
  <c r="B50" i="3"/>
  <c r="B52" i="4"/>
  <c r="J66" i="1"/>
  <c r="J73" i="4"/>
  <c r="I71" i="1"/>
  <c r="I64" i="3"/>
  <c r="I61" i="4"/>
  <c r="E66" i="4" s="1"/>
  <c r="I66" i="4"/>
  <c r="E67" i="4" s="1"/>
  <c r="J83" i="1"/>
  <c r="J110" i="12"/>
  <c r="J111" i="12" s="1"/>
  <c r="J99" i="12"/>
  <c r="I99" i="12"/>
  <c r="I78" i="4"/>
  <c r="I66" i="1"/>
  <c r="J71" i="1"/>
  <c r="J78" i="1"/>
  <c r="I59" i="3"/>
  <c r="J64" i="3"/>
  <c r="I105" i="12"/>
  <c r="I106" i="12" s="1"/>
  <c r="I110" i="12"/>
  <c r="I111" i="12" s="1"/>
  <c r="J94" i="12"/>
  <c r="J106" i="12"/>
  <c r="I94" i="12"/>
  <c r="I73" i="4"/>
  <c r="J78" i="4"/>
  <c r="J76" i="3"/>
  <c r="J81" i="2"/>
  <c r="J74" i="2"/>
  <c r="J76" i="2" s="1"/>
  <c r="I74" i="2"/>
  <c r="I76" i="2" s="1"/>
  <c r="I79" i="2"/>
  <c r="I81" i="2" s="1"/>
  <c r="E16" i="12"/>
  <c r="E15" i="12"/>
  <c r="K123" i="12"/>
  <c r="K133" i="12"/>
  <c r="J121" i="12"/>
  <c r="K134" i="12"/>
  <c r="J122" i="12"/>
  <c r="K135" i="12"/>
  <c r="B50" i="12"/>
  <c r="B54" i="12" s="1"/>
  <c r="B89" i="1" s="1"/>
  <c r="B51" i="12"/>
  <c r="H107" i="12" s="1"/>
  <c r="B85" i="12"/>
  <c r="B86" i="12" s="1"/>
  <c r="E87" i="12" s="1"/>
  <c r="J61" i="2"/>
  <c r="I62" i="2"/>
  <c r="I61" i="2"/>
  <c r="J67" i="2"/>
  <c r="J68" i="2"/>
  <c r="J62" i="2"/>
  <c r="I67" i="2"/>
  <c r="I68" i="2"/>
  <c r="J85" i="3"/>
  <c r="J86" i="3"/>
  <c r="I84" i="3"/>
  <c r="I99" i="3"/>
  <c r="I102" i="4"/>
  <c r="B84" i="12"/>
  <c r="J87" i="4"/>
  <c r="I89" i="4"/>
  <c r="I90" i="4"/>
  <c r="I86" i="4"/>
  <c r="I87" i="3"/>
  <c r="J100" i="3"/>
  <c r="J107" i="1"/>
  <c r="I94" i="1"/>
  <c r="I93" i="1"/>
  <c r="I99" i="4"/>
  <c r="I100" i="4"/>
  <c r="I88" i="4"/>
  <c r="I101" i="4"/>
  <c r="I98" i="4"/>
  <c r="J105" i="1"/>
  <c r="I106" i="1"/>
  <c r="I95" i="1"/>
  <c r="I97" i="3"/>
  <c r="I98" i="3"/>
  <c r="I96" i="3"/>
  <c r="I88" i="3"/>
  <c r="J93" i="2"/>
  <c r="B72" i="1" l="1"/>
  <c r="B65" i="12"/>
  <c r="B82" i="14"/>
  <c r="B77" i="14"/>
  <c r="E77" i="14"/>
  <c r="B76" i="14"/>
  <c r="E65" i="14"/>
  <c r="B65" i="14"/>
  <c r="B64" i="14"/>
  <c r="E64" i="14"/>
  <c r="E82" i="2"/>
  <c r="E152" i="3"/>
  <c r="B65" i="3"/>
  <c r="E72" i="1"/>
  <c r="B66" i="4"/>
  <c r="E71" i="1"/>
  <c r="E84" i="1"/>
  <c r="B67" i="4"/>
  <c r="E79" i="4"/>
  <c r="B58" i="11"/>
  <c r="B59" i="12"/>
  <c r="B100" i="12"/>
  <c r="B131" i="12" s="1"/>
  <c r="E100" i="12"/>
  <c r="E131" i="12" s="1"/>
  <c r="I131" i="12" s="1"/>
  <c r="E65" i="3"/>
  <c r="B71" i="1"/>
  <c r="E64" i="3"/>
  <c r="B64" i="3"/>
  <c r="B99" i="12"/>
  <c r="B119" i="12" s="1"/>
  <c r="E99" i="12"/>
  <c r="E119" i="12" s="1"/>
  <c r="I119" i="12" s="1"/>
  <c r="E112" i="12"/>
  <c r="E132" i="12" s="1"/>
  <c r="I132" i="12" s="1"/>
  <c r="B112" i="12"/>
  <c r="B132" i="12" s="1"/>
  <c r="E111" i="12"/>
  <c r="E120" i="12" s="1"/>
  <c r="I120" i="12" s="1"/>
  <c r="B111" i="12"/>
  <c r="B120" i="12" s="1"/>
  <c r="I15" i="12"/>
  <c r="E78" i="4"/>
  <c r="B78" i="4"/>
  <c r="E77" i="3"/>
  <c r="E83" i="1"/>
  <c r="B83" i="1"/>
  <c r="E76" i="3"/>
  <c r="B76" i="3"/>
  <c r="E81" i="2"/>
  <c r="H92" i="2" s="1"/>
  <c r="B81" i="2"/>
  <c r="B117" i="12"/>
  <c r="B129" i="12" s="1"/>
  <c r="B52" i="12"/>
  <c r="B53" i="12" s="1"/>
  <c r="E54" i="12" s="1"/>
  <c r="B84" i="4"/>
  <c r="B96" i="4" s="1"/>
  <c r="B82" i="3"/>
  <c r="B87" i="2"/>
  <c r="B99" i="2" s="1"/>
  <c r="J69" i="2"/>
  <c r="J64" i="2"/>
  <c r="I64" i="2"/>
  <c r="I69" i="2"/>
  <c r="J92" i="2" l="1"/>
  <c r="I92" i="2"/>
  <c r="H91" i="1"/>
  <c r="I91" i="1" s="1"/>
  <c r="H103" i="1"/>
  <c r="J103" i="1" s="1"/>
  <c r="H92" i="1"/>
  <c r="J92" i="1" s="1"/>
  <c r="H104" i="1"/>
  <c r="K132" i="12"/>
  <c r="J120" i="12"/>
  <c r="J131" i="12"/>
  <c r="J132" i="12"/>
  <c r="E82" i="14"/>
  <c r="K120" i="12"/>
  <c r="K131" i="12"/>
  <c r="B94" i="14"/>
  <c r="B64" i="12"/>
  <c r="B93" i="14"/>
  <c r="B70" i="2"/>
  <c r="E59" i="12"/>
  <c r="I59" i="12" s="1"/>
  <c r="J59" i="12" s="1"/>
  <c r="E65" i="12"/>
  <c r="I65" i="12" s="1"/>
  <c r="K119" i="12"/>
  <c r="J119" i="12"/>
  <c r="E117" i="12"/>
  <c r="I117" i="12" s="1"/>
  <c r="E58" i="11"/>
  <c r="B69" i="11"/>
  <c r="B93" i="3"/>
  <c r="B98" i="2"/>
  <c r="B95" i="4"/>
  <c r="B128" i="12"/>
  <c r="B100" i="1"/>
  <c r="E89" i="1"/>
  <c r="E101" i="1" s="1"/>
  <c r="H101" i="1" s="1"/>
  <c r="E84" i="4"/>
  <c r="E96" i="4" s="1"/>
  <c r="H96" i="4" s="1"/>
  <c r="I96" i="4" s="1"/>
  <c r="E87" i="2"/>
  <c r="E99" i="2" s="1"/>
  <c r="E82" i="3"/>
  <c r="H82" i="3" s="1"/>
  <c r="I82" i="3" s="1"/>
  <c r="B94" i="3"/>
  <c r="B101" i="1"/>
  <c r="E69" i="2"/>
  <c r="B69" i="2"/>
  <c r="E70" i="2"/>
  <c r="I103" i="1" l="1"/>
  <c r="I92" i="1"/>
  <c r="J91" i="1"/>
  <c r="H82" i="14"/>
  <c r="E94" i="14"/>
  <c r="H94" i="14" s="1"/>
  <c r="I94" i="14" s="1"/>
  <c r="B81" i="14"/>
  <c r="K59" i="12"/>
  <c r="K65" i="12"/>
  <c r="J65" i="12"/>
  <c r="B116" i="12"/>
  <c r="B58" i="12"/>
  <c r="B83" i="4"/>
  <c r="B86" i="2"/>
  <c r="B81" i="3"/>
  <c r="B57" i="11"/>
  <c r="B88" i="1"/>
  <c r="H89" i="1"/>
  <c r="J89" i="1" s="1"/>
  <c r="E129" i="12"/>
  <c r="I129" i="12" s="1"/>
  <c r="E94" i="3"/>
  <c r="H94" i="3" s="1"/>
  <c r="I94" i="3" s="1"/>
  <c r="H84" i="4"/>
  <c r="J84" i="4" s="1"/>
  <c r="J96" i="4"/>
  <c r="J82" i="3"/>
  <c r="I101" i="1"/>
  <c r="J101" i="1"/>
  <c r="G6" i="12"/>
  <c r="E8" i="12" s="1"/>
  <c r="G5" i="12"/>
  <c r="E7" i="12" s="1"/>
  <c r="C106" i="4"/>
  <c r="C112" i="4" s="1"/>
  <c r="C118" i="4" s="1"/>
  <c r="C104" i="3"/>
  <c r="C110" i="3" s="1"/>
  <c r="B84" i="1"/>
  <c r="B77" i="3"/>
  <c r="B57" i="2"/>
  <c r="B75" i="2" s="1"/>
  <c r="B82" i="2" s="1"/>
  <c r="B43" i="2"/>
  <c r="B9" i="1"/>
  <c r="B42" i="1" s="1"/>
  <c r="C42" i="1" s="1"/>
  <c r="B48" i="11"/>
  <c r="B52" i="11" s="1"/>
  <c r="H52" i="11"/>
  <c r="H51" i="11"/>
  <c r="H43" i="11"/>
  <c r="B43" i="11"/>
  <c r="H42" i="11"/>
  <c r="B42" i="11"/>
  <c r="B18" i="11"/>
  <c r="B68" i="11" s="1"/>
  <c r="B30" i="11"/>
  <c r="H33" i="11"/>
  <c r="J33" i="11" s="1"/>
  <c r="H32" i="11"/>
  <c r="J32" i="11" s="1"/>
  <c r="H28" i="11"/>
  <c r="I28" i="11" s="1"/>
  <c r="H27" i="11"/>
  <c r="I27" i="11" s="1"/>
  <c r="B144" i="2"/>
  <c r="B145" i="2" s="1"/>
  <c r="B10" i="1"/>
  <c r="B8" i="9"/>
  <c r="I104" i="1" l="1"/>
  <c r="J104" i="1"/>
  <c r="J94" i="14"/>
  <c r="I82" i="14"/>
  <c r="J82" i="14"/>
  <c r="E93" i="14"/>
  <c r="H93" i="14" s="1"/>
  <c r="E81" i="14"/>
  <c r="H81" i="14" s="1"/>
  <c r="J81" i="14" s="1"/>
  <c r="J55" i="2"/>
  <c r="I56" i="2"/>
  <c r="B56" i="2" s="1"/>
  <c r="I55" i="2"/>
  <c r="I54" i="2"/>
  <c r="B54" i="2" s="1"/>
  <c r="I48" i="2"/>
  <c r="B48" i="2" s="1"/>
  <c r="I50" i="2"/>
  <c r="J49" i="2"/>
  <c r="I49" i="2"/>
  <c r="E93" i="3"/>
  <c r="H93" i="3" s="1"/>
  <c r="E64" i="12"/>
  <c r="I64" i="12" s="1"/>
  <c r="E88" i="1"/>
  <c r="H88" i="1" s="1"/>
  <c r="E58" i="12"/>
  <c r="I58" i="12" s="1"/>
  <c r="K58" i="12" s="1"/>
  <c r="K60" i="12" s="1"/>
  <c r="B79" i="4"/>
  <c r="E57" i="11"/>
  <c r="H57" i="11" s="1"/>
  <c r="E81" i="3"/>
  <c r="H81" i="3" s="1"/>
  <c r="E86" i="2"/>
  <c r="H86" i="2" s="1"/>
  <c r="J86" i="2" s="1"/>
  <c r="E83" i="4"/>
  <c r="H83" i="4" s="1"/>
  <c r="E116" i="12"/>
  <c r="I116" i="12" s="1"/>
  <c r="K116" i="12" s="1"/>
  <c r="E100" i="1"/>
  <c r="H100" i="1" s="1"/>
  <c r="E98" i="2"/>
  <c r="H98" i="2" s="1"/>
  <c r="E69" i="11"/>
  <c r="H69" i="11" s="1"/>
  <c r="E128" i="12"/>
  <c r="I128" i="12" s="1"/>
  <c r="J128" i="12" s="1"/>
  <c r="E95" i="4"/>
  <c r="H95" i="4" s="1"/>
  <c r="I89" i="1"/>
  <c r="K129" i="12"/>
  <c r="J129" i="12"/>
  <c r="J117" i="12"/>
  <c r="K117" i="12"/>
  <c r="J94" i="3"/>
  <c r="I84" i="4"/>
  <c r="E146" i="2"/>
  <c r="J52" i="11"/>
  <c r="B51" i="11"/>
  <c r="I51" i="11" s="1"/>
  <c r="I52" i="11"/>
  <c r="J42" i="11"/>
  <c r="I43" i="11"/>
  <c r="I42" i="11"/>
  <c r="J43" i="11"/>
  <c r="J34" i="11"/>
  <c r="B56" i="11"/>
  <c r="J27" i="11"/>
  <c r="J28" i="11"/>
  <c r="I32" i="11"/>
  <c r="I33" i="11"/>
  <c r="H99" i="2"/>
  <c r="E6" i="13"/>
  <c r="D6" i="13"/>
  <c r="B6" i="13" s="1"/>
  <c r="B13" i="13" s="1"/>
  <c r="B12" i="13"/>
  <c r="H131" i="2"/>
  <c r="B7" i="6"/>
  <c r="B8" i="6" s="1"/>
  <c r="J89" i="14" l="1"/>
  <c r="I93" i="14"/>
  <c r="I101" i="14" s="1"/>
  <c r="J93" i="14"/>
  <c r="J101" i="14" s="1"/>
  <c r="I81" i="14"/>
  <c r="I89" i="14" s="1"/>
  <c r="B55" i="2"/>
  <c r="B49" i="2"/>
  <c r="J58" i="12"/>
  <c r="J60" i="12" s="1"/>
  <c r="E60" i="12" s="1"/>
  <c r="K64" i="12"/>
  <c r="K66" i="12" s="1"/>
  <c r="J64" i="12"/>
  <c r="J66" i="12" s="1"/>
  <c r="J116" i="12"/>
  <c r="J124" i="12" s="1"/>
  <c r="K128" i="12"/>
  <c r="K136" i="12" s="1"/>
  <c r="J136" i="12"/>
  <c r="K124" i="12"/>
  <c r="I86" i="2"/>
  <c r="I83" i="4"/>
  <c r="I91" i="4" s="1"/>
  <c r="J83" i="4"/>
  <c r="J91" i="4" s="1"/>
  <c r="I88" i="1"/>
  <c r="I96" i="1" s="1"/>
  <c r="J88" i="1"/>
  <c r="J96" i="1" s="1"/>
  <c r="J81" i="3"/>
  <c r="J89" i="3" s="1"/>
  <c r="I81" i="3"/>
  <c r="I89" i="3" s="1"/>
  <c r="J93" i="3"/>
  <c r="J101" i="3" s="1"/>
  <c r="I93" i="3"/>
  <c r="I101" i="3" s="1"/>
  <c r="J100" i="1"/>
  <c r="J108" i="1" s="1"/>
  <c r="I100" i="1"/>
  <c r="I108" i="1" s="1"/>
  <c r="I95" i="4"/>
  <c r="I103" i="4" s="1"/>
  <c r="J95" i="4"/>
  <c r="J103" i="4" s="1"/>
  <c r="J57" i="11"/>
  <c r="I98" i="2"/>
  <c r="J69" i="11"/>
  <c r="J98" i="2"/>
  <c r="I57" i="11"/>
  <c r="I69" i="11"/>
  <c r="I53" i="11"/>
  <c r="E53" i="11" s="1"/>
  <c r="J51" i="11"/>
  <c r="J53" i="11" s="1"/>
  <c r="J44" i="11"/>
  <c r="I44" i="11"/>
  <c r="J29" i="11"/>
  <c r="I34" i="11"/>
  <c r="I29" i="11"/>
  <c r="J33" i="1"/>
  <c r="J34" i="1" s="1"/>
  <c r="I33" i="1"/>
  <c r="I34" i="1" s="1"/>
  <c r="C20" i="1"/>
  <c r="C13" i="1"/>
  <c r="B17" i="1"/>
  <c r="B16" i="1"/>
  <c r="B10" i="9"/>
  <c r="B163" i="1"/>
  <c r="C109" i="2"/>
  <c r="C111" i="1" l="1"/>
  <c r="C117" i="1" s="1"/>
  <c r="C123" i="1" s="1"/>
  <c r="C23" i="1"/>
  <c r="C43" i="1" s="1"/>
  <c r="C62" i="1" s="1"/>
  <c r="E89" i="14"/>
  <c r="E107" i="14" s="1"/>
  <c r="B89" i="14"/>
  <c r="B106" i="14" s="1"/>
  <c r="B107" i="14" s="1"/>
  <c r="E101" i="14"/>
  <c r="E112" i="14" s="1"/>
  <c r="E113" i="14" s="1"/>
  <c r="B101" i="14"/>
  <c r="B112" i="14" s="1"/>
  <c r="B113" i="14" s="1"/>
  <c r="B128" i="14" s="1"/>
  <c r="B53" i="11"/>
  <c r="B60" i="12"/>
  <c r="B71" i="12" s="1"/>
  <c r="B72" i="12" s="1"/>
  <c r="B66" i="12"/>
  <c r="B77" i="12" s="1"/>
  <c r="B78" i="12" s="1"/>
  <c r="E66" i="12"/>
  <c r="E124" i="12"/>
  <c r="B124" i="12"/>
  <c r="B141" i="12" s="1"/>
  <c r="B142" i="12" s="1"/>
  <c r="E136" i="12"/>
  <c r="B136" i="12"/>
  <c r="B103" i="4"/>
  <c r="B114" i="4" s="1"/>
  <c r="E103" i="4"/>
  <c r="E114" i="4" s="1"/>
  <c r="B89" i="3"/>
  <c r="E89" i="3"/>
  <c r="E108" i="1"/>
  <c r="E119" i="1" s="1"/>
  <c r="B108" i="1"/>
  <c r="B119" i="1" s="1"/>
  <c r="B101" i="3"/>
  <c r="E101" i="3"/>
  <c r="E96" i="1"/>
  <c r="E113" i="1" s="1"/>
  <c r="B96" i="1"/>
  <c r="B113" i="1" s="1"/>
  <c r="E91" i="4"/>
  <c r="E108" i="4" s="1"/>
  <c r="B91" i="4"/>
  <c r="B108" i="4" s="1"/>
  <c r="E44" i="11"/>
  <c r="B44" i="11"/>
  <c r="E34" i="11"/>
  <c r="B34" i="11"/>
  <c r="E29" i="11"/>
  <c r="B29" i="11"/>
  <c r="B54" i="8"/>
  <c r="B45" i="8"/>
  <c r="B51" i="8" s="1"/>
  <c r="L141" i="4"/>
  <c r="J142" i="4"/>
  <c r="J141" i="4"/>
  <c r="L142" i="4"/>
  <c r="B155" i="2"/>
  <c r="J157" i="2"/>
  <c r="J156" i="2"/>
  <c r="C154" i="2"/>
  <c r="C160" i="2" s="1"/>
  <c r="L157" i="2"/>
  <c r="L156" i="2"/>
  <c r="L178" i="3"/>
  <c r="N178" i="3" s="1"/>
  <c r="J179" i="3"/>
  <c r="J178" i="3"/>
  <c r="L179" i="3"/>
  <c r="N179" i="3" s="1"/>
  <c r="L165" i="1"/>
  <c r="L164" i="1"/>
  <c r="M164" i="1" s="1"/>
  <c r="J165" i="1"/>
  <c r="J164" i="1"/>
  <c r="C162" i="1"/>
  <c r="C168" i="1" s="1"/>
  <c r="M140" i="1"/>
  <c r="M141" i="1" s="1"/>
  <c r="L140" i="1"/>
  <c r="L141" i="1" s="1"/>
  <c r="H132" i="2"/>
  <c r="C21" i="2"/>
  <c r="B28" i="8"/>
  <c r="B27" i="8"/>
  <c r="D32" i="8" s="1"/>
  <c r="B17" i="8"/>
  <c r="B16" i="8"/>
  <c r="J116" i="3"/>
  <c r="J117" i="3" s="1"/>
  <c r="I117" i="3"/>
  <c r="I131" i="2"/>
  <c r="I132" i="2" s="1"/>
  <c r="J131" i="4"/>
  <c r="J132" i="4" s="1"/>
  <c r="I131" i="4"/>
  <c r="I132" i="4" s="1"/>
  <c r="B122" i="4"/>
  <c r="C130" i="4"/>
  <c r="C139" i="4" s="1"/>
  <c r="C133" i="1"/>
  <c r="C115" i="2"/>
  <c r="C121" i="2" s="1"/>
  <c r="B10" i="3"/>
  <c r="B156" i="1"/>
  <c r="B44" i="2"/>
  <c r="B46" i="2" s="1"/>
  <c r="E130" i="14" l="1"/>
  <c r="B133" i="14"/>
  <c r="E135" i="14" s="1"/>
  <c r="B117" i="3"/>
  <c r="D131" i="2"/>
  <c r="D22" i="8"/>
  <c r="D139" i="1"/>
  <c r="B146" i="1" s="1"/>
  <c r="H61" i="11"/>
  <c r="J61" i="11" s="1"/>
  <c r="H91" i="2"/>
  <c r="H75" i="11"/>
  <c r="H63" i="11"/>
  <c r="H74" i="11"/>
  <c r="H62" i="11"/>
  <c r="I62" i="11" s="1"/>
  <c r="H89" i="2"/>
  <c r="J89" i="2" s="1"/>
  <c r="H101" i="2"/>
  <c r="H72" i="11"/>
  <c r="H60" i="11"/>
  <c r="J60" i="11" s="1"/>
  <c r="H104" i="2"/>
  <c r="H87" i="2"/>
  <c r="J87" i="2" s="1"/>
  <c r="B70" i="11"/>
  <c r="N165" i="1"/>
  <c r="M165" i="1"/>
  <c r="D133" i="4"/>
  <c r="B135" i="4" s="1"/>
  <c r="D136" i="4" s="1"/>
  <c r="N164" i="1"/>
  <c r="B56" i="8"/>
  <c r="B55" i="8"/>
  <c r="M178" i="3"/>
  <c r="M179" i="3"/>
  <c r="B178" i="3" s="1"/>
  <c r="D179" i="3" s="1"/>
  <c r="D33" i="8"/>
  <c r="D21" i="8"/>
  <c r="D54" i="2"/>
  <c r="D56" i="2"/>
  <c r="H73" i="11" l="1"/>
  <c r="I73" i="11" s="1"/>
  <c r="J63" i="11"/>
  <c r="H102" i="2"/>
  <c r="H90" i="2"/>
  <c r="I90" i="2" s="1"/>
  <c r="I91" i="2"/>
  <c r="J91" i="2"/>
  <c r="H103" i="2"/>
  <c r="I60" i="11"/>
  <c r="J104" i="2"/>
  <c r="I101" i="2"/>
  <c r="I87" i="2"/>
  <c r="J62" i="11"/>
  <c r="H105" i="2"/>
  <c r="I63" i="11"/>
  <c r="I75" i="11"/>
  <c r="J75" i="11"/>
  <c r="I89" i="2"/>
  <c r="J101" i="2"/>
  <c r="H76" i="11"/>
  <c r="H64" i="11"/>
  <c r="I64" i="11" s="1"/>
  <c r="J74" i="11"/>
  <c r="I74" i="11"/>
  <c r="J72" i="11"/>
  <c r="I72" i="11"/>
  <c r="I104" i="2"/>
  <c r="I61" i="11"/>
  <c r="E106" i="3"/>
  <c r="I99" i="2"/>
  <c r="J99" i="2"/>
  <c r="H58" i="11"/>
  <c r="E70" i="11"/>
  <c r="H70" i="11" s="1"/>
  <c r="I70" i="11" s="1"/>
  <c r="B164" i="1"/>
  <c r="D165" i="1" s="1"/>
  <c r="B150" i="1"/>
  <c r="B158" i="1"/>
  <c r="J73" i="11" l="1"/>
  <c r="J90" i="2"/>
  <c r="J94" i="2" s="1"/>
  <c r="I102" i="2"/>
  <c r="J102" i="2"/>
  <c r="J103" i="2"/>
  <c r="I103" i="2"/>
  <c r="I94" i="2"/>
  <c r="J64" i="11"/>
  <c r="J76" i="11"/>
  <c r="I76" i="11"/>
  <c r="I77" i="11" s="1"/>
  <c r="J105" i="2"/>
  <c r="I105" i="2"/>
  <c r="I58" i="11"/>
  <c r="I65" i="11" s="1"/>
  <c r="J58" i="11"/>
  <c r="J70" i="11"/>
  <c r="C128" i="2"/>
  <c r="C137" i="2" s="1"/>
  <c r="B22" i="9"/>
  <c r="B20" i="9"/>
  <c r="B21" i="9" s="1"/>
  <c r="B9" i="9"/>
  <c r="D15" i="11"/>
  <c r="B35" i="11"/>
  <c r="B133" i="2"/>
  <c r="B11" i="11"/>
  <c r="B24" i="11" s="1"/>
  <c r="B14" i="11"/>
  <c r="B10" i="11"/>
  <c r="J106" i="2" l="1"/>
  <c r="I106" i="2"/>
  <c r="B94" i="2"/>
  <c r="B111" i="2" s="1"/>
  <c r="E107" i="3"/>
  <c r="B106" i="3"/>
  <c r="B107" i="3" s="1"/>
  <c r="J77" i="11"/>
  <c r="B77" i="11" s="1"/>
  <c r="J65" i="11"/>
  <c r="B65" i="11" s="1"/>
  <c r="B109" i="4"/>
  <c r="B131" i="4" s="1"/>
  <c r="E94" i="2"/>
  <c r="E120" i="1"/>
  <c r="B12" i="9"/>
  <c r="B13" i="9" s="1"/>
  <c r="B15" i="9" s="1"/>
  <c r="B23" i="9"/>
  <c r="B24" i="9" s="1"/>
  <c r="B25" i="9" s="1"/>
  <c r="B26" i="9" s="1"/>
  <c r="D134" i="2"/>
  <c r="B20" i="11"/>
  <c r="C21" i="11" s="1"/>
  <c r="E106" i="2" l="1"/>
  <c r="E117" i="2" s="1"/>
  <c r="E118" i="2" s="1"/>
  <c r="E111" i="2"/>
  <c r="E112" i="2" s="1"/>
  <c r="B112" i="2"/>
  <c r="E112" i="3"/>
  <c r="E113" i="3" s="1"/>
  <c r="B106" i="2"/>
  <c r="E77" i="11"/>
  <c r="B126" i="1"/>
  <c r="B127" i="1" s="1"/>
  <c r="E65" i="11"/>
  <c r="B112" i="3"/>
  <c r="E109" i="4"/>
  <c r="E114" i="1"/>
  <c r="E126" i="1"/>
  <c r="E127" i="1" s="1"/>
  <c r="B24" i="6"/>
  <c r="B16" i="6"/>
  <c r="B6" i="7"/>
  <c r="B6" i="8"/>
  <c r="B5" i="8"/>
  <c r="D11" i="8" l="1"/>
  <c r="B117" i="2"/>
  <c r="B118" i="2" s="1"/>
  <c r="B120" i="1"/>
  <c r="B135" i="1" s="1"/>
  <c r="B149" i="1" s="1"/>
  <c r="B128" i="1"/>
  <c r="B113" i="3"/>
  <c r="B161" i="3" s="1"/>
  <c r="E115" i="4"/>
  <c r="B115" i="4"/>
  <c r="B119" i="4" s="1"/>
  <c r="E123" i="4" s="1"/>
  <c r="D10" i="8"/>
  <c r="B130" i="1" l="1"/>
  <c r="B136" i="1" s="1"/>
  <c r="B122" i="2"/>
  <c r="B148" i="2"/>
  <c r="B166" i="3"/>
  <c r="E163" i="3"/>
  <c r="B133" i="3"/>
  <c r="E135" i="3" s="1"/>
  <c r="D151" i="1"/>
  <c r="B39" i="8"/>
  <c r="E168" i="3" l="1"/>
  <c r="B171" i="3"/>
  <c r="E173" i="3" s="1"/>
  <c r="B143" i="3"/>
  <c r="E145" i="3" s="1"/>
  <c r="B121" i="3"/>
  <c r="B153" i="3" l="1"/>
  <c r="E155" i="3" s="1"/>
  <c r="N142" i="4"/>
  <c r="M142" i="4"/>
  <c r="M141" i="4"/>
  <c r="N141" i="4"/>
  <c r="D122" i="3"/>
  <c r="C82" i="4" l="1"/>
  <c r="C94" i="4" s="1"/>
  <c r="C70" i="4"/>
  <c r="C80" i="3"/>
  <c r="C92" i="3" s="1"/>
  <c r="C68" i="3"/>
  <c r="I35" i="4"/>
  <c r="D36" i="4" s="1"/>
  <c r="B141" i="4"/>
  <c r="D142" i="4" s="1"/>
  <c r="D49" i="2"/>
  <c r="D55" i="2"/>
  <c r="C116" i="3"/>
  <c r="C125" i="3" l="1"/>
  <c r="C158" i="3" s="1"/>
  <c r="C176" i="3" s="1"/>
  <c r="C182" i="3" s="1"/>
  <c r="B114" i="1"/>
  <c r="D50" i="2"/>
  <c r="D48" i="2"/>
  <c r="C41" i="2"/>
  <c r="C60" i="2" s="1"/>
  <c r="C73" i="2" s="1"/>
  <c r="C85" i="2" s="1"/>
  <c r="B16" i="2"/>
  <c r="B147" i="2" s="1"/>
  <c r="B40" i="2"/>
  <c r="C40" i="2" s="1"/>
  <c r="B157" i="1"/>
  <c r="D147" i="1"/>
  <c r="H141" i="1"/>
  <c r="B142" i="1" s="1"/>
  <c r="D12" i="2" l="1"/>
  <c r="B161" i="2"/>
  <c r="B163" i="2" s="1"/>
  <c r="C87" i="1"/>
  <c r="C99" i="1" s="1"/>
  <c r="C75" i="1"/>
  <c r="C97" i="2"/>
  <c r="B134" i="1"/>
  <c r="D15" i="4"/>
  <c r="D13" i="3"/>
  <c r="N157" i="2"/>
  <c r="M156" i="2"/>
  <c r="N156" i="2"/>
  <c r="M157" i="2"/>
  <c r="D159" i="1"/>
  <c r="B124" i="2"/>
  <c r="B33" i="2"/>
  <c r="J39" i="2" s="1"/>
  <c r="B17" i="2"/>
  <c r="B15" i="2"/>
  <c r="B32" i="2"/>
  <c r="I44" i="2"/>
  <c r="I140" i="1"/>
  <c r="H142" i="1"/>
  <c r="B143" i="1" s="1"/>
  <c r="H140" i="1"/>
  <c r="B150" i="2" l="1"/>
  <c r="B149" i="2"/>
  <c r="B51" i="2"/>
  <c r="B50" i="2"/>
  <c r="B34" i="2"/>
  <c r="I39" i="2"/>
  <c r="D39" i="2" s="1"/>
  <c r="B156" i="2"/>
  <c r="D157" i="2" s="1"/>
  <c r="B141" i="1"/>
  <c r="B140" i="2" l="1"/>
  <c r="E141" i="2" s="1"/>
  <c r="E151" i="2"/>
  <c r="F37" i="2"/>
  <c r="B36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<sst xmlns="http://schemas.openxmlformats.org/spreadsheetml/2006/main" count="2675" uniqueCount="505">
  <si>
    <t xml:space="preserve">Smeltesikring 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</si>
  <si>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</si>
  <si>
    <t>A</t>
  </si>
  <si>
    <t>Type</t>
  </si>
  <si>
    <t>Kortslutningsbeskyttelse</t>
  </si>
  <si>
    <t>Kabel</t>
  </si>
  <si>
    <t xml:space="preserve">Konstanter </t>
  </si>
  <si>
    <t>∠</t>
  </si>
  <si>
    <t>°</t>
  </si>
  <si>
    <t>Flerleder</t>
  </si>
  <si>
    <t>Enleder</t>
  </si>
  <si>
    <r>
      <t>U</t>
    </r>
    <r>
      <rPr>
        <vertAlign val="subscript"/>
        <sz val="11"/>
        <color theme="1"/>
        <rFont val="Calibri"/>
        <family val="2"/>
        <scheme val="minor"/>
      </rPr>
      <t>N</t>
    </r>
  </si>
  <si>
    <t>V</t>
  </si>
  <si>
    <t>Ω</t>
  </si>
  <si>
    <r>
      <t>Ganges på R af Z</t>
    </r>
    <r>
      <rPr>
        <vertAlign val="subscript"/>
        <sz val="11"/>
        <color theme="1"/>
        <rFont val="Calibri"/>
        <family val="2"/>
        <scheme val="minor"/>
      </rPr>
      <t>MAX</t>
    </r>
  </si>
  <si>
    <t>70=1,38</t>
  </si>
  <si>
    <t>90=1,8</t>
  </si>
  <si>
    <t xml:space="preserve">X ganges med 2 hvis der er nul </t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</si>
  <si>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</si>
  <si>
    <t>s</t>
  </si>
  <si>
    <t>S</t>
  </si>
  <si>
    <r>
      <t>mm</t>
    </r>
    <r>
      <rPr>
        <vertAlign val="superscript"/>
        <sz val="11"/>
        <color theme="1"/>
        <rFont val="Calibri"/>
        <family val="2"/>
        <scheme val="minor"/>
      </rPr>
      <t>2</t>
    </r>
  </si>
  <si>
    <t>tværsnittet</t>
  </si>
  <si>
    <t>k</t>
  </si>
  <si>
    <t>K værdi for ERP/XLPE: kobber; 143. Aluminium: 94. kommer an på materialet</t>
  </si>
  <si>
    <t>Beslutningsvej</t>
  </si>
  <si>
    <r>
      <t>0,1</t>
    </r>
    <r>
      <rPr>
        <sz val="11"/>
        <color theme="1"/>
        <rFont val="Calibri"/>
        <family val="2"/>
      </rPr>
      <t>≥t</t>
    </r>
    <r>
      <rPr>
        <vertAlign val="subscript"/>
        <sz val="11"/>
        <color theme="1"/>
        <rFont val="Calibri"/>
        <family val="2"/>
      </rPr>
      <t>s</t>
    </r>
    <r>
      <rPr>
        <sz val="11"/>
        <color theme="1"/>
        <rFont val="Calibri"/>
        <family val="2"/>
      </rPr>
      <t>&gt;1ms</t>
    </r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</si>
  <si>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</rPr>
      <t>≤1ms</t>
    </r>
  </si>
  <si>
    <t>Aflæs tabel</t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</si>
  <si>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&gt;0,1s</t>
    </r>
  </si>
  <si>
    <t>Beregning</t>
  </si>
  <si>
    <t>KB</t>
  </si>
  <si>
    <r>
      <t>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</si>
  <si>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</si>
  <si>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E</t>
    </r>
    <r>
      <rPr>
        <sz val="11"/>
        <color theme="1"/>
        <rFont val="Calibri"/>
        <family val="2"/>
      </rPr>
      <t>≤k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*S</t>
    </r>
    <r>
      <rPr>
        <vertAlign val="superscript"/>
        <sz val="11"/>
        <color theme="1"/>
        <rFont val="Calibri"/>
        <family val="2"/>
      </rPr>
      <t>2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</si>
  <si>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</si>
  <si>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s</t>
    </r>
  </si>
  <si>
    <r>
      <t>E</t>
    </r>
    <r>
      <rPr>
        <vertAlign val="subscript"/>
        <sz val="11"/>
        <color theme="1"/>
        <rFont val="Calibri"/>
        <family val="2"/>
        <scheme val="minor"/>
      </rPr>
      <t>lysbue</t>
    </r>
    <r>
      <rPr>
        <sz val="11"/>
        <color theme="1"/>
        <rFont val="Calibri"/>
        <family val="2"/>
        <scheme val="minor"/>
      </rPr>
      <t>=I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-I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s</t>
    </r>
  </si>
  <si>
    <t xml:space="preserve">Dimminsionering </t>
  </si>
  <si>
    <t>Materiale</t>
  </si>
  <si>
    <r>
      <t>Intralationsmetode I</t>
    </r>
    <r>
      <rPr>
        <vertAlign val="subscript"/>
        <sz val="11"/>
        <color theme="1"/>
        <rFont val="Calibri"/>
        <family val="2"/>
        <scheme val="minor"/>
      </rPr>
      <t>m</t>
    </r>
  </si>
  <si>
    <t>Tabel</t>
  </si>
  <si>
    <t>A.52.3</t>
  </si>
  <si>
    <t>Nummer</t>
  </si>
  <si>
    <t>Reference</t>
  </si>
  <si>
    <t xml:space="preserve">Instalations reference </t>
  </si>
  <si>
    <t>B.52.1</t>
  </si>
  <si>
    <t>Strømværdier</t>
  </si>
  <si>
    <t xml:space="preserve">Når det er D2 vælges samme tabeller som fra D bare i kolone 8. </t>
  </si>
  <si>
    <r>
      <t>K</t>
    </r>
    <r>
      <rPr>
        <vertAlign val="subscript"/>
        <sz val="11"/>
        <color theme="1"/>
        <rFont val="Calibri"/>
        <family val="2"/>
        <scheme val="minor"/>
      </rPr>
      <t>t</t>
    </r>
  </si>
  <si>
    <t>Ks</t>
  </si>
  <si>
    <r>
      <t>K</t>
    </r>
    <r>
      <rPr>
        <vertAlign val="subscript"/>
        <sz val="11"/>
        <color theme="1"/>
        <rFont val="Calibri"/>
        <family val="2"/>
        <scheme val="minor"/>
      </rPr>
      <t>tm</t>
    </r>
  </si>
  <si>
    <t>B.52.16</t>
  </si>
  <si>
    <r>
      <t>K</t>
    </r>
    <r>
      <rPr>
        <vertAlign val="subscript"/>
        <sz val="11"/>
        <color theme="1"/>
        <rFont val="Calibri"/>
        <family val="2"/>
        <scheme val="minor"/>
      </rPr>
      <t>OH</t>
    </r>
  </si>
  <si>
    <r>
      <t>K</t>
    </r>
    <r>
      <rPr>
        <vertAlign val="subscript"/>
        <sz val="11"/>
        <color theme="1"/>
        <rFont val="Calibri"/>
        <family val="2"/>
        <scheme val="minor"/>
      </rPr>
      <t>jorddybde</t>
    </r>
  </si>
  <si>
    <t>PE leder</t>
  </si>
  <si>
    <t>Valg af PE leder</t>
  </si>
  <si>
    <t>54.2</t>
  </si>
  <si>
    <t>Tværsnit S</t>
  </si>
  <si>
    <t>Materiale leder</t>
  </si>
  <si>
    <t>Materiale PE</t>
  </si>
  <si>
    <t xml:space="preserve">Samme materiale </t>
  </si>
  <si>
    <t>a</t>
  </si>
  <si>
    <t>Tabelværdi for PEN leder</t>
  </si>
  <si>
    <r>
      <t>S≤16 mm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</si>
  <si>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16 mm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&lt;S≤35 mm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</si>
  <si>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16</t>
    </r>
    <r>
      <rPr>
        <vertAlign val="superscript"/>
        <sz val="11"/>
        <color theme="1"/>
        <rFont val="Calibri"/>
        <family val="2"/>
        <scheme val="minor"/>
      </rPr>
      <t>a</t>
    </r>
  </si>
  <si>
    <r>
      <t>S&gt;35 mm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</si>
  <si>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(S/2)</t>
    </r>
    <r>
      <rPr>
        <vertAlign val="superscript"/>
        <sz val="11"/>
        <color theme="1"/>
        <rFont val="Calibri"/>
        <family val="2"/>
        <scheme val="minor"/>
      </rPr>
      <t>a</t>
    </r>
  </si>
  <si>
    <t>Forskellig materiale</t>
  </si>
  <si>
    <r>
      <t>Kobber k</t>
    </r>
    <r>
      <rPr>
        <vertAlign val="subscript"/>
        <sz val="11"/>
        <color theme="1"/>
        <rFont val="Calibri"/>
        <family val="2"/>
        <scheme val="minor"/>
      </rPr>
      <t>2</t>
    </r>
  </si>
  <si>
    <t>43A</t>
  </si>
  <si>
    <t>Tabelværdi AL</t>
  </si>
  <si>
    <r>
      <t>Aluminium k</t>
    </r>
    <r>
      <rPr>
        <vertAlign val="subscript"/>
        <sz val="11"/>
        <color theme="1"/>
        <rFont val="Calibri"/>
        <family val="2"/>
        <scheme val="minor"/>
      </rPr>
      <t>1</t>
    </r>
  </si>
  <si>
    <t>Tabelværdi CU</t>
  </si>
  <si>
    <r>
      <t>(k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/k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)*S</t>
    </r>
  </si>
  <si>
    <r>
      <t>(k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/k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)*16</t>
    </r>
  </si>
  <si>
    <r>
      <t>(k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/k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)*(S/2)</t>
    </r>
  </si>
  <si>
    <t>Valg af PE Leder</t>
  </si>
  <si>
    <t>MCCB</t>
  </si>
  <si>
    <t>kA</t>
  </si>
  <si>
    <r>
      <t>I</t>
    </r>
    <r>
      <rPr>
        <vertAlign val="subscript"/>
        <sz val="11"/>
        <color theme="1"/>
        <rFont val="Calibri"/>
        <family val="2"/>
        <scheme val="minor"/>
      </rPr>
      <t>cu</t>
    </r>
  </si>
  <si>
    <t xml:space="preserve">Unit </t>
  </si>
  <si>
    <t>Micrologic 2</t>
  </si>
  <si>
    <r>
      <t>I</t>
    </r>
    <r>
      <rPr>
        <vertAlign val="subscript"/>
        <sz val="11"/>
        <color theme="1"/>
        <rFont val="Calibri"/>
        <family val="2"/>
        <scheme val="minor"/>
      </rPr>
      <t>0</t>
    </r>
  </si>
  <si>
    <t>Oprundet</t>
  </si>
  <si>
    <t>kV</t>
  </si>
  <si>
    <t>sikkerhedsfaktor</t>
  </si>
  <si>
    <t>MCB</t>
  </si>
  <si>
    <t>kabel</t>
  </si>
  <si>
    <t xml:space="preserve">OBS: er der overharmoniske strømme til at finde K faktoren for de overharmoniske strømme. </t>
  </si>
  <si>
    <r>
      <t>I</t>
    </r>
    <r>
      <rPr>
        <vertAlign val="subscript"/>
        <sz val="11"/>
        <color theme="1"/>
        <rFont val="Calibri"/>
        <family val="2"/>
        <scheme val="minor"/>
      </rPr>
      <t>r</t>
    </r>
  </si>
  <si>
    <t>for samlede belastninger brug belastningsgrundlag 2</t>
  </si>
  <si>
    <r>
      <t>(k*S)</t>
    </r>
    <r>
      <rPr>
        <vertAlign val="superscript"/>
        <sz val="11"/>
        <color theme="1"/>
        <rFont val="Calibri"/>
        <family val="2"/>
        <scheme val="minor"/>
      </rPr>
      <t>2</t>
    </r>
  </si>
  <si>
    <t>Brydeevne</t>
  </si>
  <si>
    <t>C-kurve</t>
  </si>
  <si>
    <t>B-kurve</t>
  </si>
  <si>
    <t>Kortslutningsudløserens effektivitet</t>
  </si>
  <si>
    <t>MMS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</si>
  <si>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</si>
  <si>
    <t>± 20%</t>
  </si>
  <si>
    <t>Magnetudløser</t>
  </si>
  <si>
    <t>B.52.</t>
  </si>
  <si>
    <t xml:space="preserve">Spændingsfald </t>
  </si>
  <si>
    <r>
      <t>r</t>
    </r>
    <r>
      <rPr>
        <vertAlign val="subscript"/>
        <sz val="11"/>
        <color theme="1"/>
        <rFont val="Calibri"/>
        <family val="2"/>
        <scheme val="minor"/>
      </rPr>
      <t>ka</t>
    </r>
  </si>
  <si>
    <r>
      <t>x</t>
    </r>
    <r>
      <rPr>
        <vertAlign val="subscript"/>
        <sz val="11"/>
        <color theme="1"/>
        <rFont val="Calibri"/>
        <family val="2"/>
        <scheme val="minor"/>
      </rPr>
      <t>ka</t>
    </r>
  </si>
  <si>
    <r>
      <t>l</t>
    </r>
    <r>
      <rPr>
        <vertAlign val="subscript"/>
        <sz val="11"/>
        <color theme="1"/>
        <rFont val="Calibri"/>
        <family val="2"/>
        <scheme val="minor"/>
      </rPr>
      <t>ka</t>
    </r>
  </si>
  <si>
    <t>km</t>
  </si>
  <si>
    <t>sinφ</t>
  </si>
  <si>
    <t xml:space="preserve">cosφ </t>
  </si>
  <si>
    <r>
      <t>∆U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>=I</t>
    </r>
    <r>
      <rPr>
        <vertAlign val="subscript"/>
        <sz val="11"/>
        <color theme="1"/>
        <rFont val="Calibri"/>
        <family val="2"/>
      </rPr>
      <t>b</t>
    </r>
    <r>
      <rPr>
        <sz val="11"/>
        <color theme="1"/>
        <rFont val="Calibri"/>
        <family val="2"/>
      </rPr>
      <t>*L*(1,25*(r</t>
    </r>
    <r>
      <rPr>
        <vertAlign val="subscript"/>
        <sz val="11"/>
        <color theme="1"/>
        <rFont val="Calibri"/>
        <family val="2"/>
      </rPr>
      <t>ka</t>
    </r>
    <r>
      <rPr>
        <sz val="11"/>
        <color theme="1"/>
        <rFont val="Calibri"/>
        <family val="2"/>
      </rPr>
      <t>*cosφ)+(x</t>
    </r>
    <r>
      <rPr>
        <vertAlign val="subscript"/>
        <sz val="11"/>
        <color theme="1"/>
        <rFont val="Calibri"/>
        <family val="2"/>
      </rPr>
      <t>ka</t>
    </r>
    <r>
      <rPr>
        <sz val="11"/>
        <color theme="1"/>
        <rFont val="Calibri"/>
        <family val="2"/>
      </rPr>
      <t>*sinφ))</t>
    </r>
  </si>
  <si>
    <r>
      <t>∑∆U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>=+ alle ∆U</t>
    </r>
    <r>
      <rPr>
        <vertAlign val="subscript"/>
        <sz val="11"/>
        <color theme="1"/>
        <rFont val="Calibri"/>
        <family val="2"/>
      </rPr>
      <t>f</t>
    </r>
  </si>
  <si>
    <r>
      <t>∑∆U</t>
    </r>
    <r>
      <rPr>
        <vertAlign val="subscript"/>
        <sz val="11"/>
        <color theme="1"/>
        <rFont val="Calibri"/>
        <family val="2"/>
        <scheme val="minor"/>
      </rPr>
      <t>f%</t>
    </r>
    <r>
      <rPr>
        <sz val="11"/>
        <color theme="1"/>
        <rFont val="Calibri"/>
        <family val="2"/>
        <scheme val="minor"/>
      </rPr>
      <t>=∑∆U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/U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*100</t>
    </r>
  </si>
  <si>
    <r>
      <t>U</t>
    </r>
    <r>
      <rPr>
        <vertAlign val="subscript"/>
        <sz val="11"/>
        <color theme="1"/>
        <rFont val="Calibri"/>
        <family val="2"/>
        <scheme val="minor"/>
      </rPr>
      <t>f</t>
    </r>
  </si>
  <si>
    <t xml:space="preserve">MAX 5% under det OK. </t>
  </si>
  <si>
    <t>%</t>
  </si>
  <si>
    <t xml:space="preserve"> </t>
  </si>
  <si>
    <t xml:space="preserve">Overharmonisk strømme </t>
  </si>
  <si>
    <r>
      <t>I</t>
    </r>
    <r>
      <rPr>
        <vertAlign val="subscript"/>
        <sz val="11"/>
        <color theme="1"/>
        <rFont val="Calibri"/>
        <family val="2"/>
        <scheme val="minor"/>
      </rPr>
      <t>nulstrømmen</t>
    </r>
  </si>
  <si>
    <r>
      <t>O</t>
    </r>
    <r>
      <rPr>
        <vertAlign val="subscript"/>
        <sz val="11"/>
        <color theme="1"/>
        <rFont val="Calibri"/>
        <family val="2"/>
        <scheme val="minor"/>
      </rPr>
      <t>HM</t>
    </r>
    <r>
      <rPr>
        <sz val="11"/>
        <color theme="1"/>
        <rFont val="Calibri"/>
        <family val="2"/>
        <scheme val="minor"/>
      </rPr>
      <t>=(I</t>
    </r>
    <r>
      <rPr>
        <vertAlign val="subscript"/>
        <sz val="11"/>
        <color theme="1"/>
        <rFont val="Calibri"/>
        <family val="2"/>
        <scheme val="minor"/>
      </rPr>
      <t>nulstrømmen</t>
    </r>
    <r>
      <rPr>
        <sz val="11"/>
        <color theme="1"/>
        <rFont val="Calibri"/>
        <family val="2"/>
        <scheme val="minor"/>
      </rPr>
      <t>/(3*I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))*100</t>
    </r>
  </si>
  <si>
    <r>
      <t>K</t>
    </r>
    <r>
      <rPr>
        <vertAlign val="subscript"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 xml:space="preserve"> ifølge tabel E.52.1</t>
    </r>
  </si>
  <si>
    <t>Fra tabel</t>
  </si>
  <si>
    <t>P</t>
  </si>
  <si>
    <t>kW</t>
  </si>
  <si>
    <t>cosф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</si>
  <si>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=P/(</t>
    </r>
    <r>
      <rPr>
        <sz val="11"/>
        <color theme="1"/>
        <rFont val="Calibri"/>
        <family val="2"/>
      </rPr>
      <t>√3*U</t>
    </r>
    <r>
      <rPr>
        <vertAlign val="subscript"/>
        <sz val="11"/>
        <color theme="1"/>
        <rFont val="Calibri"/>
        <family val="2"/>
      </rPr>
      <t>N</t>
    </r>
    <r>
      <rPr>
        <sz val="11"/>
        <color theme="1"/>
        <rFont val="Calibri"/>
        <family val="2"/>
      </rPr>
      <t>*cosф</t>
    </r>
    <r>
      <rPr>
        <sz val="11"/>
        <color theme="1"/>
        <rFont val="Calibri"/>
        <family val="2"/>
        <scheme val="minor"/>
      </rPr>
      <t>)</t>
    </r>
  </si>
  <si>
    <t>Belastning</t>
  </si>
  <si>
    <t>S belastning</t>
  </si>
  <si>
    <t>Tillæggelses %</t>
  </si>
  <si>
    <t>kabler</t>
  </si>
  <si>
    <t>stk</t>
  </si>
  <si>
    <r>
      <t>S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=%*stk*I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√3*U</t>
    </r>
    <r>
      <rPr>
        <vertAlign val="subscript"/>
        <sz val="11"/>
        <color theme="1"/>
        <rFont val="Calibri"/>
        <family val="2"/>
      </rPr>
      <t>N</t>
    </r>
  </si>
  <si>
    <t>kVA</t>
  </si>
  <si>
    <t xml:space="preserve">hvis det er står det øverst i opgaven. </t>
  </si>
  <si>
    <t>hvor mange kabler fra transformeren</t>
  </si>
  <si>
    <t xml:space="preserve">belastningen for 1 kabel </t>
  </si>
  <si>
    <t>T</t>
  </si>
  <si>
    <t>1 stk.</t>
  </si>
  <si>
    <t>HUSK er der 230 V skal der ganges med 2</t>
  </si>
  <si>
    <t>Da der er nul leder</t>
  </si>
  <si>
    <t>Er det 230 V er der nul</t>
  </si>
  <si>
    <t>Husk PE lederen ikke må være under 6 mm2</t>
  </si>
  <si>
    <r>
      <t>∠φ</t>
    </r>
    <r>
      <rPr>
        <vertAlign val="subscript"/>
        <sz val="11"/>
        <color theme="1"/>
        <rFont val="Calibri"/>
        <family val="2"/>
        <scheme val="minor"/>
      </rPr>
      <t>1</t>
    </r>
  </si>
  <si>
    <r>
      <t>cosφ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</si>
  <si>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*(tanφ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-tanφ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</si>
  <si>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Q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</t>
    </r>
  </si>
  <si>
    <t>kVAr</t>
  </si>
  <si>
    <r>
      <t>∠φ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</si>
  <si>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batteri</t>
    </r>
  </si>
  <si>
    <r>
      <t>C</t>
    </r>
    <r>
      <rPr>
        <vertAlign val="subscript"/>
        <sz val="11"/>
        <color theme="1"/>
        <rFont val="Calibri"/>
        <family val="2"/>
        <scheme val="minor"/>
      </rPr>
      <t>antal</t>
    </r>
    <r>
      <rPr>
        <sz val="11"/>
        <color theme="1"/>
        <rFont val="Calibri"/>
        <family val="2"/>
        <scheme val="minor"/>
      </rPr>
      <t>=Q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/C</t>
    </r>
    <r>
      <rPr>
        <vertAlign val="subscript"/>
        <sz val="11"/>
        <color theme="1"/>
        <rFont val="Calibri"/>
        <family val="2"/>
        <scheme val="minor"/>
      </rPr>
      <t>batteri</t>
    </r>
  </si>
  <si>
    <t>Fasebatteri antal</t>
  </si>
  <si>
    <t>stk.</t>
  </si>
  <si>
    <r>
      <t>cosφ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=cos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(∠φ1)</t>
    </r>
  </si>
  <si>
    <t xml:space="preserve">Brug belastningsgrundlaget </t>
  </si>
  <si>
    <r>
      <t>S</t>
    </r>
    <r>
      <rPr>
        <vertAlign val="subscript"/>
        <sz val="11"/>
        <color theme="1"/>
        <rFont val="Calibri"/>
        <family val="2"/>
        <scheme val="minor"/>
      </rPr>
      <t>Kn</t>
    </r>
  </si>
  <si>
    <t>MVA</t>
  </si>
  <si>
    <t>R/X</t>
  </si>
  <si>
    <t xml:space="preserve">tan=φ∠ </t>
  </si>
  <si>
    <t xml:space="preserve">Transformer data 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</si>
  <si>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</si>
  <si>
    <r>
      <t>e</t>
    </r>
    <r>
      <rPr>
        <vertAlign val="subscript"/>
        <sz val="11"/>
        <color theme="1"/>
        <rFont val="Calibri"/>
        <family val="2"/>
        <scheme val="minor"/>
      </rPr>
      <t>k</t>
    </r>
  </si>
  <si>
    <r>
      <t>P</t>
    </r>
    <r>
      <rPr>
        <vertAlign val="subscript"/>
        <sz val="11"/>
        <color theme="1"/>
        <rFont val="Calibri"/>
        <family val="2"/>
        <scheme val="minor"/>
      </rPr>
      <t>cu1/1</t>
    </r>
  </si>
  <si>
    <t>W</t>
  </si>
  <si>
    <r>
      <t>cosφ=R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>/Z</t>
    </r>
    <r>
      <rPr>
        <vertAlign val="subscript"/>
        <sz val="11"/>
        <color theme="1"/>
        <rFont val="Calibri"/>
        <family val="2"/>
      </rPr>
      <t>T</t>
    </r>
  </si>
  <si>
    <r>
      <t>∠φ=cos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>(φ)</t>
    </r>
  </si>
  <si>
    <r>
      <t>Z</t>
    </r>
    <r>
      <rPr>
        <vertAlign val="subscript"/>
        <sz val="11"/>
        <color theme="1"/>
        <rFont val="Calibri"/>
        <family val="2"/>
      </rPr>
      <t>T0,4kV</t>
    </r>
  </si>
  <si>
    <r>
      <t>U</t>
    </r>
    <r>
      <rPr>
        <vertAlign val="subscript"/>
        <sz val="11"/>
        <color theme="1"/>
        <rFont val="Calibri"/>
        <family val="2"/>
        <scheme val="minor"/>
      </rPr>
      <t>n</t>
    </r>
  </si>
  <si>
    <r>
      <t>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=e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/100*S</t>
    </r>
    <r>
      <rPr>
        <vertAlign val="subscript"/>
        <sz val="11"/>
        <color theme="1"/>
        <rFont val="Calibri"/>
        <family val="2"/>
        <scheme val="minor"/>
      </rPr>
      <t>N</t>
    </r>
  </si>
  <si>
    <r>
      <t>R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=P</t>
    </r>
    <r>
      <rPr>
        <vertAlign val="subscript"/>
        <sz val="11"/>
        <color theme="1"/>
        <rFont val="Calibri"/>
        <family val="2"/>
        <scheme val="minor"/>
      </rPr>
      <t>cu1/1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</si>
  <si>
    <t>Beregn Ikmax1 først hvis den ikke er givet</t>
  </si>
  <si>
    <t>PE leder ved alle jordings systemer bortset frs TN-C</t>
  </si>
  <si>
    <t xml:space="preserve">En PE leder til hvert kabel </t>
  </si>
  <si>
    <t>Over 240 mm2 skal kablerne deles op</t>
  </si>
  <si>
    <t>Potentiael fx</t>
  </si>
  <si>
    <t>Max brydetid for alle MCCB er 80 ms</t>
  </si>
  <si>
    <t>W2</t>
  </si>
  <si>
    <t xml:space="preserve">Type </t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</si>
  <si>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</si>
  <si>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b</t>
    </r>
  </si>
  <si>
    <r>
      <t>I</t>
    </r>
    <r>
      <rPr>
        <vertAlign val="subscript"/>
        <sz val="11"/>
        <color theme="1"/>
        <rFont val="Calibri"/>
        <family val="2"/>
        <scheme val="minor"/>
      </rPr>
      <t>pk</t>
    </r>
  </si>
  <si>
    <r>
      <t>R</t>
    </r>
    <r>
      <rPr>
        <vertAlign val="subscript"/>
        <sz val="11"/>
        <color theme="1"/>
        <rFont val="Calibri"/>
        <family val="2"/>
        <scheme val="minor"/>
      </rPr>
      <t>20</t>
    </r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</si>
  <si>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</si>
  <si>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R</t>
    </r>
    <r>
      <rPr>
        <vertAlign val="subscript"/>
        <sz val="11"/>
        <color theme="1"/>
        <rFont val="Calibri"/>
        <family val="2"/>
        <scheme val="minor"/>
      </rPr>
      <t>phPE</t>
    </r>
  </si>
  <si>
    <r>
      <t>X</t>
    </r>
    <r>
      <rPr>
        <vertAlign val="subscript"/>
        <sz val="11"/>
        <color theme="1"/>
        <rFont val="Calibri"/>
        <family val="2"/>
        <scheme val="minor"/>
      </rPr>
      <t>phPE</t>
    </r>
  </si>
  <si>
    <t>m</t>
  </si>
  <si>
    <t>L</t>
  </si>
  <si>
    <t>Kabelskinne</t>
  </si>
  <si>
    <t xml:space="preserve">Ved kabelskinne SKAL DER IKKE GANGES MED 2 </t>
  </si>
  <si>
    <t xml:space="preserve">Fig. </t>
  </si>
  <si>
    <t>1.33</t>
  </si>
  <si>
    <t>n</t>
  </si>
  <si>
    <t>KB Kabelskinne</t>
  </si>
  <si>
    <t>Bruges til Ikmin</t>
  </si>
  <si>
    <t>Data kabelskinne typiskt givet i bilag</t>
  </si>
  <si>
    <t>mΩ</t>
  </si>
  <si>
    <t xml:space="preserve">Kortslutningsbeskyttelse </t>
  </si>
  <si>
    <r>
      <t>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</si>
  <si>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ks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</si>
  <si>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MCCB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</si>
  <si>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Beskyttelse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</si>
  <si>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Beskyttelse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ks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</si>
  <si>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MCCB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</si>
  <si>
    <t>Det er den der skal bruges i ved k*s plads tjek af KB</t>
  </si>
  <si>
    <r>
      <t>I</t>
    </r>
    <r>
      <rPr>
        <vertAlign val="subscript"/>
        <sz val="11"/>
        <color theme="1"/>
        <rFont val="Calibri"/>
        <family val="2"/>
        <scheme val="minor"/>
      </rPr>
      <t>btot</t>
    </r>
  </si>
  <si>
    <t>Antal oprundet</t>
  </si>
  <si>
    <t>Ny belastningsstrøm</t>
  </si>
  <si>
    <r>
      <t>Q</t>
    </r>
    <r>
      <rPr>
        <vertAlign val="subscript"/>
        <sz val="11"/>
        <color theme="1"/>
        <rFont val="Calibri"/>
        <family val="2"/>
        <scheme val="minor"/>
      </rPr>
      <t>cNy</t>
    </r>
    <r>
      <rPr>
        <sz val="11"/>
        <color theme="1"/>
        <rFont val="Calibri"/>
        <family val="2"/>
        <scheme val="minor"/>
      </rPr>
      <t>=antal oprundet*C</t>
    </r>
    <r>
      <rPr>
        <vertAlign val="subscript"/>
        <sz val="11"/>
        <color theme="1"/>
        <rFont val="Calibri"/>
        <family val="2"/>
        <scheme val="minor"/>
      </rPr>
      <t>batteri</t>
    </r>
  </si>
  <si>
    <r>
      <t>I</t>
    </r>
    <r>
      <rPr>
        <vertAlign val="subscript"/>
        <sz val="11"/>
        <color theme="1"/>
        <rFont val="Calibri"/>
        <family val="2"/>
        <scheme val="minor"/>
      </rPr>
      <t>cNy</t>
    </r>
    <r>
      <rPr>
        <sz val="11"/>
        <color theme="1"/>
        <rFont val="Calibri"/>
        <family val="2"/>
        <scheme val="minor"/>
      </rPr>
      <t>=Q</t>
    </r>
    <r>
      <rPr>
        <vertAlign val="subscript"/>
        <sz val="11"/>
        <color theme="1"/>
        <rFont val="Calibri"/>
        <family val="2"/>
        <scheme val="minor"/>
      </rPr>
      <t>cNy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√3*U</t>
    </r>
    <r>
      <rPr>
        <vertAlign val="subscript"/>
        <sz val="11"/>
        <color theme="1"/>
        <rFont val="Calibri"/>
        <family val="2"/>
      </rPr>
      <t>n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</si>
  <si>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=sinφ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*I</t>
    </r>
    <r>
      <rPr>
        <vertAlign val="subscript"/>
        <sz val="11"/>
        <color theme="1"/>
        <rFont val="Calibri"/>
        <family val="2"/>
        <scheme val="minor"/>
      </rPr>
      <t>btot</t>
    </r>
  </si>
  <si>
    <r>
      <t>I</t>
    </r>
    <r>
      <rPr>
        <vertAlign val="subscript"/>
        <sz val="11"/>
        <color theme="1"/>
        <rFont val="Calibri"/>
        <family val="2"/>
        <scheme val="minor"/>
      </rPr>
      <t>rest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-I</t>
    </r>
    <r>
      <rPr>
        <vertAlign val="subscript"/>
        <sz val="11"/>
        <color theme="1"/>
        <rFont val="Calibri"/>
        <family val="2"/>
        <scheme val="minor"/>
      </rPr>
      <t>cNy</t>
    </r>
  </si>
  <si>
    <r>
      <t>I</t>
    </r>
    <r>
      <rPr>
        <vertAlign val="subscript"/>
        <sz val="11"/>
        <color theme="1"/>
        <rFont val="Calibri"/>
        <family val="2"/>
        <scheme val="minor"/>
      </rPr>
      <t>bNy</t>
    </r>
    <r>
      <rPr>
        <sz val="11"/>
        <color theme="1"/>
        <rFont val="Calibri"/>
        <family val="2"/>
        <scheme val="minor"/>
      </rPr>
      <t>=</t>
    </r>
    <r>
      <rPr>
        <sz val="11"/>
        <color theme="1"/>
        <rFont val="Calibri"/>
        <family val="2"/>
      </rPr>
      <t>√</t>
    </r>
    <r>
      <rPr>
        <sz val="11"/>
        <color theme="1"/>
        <rFont val="Calibri"/>
        <family val="2"/>
        <scheme val="minor"/>
      </rPr>
      <t>(I</t>
    </r>
    <r>
      <rPr>
        <vertAlign val="subscript"/>
        <sz val="11"/>
        <color theme="1"/>
        <rFont val="Calibri"/>
        <family val="2"/>
        <scheme val="minor"/>
      </rPr>
      <t>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-I</t>
    </r>
    <r>
      <rPr>
        <vertAlign val="subscript"/>
        <sz val="11"/>
        <color theme="1"/>
        <rFont val="Calibri"/>
        <family val="2"/>
        <scheme val="minor"/>
      </rPr>
      <t>rest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</si>
  <si>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cosφ</t>
    </r>
    <r>
      <rPr>
        <vertAlign val="subscript"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bNy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</si>
  <si>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=k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</si>
  <si>
    <t>Ved kanal skinne skal denne henstes der over fra, står under Ipk</t>
  </si>
  <si>
    <t>Lastadskiller</t>
  </si>
  <si>
    <r>
      <t>I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</si>
  <si>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</si>
  <si>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cn</t>
    </r>
  </si>
  <si>
    <r>
      <t>I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btot</t>
    </r>
    <r>
      <rPr>
        <sz val="11"/>
        <color theme="1"/>
        <rFont val="Calibri"/>
        <family val="2"/>
        <scheme val="minor"/>
      </rPr>
      <t>*cosφ</t>
    </r>
    <r>
      <rPr>
        <vertAlign val="subscript"/>
        <sz val="11"/>
        <color theme="1"/>
        <rFont val="Calibri"/>
        <family val="2"/>
        <scheme val="minor"/>
      </rPr>
      <t>1</t>
    </r>
  </si>
  <si>
    <t>Separat PE leder vod over 35 mm2</t>
  </si>
  <si>
    <t>x</t>
  </si>
  <si>
    <t>Hvis PE er separat skal der bereges modstand og reaktans for PE</t>
  </si>
  <si>
    <t>Overstrømsbeskyttelse</t>
  </si>
  <si>
    <t xml:space="preserve">Kortslutningsbrydeevne 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</si>
  <si>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</rPr>
      <t>≤I</t>
    </r>
    <r>
      <rPr>
        <vertAlign val="subscript"/>
        <sz val="11"/>
        <color theme="1"/>
        <rFont val="Calibri"/>
        <family val="2"/>
      </rPr>
      <t>n</t>
    </r>
  </si>
  <si>
    <t xml:space="preserve">Sikkerhedsfaktor </t>
  </si>
  <si>
    <r>
      <t>I</t>
    </r>
    <r>
      <rPr>
        <vertAlign val="subscript"/>
        <sz val="11"/>
        <color theme="1"/>
        <rFont val="Calibri"/>
        <family val="2"/>
        <scheme val="minor"/>
      </rPr>
      <t>k,3F,max,HT</t>
    </r>
  </si>
  <si>
    <r>
      <t>I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b</t>
    </r>
  </si>
  <si>
    <r>
      <t>I</t>
    </r>
    <r>
      <rPr>
        <vertAlign val="subscript"/>
        <sz val="11"/>
        <color theme="1"/>
        <rFont val="Calibri"/>
        <family val="2"/>
        <scheme val="minor"/>
      </rPr>
      <t>r,fin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0</t>
    </r>
  </si>
  <si>
    <r>
      <t>I</t>
    </r>
    <r>
      <rPr>
        <vertAlign val="subscript"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</rPr>
      <t>≥</t>
    </r>
    <r>
      <rPr>
        <vertAlign val="subscript"/>
        <sz val="11"/>
        <color theme="1"/>
        <rFont val="Calibri"/>
        <family val="2"/>
      </rPr>
      <t>Ik,3F,max,HT</t>
    </r>
  </si>
  <si>
    <r>
      <t>I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*I</t>
    </r>
    <r>
      <rPr>
        <vertAlign val="subscript"/>
        <sz val="11"/>
        <color theme="1"/>
        <rFont val="Calibri"/>
        <family val="2"/>
        <scheme val="minor"/>
      </rPr>
      <t>r,fin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</si>
  <si>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sd </t>
    </r>
    <r>
      <rPr>
        <sz val="11"/>
        <color theme="1"/>
        <rFont val="Calibri"/>
        <family val="2"/>
        <scheme val="minor"/>
      </rPr>
      <t>Indstilles til</t>
    </r>
  </si>
  <si>
    <r>
      <t>I</t>
    </r>
    <r>
      <rPr>
        <vertAlign val="subscript"/>
        <sz val="11"/>
        <color theme="1"/>
        <rFont val="Calibri"/>
        <family val="2"/>
        <scheme val="minor"/>
      </rPr>
      <t>sd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sd,max</t>
    </r>
    <r>
      <rPr>
        <sz val="11"/>
        <color theme="1"/>
        <rFont val="Calibri"/>
        <family val="2"/>
        <scheme val="minor"/>
      </rPr>
      <t>*I</t>
    </r>
    <r>
      <rPr>
        <vertAlign val="subscript"/>
        <sz val="11"/>
        <color theme="1"/>
        <rFont val="Calibri"/>
        <family val="2"/>
        <scheme val="minor"/>
      </rPr>
      <t>r</t>
    </r>
  </si>
  <si>
    <r>
      <t>BG=(I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/(I</t>
    </r>
    <r>
      <rPr>
        <vertAlign val="subscript"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))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</si>
  <si>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K,F-PE,min,HT</t>
    </r>
    <r>
      <rPr>
        <sz val="11"/>
        <color theme="1"/>
        <rFont val="Calibri"/>
        <family val="2"/>
        <scheme val="minor"/>
      </rPr>
      <t>)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</si>
  <si>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k,3F,max,HT</t>
    </r>
    <r>
      <rPr>
        <sz val="11"/>
        <color theme="1"/>
        <rFont val="Calibri"/>
        <family val="2"/>
        <scheme val="minor"/>
      </rPr>
      <t>)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</si>
  <si>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k,3F,max,GT</t>
    </r>
  </si>
  <si>
    <t>mΩ</t>
  </si>
  <si>
    <t xml:space="preserve">r </t>
  </si>
  <si>
    <t xml:space="preserve">x </t>
  </si>
  <si>
    <t>Aflæst kurve i datablad</t>
  </si>
  <si>
    <t>Aflæst kurve i databald</t>
  </si>
  <si>
    <t>Aflæst tabel i datablad</t>
  </si>
  <si>
    <t>Datablad</t>
  </si>
  <si>
    <r>
      <t>E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=I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t+E</t>
    </r>
    <r>
      <rPr>
        <vertAlign val="subscript"/>
        <sz val="11"/>
        <color theme="1"/>
        <rFont val="Calibri"/>
        <family val="2"/>
        <scheme val="minor"/>
      </rPr>
      <t>Lysbye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</si>
  <si>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</si>
  <si>
    <r>
      <rPr>
        <sz val="11"/>
        <color theme="1"/>
        <rFont val="Calibri"/>
        <family val="2"/>
      </rPr>
      <t>I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t≤</t>
    </r>
    <r>
      <rPr>
        <sz val="11"/>
        <color theme="1"/>
        <rFont val="Calibri"/>
        <family val="2"/>
        <scheme val="minor"/>
      </rPr>
      <t>(k*S)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</si>
  <si>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*1,2</t>
    </r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</si>
  <si>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</si>
  <si>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m,max</t>
    </r>
  </si>
  <si>
    <r>
      <t>∆U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>=I</t>
    </r>
    <r>
      <rPr>
        <vertAlign val="subscript"/>
        <sz val="11"/>
        <color theme="1"/>
        <rFont val="Calibri"/>
        <family val="2"/>
      </rPr>
      <t>b</t>
    </r>
    <r>
      <rPr>
        <sz val="11"/>
        <color theme="1"/>
        <rFont val="Calibri"/>
        <family val="2"/>
      </rPr>
      <t>*L*2(1,25*(r</t>
    </r>
    <r>
      <rPr>
        <vertAlign val="subscript"/>
        <sz val="11"/>
        <color theme="1"/>
        <rFont val="Calibri"/>
        <family val="2"/>
      </rPr>
      <t>ka</t>
    </r>
    <r>
      <rPr>
        <sz val="11"/>
        <color theme="1"/>
        <rFont val="Calibri"/>
        <family val="2"/>
      </rPr>
      <t>*cosφ)+(x</t>
    </r>
    <r>
      <rPr>
        <vertAlign val="subscript"/>
        <sz val="11"/>
        <color theme="1"/>
        <rFont val="Calibri"/>
        <family val="2"/>
      </rPr>
      <t>ka</t>
    </r>
    <r>
      <rPr>
        <sz val="11"/>
        <color theme="1"/>
        <rFont val="Calibri"/>
        <family val="2"/>
      </rPr>
      <t>*sinφ))</t>
    </r>
  </si>
  <si>
    <t xml:space="preserve">3% ved lys </t>
  </si>
  <si>
    <t>Spændingsfald total</t>
  </si>
  <si>
    <r>
      <t>I</t>
    </r>
    <r>
      <rPr>
        <vertAlign val="subscript"/>
        <sz val="11"/>
        <color theme="1"/>
        <rFont val="Calibri"/>
        <family val="2"/>
        <scheme val="minor"/>
      </rPr>
      <t>k,3F,max,HT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min,W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</si>
  <si>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k,F-PE,min,GT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/(√3*Z</t>
    </r>
    <r>
      <rPr>
        <vertAlign val="subscript"/>
        <sz val="11"/>
        <color theme="1"/>
        <rFont val="Calibri"/>
        <family val="2"/>
        <scheme val="minor"/>
      </rPr>
      <t>max,W</t>
    </r>
    <r>
      <rPr>
        <sz val="11"/>
        <color theme="1"/>
        <rFont val="Calibri"/>
        <family val="2"/>
        <scheme val="minor"/>
      </rPr>
      <t>)</t>
    </r>
  </si>
  <si>
    <t xml:space="preserve">Facit </t>
  </si>
  <si>
    <t>Ved kabelopdeling skal denne faktor ændres</t>
  </si>
  <si>
    <r>
      <t>I</t>
    </r>
    <r>
      <rPr>
        <vertAlign val="subscript"/>
        <sz val="11"/>
        <color theme="1"/>
        <rFont val="Calibri"/>
        <family val="2"/>
        <scheme val="minor"/>
      </rPr>
      <t>k,3F,max,HT</t>
    </r>
    <r>
      <rPr>
        <sz val="11"/>
        <color theme="1"/>
        <rFont val="Calibri"/>
        <family val="2"/>
        <scheme val="minor"/>
      </rPr>
      <t>*n</t>
    </r>
  </si>
  <si>
    <r>
      <t>I</t>
    </r>
    <r>
      <rPr>
        <vertAlign val="subscript"/>
        <sz val="11"/>
        <color theme="1"/>
        <rFont val="Calibri"/>
        <family val="2"/>
        <scheme val="minor"/>
      </rPr>
      <t>pk</t>
    </r>
    <r>
      <rPr>
        <sz val="11"/>
        <color theme="1"/>
        <rFont val="Calibri"/>
        <family val="2"/>
      </rPr>
      <t>≥</t>
    </r>
    <r>
      <rPr>
        <vertAlign val="subscript"/>
        <sz val="11"/>
        <color theme="1"/>
        <rFont val="Calibri"/>
        <family val="2"/>
      </rPr>
      <t>Ik,3F,max,HT</t>
    </r>
    <r>
      <rPr>
        <sz val="11"/>
        <color theme="1"/>
        <rFont val="Calibri"/>
        <family val="2"/>
        <scheme val="minor"/>
      </rPr>
      <t>*n</t>
    </r>
  </si>
  <si>
    <t xml:space="preserve">1 stk. Canalis </t>
  </si>
  <si>
    <t xml:space="preserve">Fejlbeskyttelse </t>
  </si>
  <si>
    <t xml:space="preserve">Kabel </t>
  </si>
  <si>
    <r>
      <t>t</t>
    </r>
    <r>
      <rPr>
        <vertAlign val="subscript"/>
        <sz val="11"/>
        <color theme="1"/>
        <rFont val="Calibri"/>
        <family val="2"/>
        <scheme val="minor"/>
      </rPr>
      <t>FB</t>
    </r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</si>
  <si>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</rPr>
      <t>≤t</t>
    </r>
    <r>
      <rPr>
        <vertAlign val="subscript"/>
        <sz val="11"/>
        <color theme="1"/>
        <rFont val="Calibri"/>
        <family val="2"/>
      </rPr>
      <t>FB</t>
    </r>
  </si>
  <si>
    <t>TN</t>
  </si>
  <si>
    <t xml:space="preserve">Jordsystem </t>
  </si>
  <si>
    <t>TT</t>
  </si>
  <si>
    <t>TT1</t>
  </si>
  <si>
    <t>TN0</t>
  </si>
  <si>
    <t>Stikkon.</t>
  </si>
  <si>
    <t>tast selv</t>
  </si>
  <si>
    <r>
      <t>t</t>
    </r>
    <r>
      <rPr>
        <vertAlign val="subscript"/>
        <sz val="11"/>
        <color theme="1"/>
        <rFont val="Calibri"/>
        <family val="2"/>
        <scheme val="minor"/>
      </rPr>
      <t>2</t>
    </r>
  </si>
  <si>
    <r>
      <t>t</t>
    </r>
    <r>
      <rPr>
        <vertAlign val="subscript"/>
        <sz val="11"/>
        <color theme="1"/>
        <rFont val="Calibri"/>
        <family val="2"/>
        <scheme val="minor"/>
      </rPr>
      <t>sd,max</t>
    </r>
  </si>
  <si>
    <t xml:space="preserve">Kabel ved spændingsfald </t>
  </si>
  <si>
    <t>Krav %</t>
  </si>
  <si>
    <r>
      <rPr>
        <sz val="11"/>
        <color theme="1"/>
        <rFont val="Calibri"/>
        <family val="2"/>
      </rPr>
      <t>∆U</t>
    </r>
    <r>
      <rPr>
        <vertAlign val="subscript"/>
        <sz val="11"/>
        <color theme="1"/>
        <rFont val="Calibri"/>
        <family val="2"/>
      </rPr>
      <t>krav</t>
    </r>
    <r>
      <rPr>
        <sz val="11"/>
        <color theme="1"/>
        <rFont val="Calibri"/>
        <family val="2"/>
      </rPr>
      <t>=(U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>/100)*krav%</t>
    </r>
  </si>
  <si>
    <r>
      <t>I</t>
    </r>
    <r>
      <rPr>
        <vertAlign val="subscript"/>
        <sz val="11"/>
        <color theme="1"/>
        <rFont val="Calibri"/>
        <family val="2"/>
      </rPr>
      <t>b</t>
    </r>
  </si>
  <si>
    <t>b</t>
  </si>
  <si>
    <t>ρ</t>
  </si>
  <si>
    <t>Ω/km</t>
  </si>
  <si>
    <r>
      <t>r</t>
    </r>
    <r>
      <rPr>
        <vertAlign val="subscript"/>
        <sz val="11"/>
        <color theme="1"/>
        <rFont val="Calibri"/>
        <family val="2"/>
      </rPr>
      <t>max</t>
    </r>
    <r>
      <rPr>
        <sz val="11"/>
        <color theme="1"/>
        <rFont val="Calibri"/>
        <family val="2"/>
      </rPr>
      <t>=∆U</t>
    </r>
    <r>
      <rPr>
        <vertAlign val="subscript"/>
        <sz val="11"/>
        <color theme="1"/>
        <rFont val="Calibri"/>
        <family val="2"/>
      </rPr>
      <t>krav</t>
    </r>
    <r>
      <rPr>
        <sz val="11"/>
        <color theme="1"/>
        <rFont val="Calibri"/>
        <family val="2"/>
      </rPr>
      <t>/(b*I</t>
    </r>
    <r>
      <rPr>
        <vertAlign val="subscript"/>
        <sz val="11"/>
        <color theme="1"/>
        <rFont val="Calibri"/>
        <family val="2"/>
      </rPr>
      <t>b</t>
    </r>
    <r>
      <rPr>
        <sz val="11"/>
        <color theme="1"/>
        <rFont val="Calibri"/>
        <family val="2"/>
      </rPr>
      <t>*L*ρ*cosφ)</t>
    </r>
  </si>
  <si>
    <t>r</t>
  </si>
  <si>
    <t>Tætteste r</t>
  </si>
  <si>
    <r>
      <t>∆U=b*I</t>
    </r>
    <r>
      <rPr>
        <vertAlign val="subscript"/>
        <sz val="11"/>
        <color theme="1"/>
        <rFont val="Calibri"/>
        <family val="2"/>
      </rPr>
      <t>b</t>
    </r>
    <r>
      <rPr>
        <sz val="11"/>
        <color theme="1"/>
        <rFont val="Calibri"/>
        <family val="2"/>
      </rPr>
      <t>*L*(r*ρ*cosφ)</t>
    </r>
  </si>
  <si>
    <r>
      <t>∆U</t>
    </r>
    <r>
      <rPr>
        <vertAlign val="subscript"/>
        <sz val="11"/>
        <color theme="1"/>
        <rFont val="Calibri"/>
        <family val="2"/>
      </rPr>
      <t>%</t>
    </r>
    <r>
      <rPr>
        <sz val="11"/>
        <color theme="1"/>
        <rFont val="Calibri"/>
        <family val="2"/>
      </rPr>
      <t>=(∆U/U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>)*100</t>
    </r>
  </si>
  <si>
    <r>
      <t>∆U≤U</t>
    </r>
    <r>
      <rPr>
        <vertAlign val="subscript"/>
        <sz val="11"/>
        <color theme="1"/>
        <rFont val="Calibri"/>
        <family val="2"/>
      </rPr>
      <t>krav</t>
    </r>
  </si>
  <si>
    <t>Antaget at der er nul med derfor 2 ved 230 V</t>
  </si>
  <si>
    <t>Konstant</t>
  </si>
  <si>
    <r>
      <t>S</t>
    </r>
    <r>
      <rPr>
        <vertAlign val="subscript"/>
        <sz val="11"/>
        <color theme="1"/>
        <rFont val="Calibri"/>
        <family val="2"/>
        <scheme val="minor"/>
      </rPr>
      <t>Kmax</t>
    </r>
  </si>
  <si>
    <t xml:space="preserve">cos φ </t>
  </si>
  <si>
    <r>
      <t>cos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=∠φ</t>
    </r>
  </si>
  <si>
    <r>
      <t>S</t>
    </r>
    <r>
      <rPr>
        <vertAlign val="subscript"/>
        <sz val="11"/>
        <color theme="1"/>
        <rFont val="Calibri"/>
        <family val="2"/>
        <scheme val="minor"/>
      </rPr>
      <t>Kmin</t>
    </r>
  </si>
  <si>
    <t>Ω</t>
  </si>
  <si>
    <r>
      <t>Beregn R</t>
    </r>
    <r>
      <rPr>
        <b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 xml:space="preserve"> og X</t>
    </r>
    <r>
      <rPr>
        <b/>
        <vertAlign val="subscript"/>
        <sz val="11"/>
        <color theme="1"/>
        <rFont val="Calibri"/>
        <family val="2"/>
        <scheme val="minor"/>
      </rPr>
      <t>T</t>
    </r>
  </si>
  <si>
    <r>
      <rPr>
        <sz val="11"/>
        <color theme="1"/>
        <rFont val="Calibri"/>
        <family val="2"/>
      </rPr>
      <t>X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>=√Z</t>
    </r>
    <r>
      <rPr>
        <vertAlign val="subscript"/>
        <sz val="11"/>
        <color theme="1"/>
        <rFont val="Calibri"/>
        <family val="2"/>
      </rPr>
      <t>T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-R</t>
    </r>
    <r>
      <rPr>
        <vertAlign val="subscript"/>
        <sz val="11"/>
        <color theme="1"/>
        <rFont val="Calibri"/>
        <family val="2"/>
      </rPr>
      <t>T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)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</si>
  <si>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k,2F,min,GT</t>
    </r>
  </si>
  <si>
    <t>Er der parallel kabler med parallel sikringer skal Ik2Fmin bruges, beregnes på impedanser.</t>
  </si>
  <si>
    <r>
      <t>∠=cos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φ </t>
    </r>
  </si>
  <si>
    <t xml:space="preserve">Aflæst på kurve i datablad </t>
  </si>
  <si>
    <t>Aflæst på tabel i datablad</t>
  </si>
  <si>
    <r>
      <t>I</t>
    </r>
    <r>
      <rPr>
        <vertAlign val="subscript"/>
        <sz val="11"/>
        <color theme="1"/>
        <rFont val="Calibri"/>
        <family val="2"/>
        <scheme val="minor"/>
      </rPr>
      <t>21/1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√3*U</t>
    </r>
    <r>
      <rPr>
        <vertAlign val="subscript"/>
        <sz val="11"/>
        <color theme="1"/>
        <rFont val="Calibri"/>
        <family val="2"/>
      </rPr>
      <t>n</t>
    </r>
    <r>
      <rPr>
        <sz val="11"/>
        <color theme="1"/>
        <rFont val="Calibri"/>
        <family val="2"/>
        <scheme val="minor"/>
      </rPr>
      <t>)</t>
    </r>
  </si>
  <si>
    <t>Parallel</t>
  </si>
  <si>
    <r>
      <t>I</t>
    </r>
    <r>
      <rPr>
        <vertAlign val="subscript"/>
        <sz val="11"/>
        <color theme="1"/>
        <rFont val="Calibri"/>
        <family val="2"/>
        <scheme val="minor"/>
      </rPr>
      <t>bp</t>
    </r>
  </si>
  <si>
    <t>W1</t>
  </si>
  <si>
    <t>Valg af kabel</t>
  </si>
  <si>
    <t>Kredse</t>
  </si>
  <si>
    <t xml:space="preserve">stk. </t>
  </si>
  <si>
    <r>
      <t>I</t>
    </r>
    <r>
      <rPr>
        <vertAlign val="subscript"/>
        <sz val="11"/>
        <color theme="1"/>
        <rFont val="Calibri"/>
        <family val="2"/>
        <scheme val="minor"/>
      </rPr>
      <t>k,2F,min,GT</t>
    </r>
  </si>
  <si>
    <t>Belastninggrad</t>
  </si>
  <si>
    <r>
      <t>Belastningsgrad=(I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z,kabel</t>
    </r>
    <r>
      <rPr>
        <sz val="11"/>
        <color theme="1"/>
        <rFont val="Calibri"/>
        <family val="2"/>
        <scheme val="minor"/>
      </rPr>
      <t>)*100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</si>
  <si>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z,Kabel</t>
    </r>
  </si>
  <si>
    <r>
      <t>I</t>
    </r>
    <r>
      <rPr>
        <vertAlign val="subscript"/>
        <sz val="11"/>
        <color theme="1"/>
        <rFont val="Calibri"/>
        <family val="2"/>
        <scheme val="minor"/>
      </rPr>
      <t>z,tot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</si>
  <si>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k,3F,max,HT</t>
    </r>
  </si>
  <si>
    <t>Trafo.</t>
  </si>
  <si>
    <t xml:space="preserve">Beskyttelse mod transiente overspændinger </t>
  </si>
  <si>
    <t>Land</t>
  </si>
  <si>
    <t>By</t>
  </si>
  <si>
    <r>
      <t>f</t>
    </r>
    <r>
      <rPr>
        <vertAlign val="subscript"/>
        <sz val="11"/>
        <color theme="1"/>
        <rFont val="Calibri"/>
        <family val="2"/>
        <scheme val="minor"/>
      </rPr>
      <t>env</t>
    </r>
  </si>
  <si>
    <r>
      <t>N</t>
    </r>
    <r>
      <rPr>
        <vertAlign val="subscript"/>
        <sz val="11"/>
        <color theme="1"/>
        <rFont val="Calibri"/>
        <family val="2"/>
        <scheme val="minor"/>
      </rPr>
      <t>g</t>
    </r>
  </si>
  <si>
    <r>
      <t>Lyn/km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pr. år</t>
    </r>
  </si>
  <si>
    <r>
      <t>L</t>
    </r>
    <r>
      <rPr>
        <vertAlign val="subscript"/>
        <sz val="11"/>
        <color theme="1"/>
        <rFont val="Calibri"/>
        <family val="2"/>
        <scheme val="minor"/>
      </rPr>
      <t>PAL</t>
    </r>
  </si>
  <si>
    <r>
      <t>L</t>
    </r>
    <r>
      <rPr>
        <vertAlign val="subscript"/>
        <sz val="11"/>
        <color theme="1"/>
        <rFont val="Calibri"/>
        <family val="2"/>
        <scheme val="minor"/>
      </rPr>
      <t>PCL</t>
    </r>
  </si>
  <si>
    <r>
      <t>L</t>
    </r>
    <r>
      <rPr>
        <vertAlign val="subscript"/>
        <sz val="11"/>
        <color theme="1"/>
        <rFont val="Calibri"/>
        <family val="2"/>
        <scheme val="minor"/>
      </rPr>
      <t>PAH</t>
    </r>
  </si>
  <si>
    <r>
      <rPr>
        <sz val="11"/>
        <color theme="1"/>
        <rFont val="Calibri"/>
        <family val="2"/>
        <scheme val="minor"/>
      </rPr>
      <t>L</t>
    </r>
    <r>
      <rPr>
        <vertAlign val="subscript"/>
        <sz val="11"/>
        <color theme="1"/>
        <rFont val="Calibri"/>
        <family val="2"/>
        <scheme val="minor"/>
      </rPr>
      <t>PCH</t>
    </r>
  </si>
  <si>
    <t xml:space="preserve">km </t>
  </si>
  <si>
    <r>
      <t>L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=2*L</t>
    </r>
    <r>
      <rPr>
        <vertAlign val="subscript"/>
        <sz val="11"/>
        <color theme="1"/>
        <rFont val="Calibri"/>
        <family val="2"/>
        <scheme val="minor"/>
      </rPr>
      <t>PAL</t>
    </r>
    <r>
      <rPr>
        <sz val="11"/>
        <color theme="1"/>
        <rFont val="Calibri"/>
        <family val="2"/>
        <scheme val="minor"/>
      </rPr>
      <t>+L</t>
    </r>
    <r>
      <rPr>
        <vertAlign val="subscript"/>
        <sz val="11"/>
        <color theme="1"/>
        <rFont val="Calibri"/>
        <family val="2"/>
        <scheme val="minor"/>
      </rPr>
      <t>PCL</t>
    </r>
    <r>
      <rPr>
        <sz val="11"/>
        <color theme="1"/>
        <rFont val="Calibri"/>
        <family val="2"/>
        <scheme val="minor"/>
      </rPr>
      <t>+0,4*L</t>
    </r>
    <r>
      <rPr>
        <vertAlign val="subscript"/>
        <sz val="11"/>
        <color theme="1"/>
        <rFont val="Calibri"/>
        <family val="2"/>
        <scheme val="minor"/>
      </rPr>
      <t>PCL</t>
    </r>
    <r>
      <rPr>
        <sz val="11"/>
        <color theme="1"/>
        <rFont val="Calibri"/>
        <family val="2"/>
        <scheme val="minor"/>
      </rPr>
      <t>+0,2*L</t>
    </r>
    <r>
      <rPr>
        <vertAlign val="subscript"/>
        <sz val="11"/>
        <color theme="1"/>
        <rFont val="Calibri"/>
        <family val="2"/>
        <scheme val="minor"/>
      </rPr>
      <t>PCH</t>
    </r>
  </si>
  <si>
    <r>
      <t>CRL=f</t>
    </r>
    <r>
      <rPr>
        <vertAlign val="subscript"/>
        <sz val="11"/>
        <color theme="1"/>
        <rFont val="Calibri"/>
        <family val="2"/>
        <scheme val="minor"/>
      </rPr>
      <t>env</t>
    </r>
    <r>
      <rPr>
        <sz val="11"/>
        <color theme="1"/>
        <rFont val="Calibri"/>
        <family val="2"/>
        <scheme val="minor"/>
      </rPr>
      <t>/(L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*N</t>
    </r>
    <r>
      <rPr>
        <vertAlign val="subscript"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)</t>
    </r>
  </si>
  <si>
    <t>Farvebetydning</t>
  </si>
  <si>
    <t>Givende værdier</t>
  </si>
  <si>
    <t>Udregnet i excel</t>
  </si>
  <si>
    <t xml:space="preserve">Udregnet i word </t>
  </si>
  <si>
    <t xml:space="preserve">Tabel- eller datablads værdier </t>
  </si>
  <si>
    <t xml:space="preserve">Allerede udregnet værdier </t>
  </si>
  <si>
    <t>iC60</t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</si>
  <si>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W</t>
    </r>
  </si>
  <si>
    <t>W3</t>
  </si>
  <si>
    <t>W4</t>
  </si>
  <si>
    <t>W5</t>
  </si>
  <si>
    <t xml:space="preserve">Er der Parallel sikringer skal Ib deles med antallet parallelle, huske det </t>
  </si>
  <si>
    <r>
      <t>I</t>
    </r>
    <r>
      <rPr>
        <vertAlign val="subscript"/>
        <sz val="11"/>
        <color theme="1"/>
        <rFont val="Calibri"/>
        <family val="2"/>
        <scheme val="minor"/>
      </rPr>
      <t>k,3F,max,GT</t>
    </r>
  </si>
  <si>
    <t>Aflæst i datablad</t>
  </si>
  <si>
    <r>
      <t>C</t>
    </r>
    <r>
      <rPr>
        <vertAlign val="subscript"/>
        <sz val="11"/>
        <color theme="1"/>
        <rFont val="Calibri"/>
        <family val="2"/>
        <scheme val="minor"/>
      </rPr>
      <t>min</t>
    </r>
  </si>
  <si>
    <t>Cmin</t>
  </si>
  <si>
    <t>Cmax</t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</si>
  <si>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w,min</t>
    </r>
  </si>
  <si>
    <t>radian</t>
  </si>
  <si>
    <t>y</t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</si>
  <si>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</si>
  <si>
    <r>
      <t>Z</t>
    </r>
    <r>
      <rPr>
        <vertAlign val="subscript"/>
        <sz val="11"/>
        <color theme="1"/>
        <rFont val="Calibri"/>
        <family val="2"/>
        <scheme val="minor"/>
      </rPr>
      <t>t</t>
    </r>
  </si>
  <si>
    <r>
      <t>Z</t>
    </r>
    <r>
      <rPr>
        <i/>
        <vertAlign val="subscript"/>
        <sz val="11"/>
        <color theme="1"/>
        <rFont val="Calibri"/>
        <family val="2"/>
        <scheme val="minor"/>
      </rPr>
      <t>w</t>
    </r>
  </si>
  <si>
    <t>vinkel</t>
  </si>
  <si>
    <r>
      <t>Z</t>
    </r>
    <r>
      <rPr>
        <vertAlign val="subscript"/>
        <sz val="11"/>
        <color theme="1"/>
        <rFont val="Calibri"/>
        <family val="2"/>
        <scheme val="minor"/>
      </rPr>
      <t>w,min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∠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</si>
  <si>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w,max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</si>
  <si>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n,max</t>
    </r>
  </si>
  <si>
    <r>
      <t>Z</t>
    </r>
    <r>
      <rPr>
        <vertAlign val="subscript"/>
        <sz val="11"/>
        <color theme="1"/>
        <rFont val="Calibri"/>
        <family val="2"/>
        <scheme val="minor"/>
      </rPr>
      <t>w,max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∠</t>
    </r>
  </si>
  <si>
    <t>R=L*r</t>
  </si>
  <si>
    <t>X=L*x</t>
  </si>
  <si>
    <r>
      <t>Z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=R∠0+R∠90</t>
    </r>
  </si>
  <si>
    <r>
      <t>0,9*I</t>
    </r>
    <r>
      <rPr>
        <vertAlign val="subscript"/>
        <sz val="11"/>
        <color theme="1"/>
        <rFont val="Calibri"/>
        <family val="2"/>
        <scheme val="minor"/>
      </rPr>
      <t>sd</t>
    </r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</si>
  <si>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</rPr>
      <t>≤0,9*I</t>
    </r>
    <r>
      <rPr>
        <vertAlign val="subscript"/>
        <sz val="11"/>
        <color theme="1"/>
        <rFont val="Calibri"/>
        <family val="2"/>
      </rPr>
      <t>sd</t>
    </r>
  </si>
  <si>
    <r>
      <t>I</t>
    </r>
    <r>
      <rPr>
        <vertAlign val="subscript"/>
        <sz val="11"/>
        <color theme="1"/>
        <rFont val="Calibri"/>
        <family val="2"/>
        <scheme val="minor"/>
      </rPr>
      <t>stød</t>
    </r>
  </si>
  <si>
    <t>Sikkerhedsfaktor</t>
  </si>
  <si>
    <r>
      <t>I</t>
    </r>
    <r>
      <rPr>
        <vertAlign val="subscript"/>
        <sz val="11"/>
        <color theme="1"/>
        <rFont val="Calibri"/>
        <family val="2"/>
        <scheme val="minor"/>
      </rPr>
      <t>i</t>
    </r>
  </si>
  <si>
    <r>
      <t>0,85*I</t>
    </r>
    <r>
      <rPr>
        <vertAlign val="subscript"/>
        <sz val="11"/>
        <color theme="1"/>
        <rFont val="Calibri"/>
        <family val="2"/>
        <scheme val="minor"/>
      </rPr>
      <t>i</t>
    </r>
  </si>
  <si>
    <r>
      <t>I</t>
    </r>
    <r>
      <rPr>
        <vertAlign val="subscript"/>
        <sz val="11"/>
        <color theme="1"/>
        <rFont val="Calibri"/>
        <family val="2"/>
        <scheme val="minor"/>
      </rPr>
      <t>stød</t>
    </r>
    <r>
      <rPr>
        <sz val="11"/>
        <color theme="1"/>
        <rFont val="Calibri"/>
        <family val="2"/>
      </rPr>
      <t>≤0,85*I</t>
    </r>
    <r>
      <rPr>
        <vertAlign val="subscript"/>
        <sz val="11"/>
        <color theme="1"/>
        <rFont val="Calibri"/>
        <family val="2"/>
      </rPr>
      <t>i</t>
    </r>
  </si>
  <si>
    <r>
      <t>t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</rPr>
      <t>≤t</t>
    </r>
    <r>
      <rPr>
        <vertAlign val="subscript"/>
        <sz val="11"/>
        <color theme="1"/>
        <rFont val="Calibri"/>
        <family val="2"/>
      </rPr>
      <t>FB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</si>
  <si>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w</t>
    </r>
  </si>
  <si>
    <r>
      <t>Beregning til Z</t>
    </r>
    <r>
      <rPr>
        <i/>
        <vertAlign val="subscript"/>
        <sz val="11"/>
        <color theme="1"/>
        <rFont val="Calibri"/>
        <family val="2"/>
        <scheme val="minor"/>
      </rPr>
      <t>w,min</t>
    </r>
  </si>
  <si>
    <r>
      <t>Beregning til Z</t>
    </r>
    <r>
      <rPr>
        <i/>
        <vertAlign val="subscript"/>
        <sz val="11"/>
        <color theme="1"/>
        <rFont val="Calibri"/>
        <family val="2"/>
        <scheme val="minor"/>
      </rPr>
      <t>w,max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</si>
  <si>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PE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</si>
  <si>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</si>
  <si>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k,2F,min,GT</t>
    </r>
    <r>
      <rPr>
        <sz val="11"/>
        <color theme="1"/>
        <rFont val="Calibri"/>
        <family val="2"/>
        <scheme val="minor"/>
      </rPr>
      <t>=(</t>
    </r>
    <r>
      <rPr>
        <sz val="11"/>
        <color theme="1"/>
        <rFont val="Calibri"/>
        <family val="2"/>
      </rPr>
      <t>√3/2</t>
    </r>
    <r>
      <rPr>
        <sz val="11"/>
        <color theme="1"/>
        <rFont val="Calibri"/>
        <family val="2"/>
        <scheme val="minor"/>
      </rPr>
      <t>)*I</t>
    </r>
    <r>
      <rPr>
        <vertAlign val="subscript"/>
        <sz val="11"/>
        <color theme="1"/>
        <rFont val="Calibri"/>
        <family val="2"/>
        <scheme val="minor"/>
      </rPr>
      <t>k,3F,min,GT</t>
    </r>
  </si>
  <si>
    <t>Aflæst på kurve</t>
  </si>
  <si>
    <r>
      <t>Beregning af Z</t>
    </r>
    <r>
      <rPr>
        <b/>
        <vertAlign val="subscript"/>
        <sz val="11"/>
        <color theme="1"/>
        <rFont val="Calibri"/>
        <family val="2"/>
        <scheme val="minor"/>
      </rPr>
      <t>n</t>
    </r>
  </si>
  <si>
    <r>
      <t>Z</t>
    </r>
    <r>
      <rPr>
        <vertAlign val="subscript"/>
        <sz val="11"/>
        <color theme="1"/>
        <rFont val="Calibri"/>
        <family val="2"/>
        <scheme val="minor"/>
      </rPr>
      <t>nmin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Kmax</t>
    </r>
  </si>
  <si>
    <r>
      <t>Z</t>
    </r>
    <r>
      <rPr>
        <vertAlign val="subscript"/>
        <sz val="11"/>
        <color theme="1"/>
        <rFont val="Calibri"/>
        <family val="2"/>
        <scheme val="minor"/>
      </rPr>
      <t>nmax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Kmin</t>
    </r>
  </si>
  <si>
    <t>Parallele kabler</t>
  </si>
  <si>
    <r>
      <t>Z</t>
    </r>
    <r>
      <rPr>
        <vertAlign val="subscript"/>
        <sz val="11"/>
        <color theme="1"/>
        <rFont val="Calibri"/>
        <family val="2"/>
        <scheme val="minor"/>
      </rPr>
      <t>w,min</t>
    </r>
    <r>
      <rPr>
        <sz val="11"/>
        <color theme="1"/>
        <rFont val="Calibri"/>
        <family val="2"/>
        <scheme val="minor"/>
      </rPr>
      <t>=R∠0+X∠90</t>
    </r>
  </si>
  <si>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k,FN,min,HT</t>
    </r>
  </si>
  <si>
    <r>
      <t xml:space="preserve">Beregning </t>
    </r>
    <r>
      <rPr>
        <b/>
        <sz val="11"/>
        <color theme="1"/>
        <rFont val="Calibri"/>
        <family val="2"/>
      </rPr>
      <t>∑</t>
    </r>
    <r>
      <rPr>
        <b/>
        <sz val="11"/>
        <color theme="1"/>
        <rFont val="Calibri"/>
        <family val="2"/>
        <scheme val="minor"/>
      </rPr>
      <t>Z</t>
    </r>
    <r>
      <rPr>
        <b/>
        <vertAlign val="subscript"/>
        <sz val="11"/>
        <color theme="1"/>
        <rFont val="Calibri"/>
        <family val="2"/>
        <scheme val="minor"/>
      </rPr>
      <t>w,min</t>
    </r>
  </si>
  <si>
    <r>
      <t xml:space="preserve">Beregning </t>
    </r>
    <r>
      <rPr>
        <b/>
        <sz val="11"/>
        <color theme="1"/>
        <rFont val="Calibri"/>
        <family val="2"/>
      </rPr>
      <t>∑</t>
    </r>
    <r>
      <rPr>
        <b/>
        <sz val="11"/>
        <color theme="1"/>
        <rFont val="Calibri"/>
        <family val="2"/>
        <scheme val="minor"/>
      </rPr>
      <t>Z</t>
    </r>
    <r>
      <rPr>
        <b/>
        <vertAlign val="subscript"/>
        <sz val="11"/>
        <color theme="1"/>
        <rFont val="Calibri"/>
        <family val="2"/>
        <scheme val="minor"/>
      </rPr>
      <t>w,max</t>
    </r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</si>
  <si>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scheme val="minor"/>
      </rPr>
      <t>Z</t>
    </r>
    <r>
      <rPr>
        <vertAlign val="subscript"/>
        <sz val="11"/>
        <color theme="1"/>
        <rFont val="Calibri"/>
        <family val="2"/>
        <scheme val="minor"/>
      </rPr>
      <t>w,min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w,min</t>
    </r>
    <r>
      <rPr>
        <sz val="11"/>
        <color theme="1"/>
        <rFont val="Calibri"/>
        <family val="2"/>
        <scheme val="minor"/>
      </rPr>
      <t>∠</t>
    </r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</si>
  <si>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scheme val="minor"/>
      </rPr>
      <t>Z</t>
    </r>
    <r>
      <rPr>
        <vertAlign val="subscript"/>
        <sz val="11"/>
        <color theme="1"/>
        <rFont val="Calibri"/>
        <family val="2"/>
        <scheme val="minor"/>
      </rPr>
      <t>w,max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∠+Z</t>
    </r>
    <r>
      <rPr>
        <vertAlign val="subscript"/>
        <sz val="11"/>
        <color theme="1"/>
        <rFont val="Calibri"/>
        <family val="2"/>
        <scheme val="minor"/>
      </rPr>
      <t>w,max</t>
    </r>
    <r>
      <rPr>
        <sz val="11"/>
        <color theme="1"/>
        <rFont val="Calibri"/>
        <family val="2"/>
        <scheme val="minor"/>
      </rPr>
      <t>∠</t>
    </r>
  </si>
  <si>
    <r>
      <t>Z</t>
    </r>
    <r>
      <rPr>
        <i/>
        <vertAlign val="subscript"/>
        <sz val="11"/>
        <color theme="1"/>
        <rFont val="Calibri"/>
        <family val="2"/>
        <scheme val="minor"/>
      </rPr>
      <t>w,min</t>
    </r>
    <r>
      <rPr>
        <i/>
        <sz val="11"/>
        <color theme="1"/>
        <rFont val="Calibri"/>
        <family val="2"/>
        <scheme val="minor"/>
      </rPr>
      <t xml:space="preserve"> for Kabel</t>
    </r>
  </si>
  <si>
    <r>
      <t>Z</t>
    </r>
    <r>
      <rPr>
        <i/>
        <vertAlign val="subscript"/>
        <sz val="11"/>
        <color theme="1"/>
        <rFont val="Calibri"/>
        <family val="2"/>
        <scheme val="minor"/>
      </rPr>
      <t>w,max</t>
    </r>
    <r>
      <rPr>
        <i/>
        <sz val="11"/>
        <color theme="1"/>
        <rFont val="Calibri"/>
        <family val="2"/>
        <scheme val="minor"/>
      </rPr>
      <t xml:space="preserve"> for Kabel</t>
    </r>
  </si>
  <si>
    <t xml:space="preserve">1 stk. </t>
  </si>
  <si>
    <t>NS</t>
  </si>
  <si>
    <t>Pd</t>
  </si>
  <si>
    <t>NH</t>
  </si>
  <si>
    <t>GV</t>
  </si>
  <si>
    <r>
      <t>Z</t>
    </r>
    <r>
      <rPr>
        <vertAlign val="subscript"/>
        <sz val="11"/>
        <color theme="1"/>
        <rFont val="Calibri"/>
        <family val="2"/>
        <scheme val="minor"/>
      </rPr>
      <t>w,max</t>
    </r>
    <r>
      <rPr>
        <sz val="11"/>
        <color theme="1"/>
        <rFont val="Calibri"/>
        <family val="2"/>
        <scheme val="minor"/>
      </rPr>
      <t>=parallele*(</t>
    </r>
    <r>
      <rPr>
        <sz val="11"/>
        <color theme="1"/>
        <rFont val="Calibri"/>
        <family val="2"/>
      </rPr>
      <t>ρ*</t>
    </r>
    <r>
      <rPr>
        <sz val="11"/>
        <color theme="1"/>
        <rFont val="Calibri"/>
        <family val="2"/>
        <scheme val="minor"/>
      </rPr>
      <t>R∠0+R∠90)</t>
    </r>
  </si>
  <si>
    <t xml:space="preserve">Ikke for parallele kabler, men parallele smeltesikringer. Hust det fx 1 kabel=3 stk, 2 kabler=6 osv. </t>
  </si>
  <si>
    <t xml:space="preserve">Sk min og max er lige store </t>
  </si>
  <si>
    <t xml:space="preserve">Når der står SKn så er Skmin og max samme størrelse </t>
  </si>
  <si>
    <r>
      <t>U</t>
    </r>
    <r>
      <rPr>
        <vertAlign val="subscript"/>
        <sz val="11"/>
        <color theme="1"/>
        <rFont val="Calibri"/>
        <family val="2"/>
        <scheme val="minor"/>
      </rPr>
      <t>n2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</si>
  <si>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k,3F,max,HT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w,min</t>
    </r>
    <r>
      <rPr>
        <sz val="11"/>
        <color theme="1"/>
        <rFont val="Calibri"/>
        <family val="2"/>
      </rPr>
      <t>)</t>
    </r>
  </si>
  <si>
    <r>
      <t>Z</t>
    </r>
    <r>
      <rPr>
        <vertAlign val="subscript"/>
        <sz val="11"/>
        <color theme="1"/>
        <rFont val="Calibri"/>
        <family val="2"/>
      </rPr>
      <t>w,min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</si>
  <si>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Kn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</si>
  <si>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w,PE</t>
    </r>
  </si>
  <si>
    <r>
      <t>Z</t>
    </r>
    <r>
      <rPr>
        <vertAlign val="subscript"/>
        <sz val="11"/>
        <color theme="1"/>
        <rFont val="Calibri"/>
        <family val="2"/>
        <scheme val="minor"/>
      </rPr>
      <t>w,max</t>
    </r>
    <r>
      <rPr>
        <sz val="11"/>
        <color theme="1"/>
        <rFont val="Calibri"/>
        <family val="2"/>
        <scheme val="minor"/>
      </rPr>
      <t>=parallele*(PE*(</t>
    </r>
    <r>
      <rPr>
        <sz val="11"/>
        <color theme="1"/>
        <rFont val="Calibri"/>
        <family val="2"/>
      </rPr>
      <t>ρ*</t>
    </r>
    <r>
      <rPr>
        <sz val="11"/>
        <color theme="1"/>
        <rFont val="Calibri"/>
        <family val="2"/>
        <scheme val="minor"/>
      </rPr>
      <t>R∠0+R∠90))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</si>
  <si>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,</t>
    </r>
    <r>
      <rPr>
        <b/>
        <vertAlign val="subscript"/>
        <sz val="11"/>
        <color theme="1"/>
        <rFont val="Calibri"/>
        <family val="2"/>
        <scheme val="minor"/>
      </rPr>
      <t>0,4kV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</si>
  <si>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T,min,0,4kV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</si>
  <si>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T,min,0,4kV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</si>
  <si>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T,min,0,4kV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+Z</t>
    </r>
    <r>
      <rPr>
        <vertAlign val="subscript"/>
        <sz val="11"/>
        <color theme="1"/>
        <rFont val="Calibri"/>
        <family val="2"/>
        <scheme val="minor"/>
      </rPr>
      <t>T,0,4kV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</si>
  <si>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T,max,0,4kV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</si>
  <si>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T,max,0,4kV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+Z</t>
    </r>
    <r>
      <rPr>
        <vertAlign val="subscript"/>
        <sz val="11"/>
        <color theme="1"/>
        <rFont val="Calibri"/>
        <family val="2"/>
        <scheme val="minor"/>
      </rPr>
      <t>T,0,4kV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</si>
  <si>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k,3F,max,0,4kV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</si>
  <si>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T,min,0,4kV</t>
    </r>
    <r>
      <rPr>
        <sz val="11"/>
        <color theme="1"/>
        <rFont val="Calibri"/>
        <family val="2"/>
        <scheme val="minor"/>
      </rPr>
      <t>)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</si>
  <si>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k,FN,min,0,4kV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</si>
  <si>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T,max,0,4kV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</si>
  <si>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k,FN,min,0,4kV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</si>
  <si>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afstand</t>
    </r>
  </si>
  <si>
    <r>
      <t>I</t>
    </r>
    <r>
      <rPr>
        <vertAlign val="subscript"/>
        <sz val="11"/>
        <color rgb="FF000000"/>
        <rFont val="Calibri"/>
        <family val="2"/>
        <scheme val="minor"/>
      </rPr>
      <t>z,nød</t>
    </r>
    <r>
      <rPr>
        <sz val="11"/>
        <color rgb="FF000000"/>
        <rFont val="Calibri"/>
        <family val="2"/>
        <scheme val="minor"/>
      </rPr>
      <t>=(I</t>
    </r>
    <r>
      <rPr>
        <vertAlign val="subscript"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/K</t>
    </r>
    <r>
      <rPr>
        <vertAlign val="subscript"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afstand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tm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Jorddybde</t>
    </r>
    <r>
      <rPr>
        <sz val="11"/>
        <color rgb="FF000000"/>
        <rFont val="Calibri"/>
        <family val="2"/>
        <scheme val="minor"/>
      </rPr>
      <t>)</t>
    </r>
  </si>
  <si>
    <t>B.52.19</t>
  </si>
  <si>
    <r>
      <t>I</t>
    </r>
    <r>
      <rPr>
        <vertAlign val="subscript"/>
        <sz val="11"/>
        <color rgb="FF000000"/>
        <rFont val="Calibri"/>
        <family val="2"/>
        <scheme val="minor"/>
      </rPr>
      <t>z,nød</t>
    </r>
    <r>
      <rPr>
        <sz val="11"/>
        <color rgb="FF000000"/>
        <rFont val="Calibri"/>
        <family val="2"/>
        <scheme val="minor"/>
      </rPr>
      <t>=(I</t>
    </r>
    <r>
      <rPr>
        <vertAlign val="subscript"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/K</t>
    </r>
    <r>
      <rPr>
        <vertAlign val="subscript"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afstand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tm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*K</t>
    </r>
    <r>
      <rPr>
        <vertAlign val="subscript"/>
        <sz val="11"/>
        <color rgb="FF000000"/>
        <rFont val="Calibri"/>
        <family val="2"/>
        <scheme val="minor"/>
      </rPr>
      <t>Jorddybde</t>
    </r>
    <r>
      <rPr>
        <sz val="11"/>
        <color rgb="FF000000"/>
        <rFont val="Calibri"/>
        <family val="2"/>
        <scheme val="minor"/>
      </rPr>
      <t>)</t>
    </r>
  </si>
  <si>
    <t xml:space="preserve">Kabler stk. </t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</si>
  <si>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z,nød </t>
    </r>
    <r>
      <rPr>
        <sz val="11"/>
        <color theme="1"/>
        <rFont val="Calibri"/>
        <family val="2"/>
        <scheme val="minor"/>
      </rPr>
      <t>pr. kabel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</si>
  <si>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z,kabel</t>
    </r>
  </si>
  <si>
    <t xml:space="preserve">Findes under uniten 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</si>
  <si>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≤I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≤I</t>
    </r>
    <r>
      <rPr>
        <vertAlign val="subscript"/>
        <sz val="11"/>
        <color theme="1"/>
        <rFont val="Calibri"/>
        <family val="2"/>
        <scheme val="minor"/>
      </rPr>
      <t>z,nød</t>
    </r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</si>
  <si>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≤I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≤I</t>
    </r>
    <r>
      <rPr>
        <vertAlign val="subscript"/>
        <sz val="11"/>
        <color theme="1"/>
        <rFont val="Calibri"/>
        <family val="2"/>
        <scheme val="minor"/>
      </rPr>
      <t>z,nød</t>
    </r>
  </si>
  <si>
    <r>
      <t>Bereging I</t>
    </r>
    <r>
      <rPr>
        <b/>
        <vertAlign val="subscript"/>
        <sz val="11"/>
        <color theme="1"/>
        <rFont val="Calibri"/>
        <family val="2"/>
        <scheme val="minor"/>
      </rPr>
      <t>b,lys</t>
    </r>
  </si>
  <si>
    <t>Lys</t>
  </si>
  <si>
    <t>Grupper</t>
  </si>
  <si>
    <r>
      <t>I</t>
    </r>
    <r>
      <rPr>
        <vertAlign val="subscript"/>
        <sz val="11"/>
        <color theme="1"/>
        <rFont val="Calibri"/>
        <family val="2"/>
        <scheme val="minor"/>
      </rPr>
      <t>b,lys</t>
    </r>
    <r>
      <rPr>
        <sz val="11"/>
        <color theme="1"/>
        <rFont val="Calibri"/>
        <family val="2"/>
        <scheme val="minor"/>
      </rPr>
      <t>=Lys*grupper/U</t>
    </r>
    <r>
      <rPr>
        <vertAlign val="subscript"/>
        <sz val="11"/>
        <color theme="1"/>
        <rFont val="Calibri"/>
        <family val="2"/>
        <scheme val="minor"/>
      </rPr>
      <t>f</t>
    </r>
  </si>
  <si>
    <t>PE</t>
  </si>
  <si>
    <t xml:space="preserve">n vælges på baggrund af Ikmax udregnet for tavelen </t>
  </si>
  <si>
    <t>r og x er på datablader for kanalskinnen</t>
  </si>
  <si>
    <t xml:space="preserve">TNC er der PEN leder </t>
  </si>
  <si>
    <t xml:space="preserve">den strøm der løber i nul lederen </t>
  </si>
  <si>
    <r>
      <t>I</t>
    </r>
    <r>
      <rPr>
        <vertAlign val="subscript"/>
        <sz val="11"/>
        <color theme="1"/>
        <rFont val="Calibri"/>
        <family val="2"/>
        <scheme val="minor"/>
      </rPr>
      <t>cn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k,3F,max,HT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</si>
  <si>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k,2F,min,GT</t>
    </r>
    <r>
      <rPr>
        <sz val="11"/>
        <color theme="1"/>
        <rFont val="Calibri"/>
        <family val="2"/>
        <scheme val="minor"/>
      </rPr>
      <t>/kredse</t>
    </r>
  </si>
  <si>
    <r>
      <t>∑Z</t>
    </r>
    <r>
      <rPr>
        <vertAlign val="subscript"/>
        <sz val="11"/>
        <color theme="1"/>
        <rFont val="Calibri"/>
        <family val="2"/>
        <scheme val="minor"/>
      </rPr>
      <t>w,min</t>
    </r>
  </si>
  <si>
    <r>
      <t>∑Z</t>
    </r>
    <r>
      <rPr>
        <vertAlign val="subscript"/>
        <sz val="11"/>
        <color theme="1"/>
        <rFont val="Calibri"/>
        <family val="2"/>
        <scheme val="minor"/>
      </rPr>
      <t>w,max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</si>
  <si>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k,3F,max,GT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w,min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</si>
  <si>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k,3F,min,GT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*C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w,max</t>
    </r>
    <r>
      <rPr>
        <sz val="11"/>
        <color theme="1"/>
        <rFont val="Calibri"/>
        <family val="2"/>
        <scheme val="minor"/>
      </rPr>
      <t>)</t>
    </r>
  </si>
  <si>
    <t xml:space="preserve">Bruges ikke </t>
  </si>
  <si>
    <r>
      <t>I</t>
    </r>
    <r>
      <rPr>
        <vertAlign val="subscript"/>
        <sz val="11"/>
        <color theme="1"/>
        <rFont val="Calibri"/>
        <family val="2"/>
        <scheme val="minor"/>
      </rPr>
      <t>k,FN/PE,min,GT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w,max</t>
    </r>
    <r>
      <rPr>
        <sz val="11"/>
        <color theme="1"/>
        <rFont val="Calibri"/>
        <family val="2"/>
        <scheme val="minor"/>
      </rPr>
      <t>)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</si>
  <si>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k,FN/PE,min,GT</t>
    </r>
  </si>
  <si>
    <r>
      <t>I</t>
    </r>
    <r>
      <rPr>
        <vertAlign val="subscript"/>
        <sz val="11"/>
        <color theme="1"/>
        <rFont val="Calibri"/>
        <family val="2"/>
        <scheme val="minor"/>
      </rPr>
      <t>k,FN/PE,min,GT</t>
    </r>
  </si>
  <si>
    <r>
      <t>I</t>
    </r>
    <r>
      <rPr>
        <vertAlign val="subscript"/>
        <sz val="11"/>
        <color theme="1"/>
        <rFont val="Calibri"/>
        <family val="2"/>
        <scheme val="minor"/>
      </rPr>
      <t>k,FN/PE,min,GT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*t</t>
    </r>
    <r>
      <rPr>
        <vertAlign val="subscript"/>
        <sz val="11"/>
        <color theme="1"/>
        <rFont val="Calibri"/>
        <family val="2"/>
        <scheme val="minor"/>
      </rPr>
      <t>s</t>
    </r>
  </si>
  <si>
    <t>RCD</t>
  </si>
  <si>
    <r>
      <t>I</t>
    </r>
    <r>
      <rPr>
        <vertAlign val="subscript"/>
        <sz val="11"/>
        <color theme="1"/>
        <rFont val="Calibri"/>
        <family val="2"/>
        <scheme val="minor"/>
      </rPr>
      <t>n,min,RCD</t>
    </r>
  </si>
  <si>
    <r>
      <t xml:space="preserve">BEK1082 </t>
    </r>
    <r>
      <rPr>
        <sz val="11"/>
        <color theme="1"/>
        <rFont val="Calibri"/>
        <family val="2"/>
      </rPr>
      <t>§35</t>
    </r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</si>
  <si>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&gt;I</t>
    </r>
    <r>
      <rPr>
        <vertAlign val="subscript"/>
        <sz val="11"/>
        <color theme="1"/>
        <rFont val="Calibri"/>
        <family val="2"/>
        <scheme val="minor"/>
      </rPr>
      <t>n,min,RCD</t>
    </r>
  </si>
  <si>
    <t>DS 60364 tabel 41.1</t>
  </si>
  <si>
    <r>
      <t>I</t>
    </r>
    <r>
      <rPr>
        <vertAlign val="subscript"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k,3F,max,GT</t>
    </r>
  </si>
  <si>
    <t>DS 60364 tabel 43A</t>
  </si>
  <si>
    <t>PE er 2 hvis der ikke er separat PE leder</t>
  </si>
  <si>
    <t>Bolig</t>
  </si>
  <si>
    <t xml:space="preserve">Industri </t>
  </si>
  <si>
    <r>
      <t>I</t>
    </r>
    <r>
      <rPr>
        <vertAlign val="subscript"/>
        <sz val="11"/>
        <color theme="1"/>
        <rFont val="Calibri"/>
        <family val="2"/>
        <scheme val="minor"/>
      </rPr>
      <t>rush</t>
    </r>
  </si>
  <si>
    <t>IEC 60947-2</t>
  </si>
  <si>
    <t>Nedre</t>
  </si>
  <si>
    <r>
      <t>I</t>
    </r>
    <r>
      <rPr>
        <vertAlign val="subscript"/>
        <sz val="11"/>
        <color theme="1"/>
        <rFont val="Calibri"/>
        <family val="2"/>
        <scheme val="minor"/>
      </rPr>
      <t>m,min</t>
    </r>
    <r>
      <rPr>
        <sz val="11"/>
        <color theme="1"/>
        <rFont val="Calibri"/>
        <family val="2"/>
        <scheme val="minor"/>
      </rPr>
      <t>=4*0,8*I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</si>
  <si>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m,min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start</t>
    </r>
  </si>
  <si>
    <r>
      <rPr>
        <sz val="11"/>
        <color theme="1"/>
        <rFont val="Calibri"/>
        <family val="2"/>
      </rPr>
      <t>I</t>
    </r>
    <r>
      <rPr>
        <vertAlign val="subscript"/>
        <sz val="11"/>
        <color theme="1"/>
        <rFont val="Calibri"/>
        <family val="2"/>
      </rPr>
      <t>m,min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rush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</si>
  <si>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=4*1,2*I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</si>
  <si>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k,FN/PE,min,GT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</si>
  <si>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=8*1,2*I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</si>
  <si>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=12*1,2*I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</si>
  <si>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sd,max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k,FN/PE,min,GT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*sikkerhedsfaktor</t>
    </r>
  </si>
  <si>
    <r>
      <t>I</t>
    </r>
    <r>
      <rPr>
        <vertAlign val="subscript"/>
        <sz val="11"/>
        <color theme="1"/>
        <rFont val="Calibri"/>
        <family val="2"/>
        <scheme val="minor"/>
      </rPr>
      <t>k,FN/PE,min,GT</t>
    </r>
    <r>
      <rPr>
        <sz val="11"/>
        <color theme="1"/>
        <rFont val="Calibri"/>
        <family val="2"/>
        <scheme val="minor"/>
      </rPr>
      <t>&gt;I</t>
    </r>
    <r>
      <rPr>
        <vertAlign val="subscript"/>
        <sz val="11"/>
        <color theme="1"/>
        <rFont val="Calibri"/>
        <family val="2"/>
        <scheme val="minor"/>
      </rPr>
      <t>sd</t>
    </r>
  </si>
  <si>
    <r>
      <t>I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&gt;I</t>
    </r>
    <r>
      <rPr>
        <vertAlign val="subscript"/>
        <sz val="11"/>
        <color theme="1"/>
        <rFont val="Calibri"/>
        <family val="2"/>
        <scheme val="minor"/>
      </rPr>
      <t>n,min,RCD</t>
    </r>
  </si>
  <si>
    <t>iDPN N 6000</t>
  </si>
  <si>
    <t>1P+N</t>
  </si>
  <si>
    <t>eller B</t>
  </si>
  <si>
    <t>D-kurve</t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</si>
  <si>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=5*I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</si>
  <si>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=10*I</t>
    </r>
    <r>
      <rPr>
        <vertAlign val="subscript"/>
        <sz val="11"/>
        <color theme="1"/>
        <rFont val="Calibri"/>
        <family val="2"/>
        <scheme val="minor"/>
      </rPr>
      <t>n</t>
    </r>
  </si>
  <si>
    <t>IEC 60898</t>
  </si>
  <si>
    <r>
      <t>I</t>
    </r>
    <r>
      <rPr>
        <vertAlign val="subscript"/>
        <sz val="11"/>
        <color theme="1"/>
        <rFont val="Calibri"/>
        <family val="2"/>
        <scheme val="minor"/>
      </rPr>
      <t>m,max</t>
    </r>
    <r>
      <rPr>
        <sz val="11"/>
        <color theme="1"/>
        <rFont val="Calibri"/>
        <family val="2"/>
        <scheme val="minor"/>
      </rPr>
      <t>=14*I</t>
    </r>
    <r>
      <rPr>
        <vertAlign val="subscript"/>
        <sz val="11"/>
        <color theme="1"/>
        <rFont val="Calibri"/>
        <family val="2"/>
        <scheme val="minor"/>
      </rPr>
      <t>n</t>
    </r>
  </si>
  <si>
    <r>
      <t>t</t>
    </r>
    <r>
      <rPr>
        <vertAlign val="subscript"/>
        <sz val="11"/>
        <color theme="1"/>
        <rFont val="Calibri"/>
        <family val="2"/>
        <scheme val="minor"/>
      </rPr>
      <t>RCD</t>
    </r>
  </si>
  <si>
    <t>i bog 7 står der noget om kontrol af RCD effektivitet på s. 61</t>
  </si>
  <si>
    <r>
      <t>I</t>
    </r>
    <r>
      <rPr>
        <vertAlign val="subscript"/>
        <sz val="11"/>
        <color theme="1"/>
        <rFont val="Calibri"/>
        <family val="2"/>
        <scheme val="minor"/>
      </rPr>
      <t>m.max</t>
    </r>
    <r>
      <rPr>
        <sz val="11"/>
        <color theme="1"/>
        <rFont val="Calibri"/>
        <family val="2"/>
        <scheme val="minor"/>
      </rPr>
      <t>*1,2</t>
    </r>
    <r>
      <rPr>
        <sz val="11"/>
        <color theme="1"/>
        <rFont val="Calibri"/>
        <family val="2"/>
      </rPr>
      <t>≤I</t>
    </r>
    <r>
      <rPr>
        <vertAlign val="subscript"/>
        <sz val="11"/>
        <color theme="1"/>
        <rFont val="Calibri"/>
        <family val="2"/>
      </rPr>
      <t>k,FN/PE,min,GT</t>
    </r>
  </si>
  <si>
    <t xml:space="preserve">stædstrømmen kan antages at være sobbelt så stor som startstrømmen hvis dette ikke er angiet. </t>
  </si>
  <si>
    <r>
      <t>0,8*I</t>
    </r>
    <r>
      <rPr>
        <vertAlign val="subscript"/>
        <sz val="11"/>
        <color theme="1"/>
        <rFont val="Calibri"/>
        <family val="2"/>
        <scheme val="minor"/>
      </rPr>
      <t>d</t>
    </r>
  </si>
  <si>
    <r>
      <t>I</t>
    </r>
    <r>
      <rPr>
        <vertAlign val="subscript"/>
        <sz val="11"/>
        <color theme="1"/>
        <rFont val="Calibri"/>
        <family val="2"/>
        <scheme val="minor"/>
      </rPr>
      <t>stød</t>
    </r>
    <r>
      <rPr>
        <sz val="11"/>
        <color theme="1"/>
        <rFont val="Calibri"/>
        <family val="2"/>
      </rPr>
      <t>≤0,8*I</t>
    </r>
    <r>
      <rPr>
        <vertAlign val="subscript"/>
        <sz val="11"/>
        <color theme="1"/>
        <rFont val="Calibri"/>
        <family val="2"/>
      </rPr>
      <t>d</t>
    </r>
  </si>
  <si>
    <t xml:space="preserve">Kortslutningsudløserens effentivitet </t>
  </si>
  <si>
    <t xml:space="preserve">Husk liige at læse hvis det er for PE lederen, hvis det er skal S være dens tværsnit. </t>
  </si>
  <si>
    <t>kan også være for RCD</t>
  </si>
  <si>
    <t>W1 PE</t>
  </si>
  <si>
    <t>I start normalt vist givet i opgaven</t>
  </si>
  <si>
    <t>hvis I ruch ikke er opgivet er denne normalt 2 gange Istart</t>
  </si>
  <si>
    <r>
      <t>I</t>
    </r>
    <r>
      <rPr>
        <vertAlign val="subscript"/>
        <sz val="11"/>
        <color theme="1"/>
        <rFont val="Calibri"/>
        <family val="2"/>
        <scheme val="minor"/>
      </rPr>
      <t>m,min</t>
    </r>
    <r>
      <rPr>
        <sz val="11"/>
        <color theme="1"/>
        <rFont val="Calibri"/>
        <family val="2"/>
        <scheme val="minor"/>
      </rPr>
      <t>=8*0,8*I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</si>
  <si>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m,min</t>
    </r>
    <r>
      <rPr>
        <sz val="11"/>
        <color theme="1"/>
        <rFont val="Calibri"/>
        <family val="2"/>
        <scheme val="minor"/>
      </rPr>
      <t>=12*0,8*I</t>
    </r>
    <r>
      <rPr>
        <vertAlign val="subscript"/>
        <sz val="11"/>
        <color theme="1"/>
        <rFont val="Calibri"/>
        <family val="2"/>
        <scheme val="minor"/>
      </rPr>
      <t>n</t>
    </r>
  </si>
  <si>
    <t>skjul hvis i start ikke er opgivet</t>
  </si>
  <si>
    <r>
      <t>Indstilling af I</t>
    </r>
    <r>
      <rPr>
        <b/>
        <vertAlign val="subscript"/>
        <sz val="11"/>
        <color theme="1"/>
        <rFont val="Calibri"/>
        <family val="2"/>
        <scheme val="minor"/>
      </rPr>
      <t>sd</t>
    </r>
  </si>
  <si>
    <t>DS60364 punkt 443</t>
  </si>
  <si>
    <t>kan også være: Srt</t>
  </si>
  <si>
    <t>kan også være: Ukr</t>
  </si>
  <si>
    <t>Kan også være: Pkrt</t>
  </si>
  <si>
    <t>T0</t>
  </si>
  <si>
    <t>TNC er der PEN leder. Kun skriv TN, hvis det et TN-system</t>
  </si>
  <si>
    <t xml:space="preserve">i Onenoten skal der vælges In for lastadskilleren. </t>
  </si>
  <si>
    <t>SOMREGL BRUGES DISSE IKKE Afmærket på sikrings data for smeltesikringen i one noten</t>
  </si>
  <si>
    <t xml:space="preserve">AL og CU SKAL være med stort </t>
  </si>
  <si>
    <t>Brug 16</t>
  </si>
  <si>
    <t>W1.1</t>
  </si>
  <si>
    <t>1*35mm2 CU 90</t>
  </si>
  <si>
    <t>W1 PW</t>
  </si>
  <si>
    <t>W1.1 PE</t>
  </si>
  <si>
    <t>QSA</t>
  </si>
  <si>
    <t xml:space="preserve">Hvis parallele sikringer </t>
  </si>
  <si>
    <t xml:space="preserve">Hvis i render tør for celler. Bare tag ∑Zw for de kabler og sæt ind i steder for kablerne inviduelt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</si>
</sst>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</font>
    <font>
      <i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</font>
    <font>
      <i/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7030A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7">
    <xf numFmtId="0" fontId="0" fillId="0" borderId="0" xfId="0"/>
    <xf numFmtId="0" fontId="0" fillId="3" borderId="4" xfId="0" applyFill="1" applyBorder="1"/>
    <xf numFmtId="0" fontId="0" fillId="0" borderId="4" xfId="0" applyBorder="1"/>
    <xf numFmtId="0" fontId="0" fillId="3" borderId="1" xfId="0" applyFill="1" applyBorder="1"/>
    <xf numFmtId="0" fontId="0" fillId="3" borderId="2" xfId="0" applyFill="1" applyBorder="1"/>
    <xf numFmtId="0" fontId="0" fillId="0" borderId="3" xfId="0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5" xfId="0" applyFont="1" applyFill="1" applyBorder="1"/>
    <xf numFmtId="0" fontId="4" fillId="3" borderId="1" xfId="0" applyFont="1" applyFill="1" applyBorder="1"/>
    <xf numFmtId="0" fontId="0" fillId="5" borderId="4" xfId="0" applyFill="1" applyBorder="1"/>
    <xf numFmtId="0" fontId="0" fillId="4" borderId="6" xfId="0" applyFill="1" applyBorder="1"/>
    <xf numFmtId="0" fontId="0" fillId="4" borderId="7" xfId="0" applyFill="1" applyBorder="1"/>
    <xf numFmtId="164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0" fontId="4" fillId="3" borderId="4" xfId="0" applyFont="1" applyFill="1" applyBorder="1"/>
    <xf numFmtId="0" fontId="0" fillId="4" borderId="8" xfId="0" applyFill="1" applyBorder="1"/>
    <xf numFmtId="0" fontId="4" fillId="3" borderId="9" xfId="0" applyFont="1" applyFill="1" applyBorder="1"/>
    <xf numFmtId="2" fontId="0" fillId="5" borderId="4" xfId="0" applyNumberFormat="1" applyFill="1" applyBorder="1"/>
    <xf numFmtId="0" fontId="4" fillId="3" borderId="10" xfId="0" applyFont="1" applyFill="1" applyBorder="1"/>
    <xf numFmtId="0" fontId="0" fillId="3" borderId="5" xfId="0" applyFill="1" applyBorder="1"/>
    <xf numFmtId="0" fontId="4" fillId="3" borderId="2" xfId="0" applyFont="1" applyFill="1" applyBorder="1"/>
    <xf numFmtId="0" fontId="0" fillId="3" borderId="6" xfId="0" applyFill="1" applyBorder="1"/>
    <xf numFmtId="0" fontId="0" fillId="5" borderId="6" xfId="0" applyFill="1" applyBorder="1"/>
    <xf numFmtId="0" fontId="0" fillId="3" borderId="9" xfId="0" applyFill="1" applyBorder="1"/>
    <xf numFmtId="0" fontId="0" fillId="3" borderId="11" xfId="0" applyFill="1" applyBorder="1"/>
    <xf numFmtId="0" fontId="0" fillId="3" borderId="12" xfId="0" applyFill="1" applyBorder="1"/>
    <xf numFmtId="0" fontId="0" fillId="6" borderId="1" xfId="0" applyFill="1" applyBorder="1"/>
    <xf numFmtId="0" fontId="0" fillId="6" borderId="5" xfId="0" applyFill="1" applyBorder="1"/>
    <xf numFmtId="0" fontId="0" fillId="0" borderId="10" xfId="0" applyBorder="1"/>
    <xf numFmtId="0" fontId="0" fillId="3" borderId="7" xfId="0" applyFill="1" applyBorder="1"/>
    <xf numFmtId="0" fontId="0" fillId="0" borderId="7" xfId="0" applyBorder="1"/>
    <xf numFmtId="0" fontId="0" fillId="0" borderId="9" xfId="0" applyBorder="1"/>
    <xf numFmtId="0" fontId="0" fillId="0" borderId="1" xfId="0" applyBorder="1"/>
    <xf numFmtId="165" fontId="0" fillId="0" borderId="1" xfId="0" applyNumberFormat="1" applyBorder="1"/>
    <xf numFmtId="0" fontId="10" fillId="9" borderId="4" xfId="0" applyFont="1" applyFill="1" applyBorder="1"/>
    <xf numFmtId="165" fontId="0" fillId="5" borderId="1" xfId="0" applyNumberFormat="1" applyFill="1" applyBorder="1"/>
    <xf numFmtId="0" fontId="0" fillId="7" borderId="1" xfId="0" applyFill="1" applyBorder="1"/>
    <xf numFmtId="0" fontId="0" fillId="3" borderId="1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4" borderId="5" xfId="0" applyFill="1" applyBorder="1"/>
    <xf numFmtId="0" fontId="0" fillId="3" borderId="10" xfId="0" applyFill="1" applyBorder="1"/>
    <xf numFmtId="0" fontId="0" fillId="5" borderId="0" xfId="0" applyFill="1"/>
    <xf numFmtId="165" fontId="0" fillId="5" borderId="4" xfId="0" applyNumberFormat="1" applyFill="1" applyBorder="1"/>
    <xf numFmtId="0" fontId="0" fillId="6" borderId="2" xfId="0" applyFill="1" applyBorder="1"/>
    <xf numFmtId="0" fontId="0" fillId="8" borderId="4" xfId="0" applyFill="1" applyBorder="1"/>
    <xf numFmtId="0" fontId="0" fillId="3" borderId="13" xfId="0" applyFill="1" applyBorder="1"/>
    <xf numFmtId="0" fontId="0" fillId="0" borderId="8" xfId="0" applyBorder="1"/>
    <xf numFmtId="1" fontId="0" fillId="6" borderId="1" xfId="0" applyNumberFormat="1" applyFill="1" applyBorder="1"/>
    <xf numFmtId="0" fontId="0" fillId="3" borderId="0" xfId="0" applyFill="1"/>
    <xf numFmtId="0" fontId="4" fillId="6" borderId="5" xfId="0" applyFont="1" applyFill="1" applyBorder="1"/>
    <xf numFmtId="0" fontId="9" fillId="0" borderId="0" xfId="0" applyFont="1"/>
    <xf numFmtId="0" fontId="0" fillId="3" borderId="8" xfId="0" applyFill="1" applyBorder="1"/>
    <xf numFmtId="2" fontId="0" fillId="0" borderId="3" xfId="0" applyNumberFormat="1" applyBorder="1"/>
    <xf numFmtId="2" fontId="0" fillId="0" borderId="0" xfId="0" applyNumberFormat="1"/>
    <xf numFmtId="0" fontId="4" fillId="0" borderId="0" xfId="0" applyFont="1"/>
    <xf numFmtId="0" fontId="0" fillId="6" borderId="8" xfId="0" applyFill="1" applyBorder="1"/>
    <xf numFmtId="165" fontId="0" fillId="6" borderId="1" xfId="0" applyNumberFormat="1" applyFill="1" applyBorder="1"/>
    <xf numFmtId="2" fontId="0" fillId="0" borderId="10" xfId="0" applyNumberFormat="1" applyBorder="1"/>
    <xf numFmtId="0" fontId="0" fillId="3" borderId="14" xfId="0" applyFill="1" applyBorder="1"/>
    <xf numFmtId="2" fontId="0" fillId="5" borderId="0" xfId="0" applyNumberFormat="1" applyFill="1"/>
    <xf numFmtId="2" fontId="0" fillId="0" borderId="4" xfId="0" applyNumberFormat="1" applyBorder="1"/>
    <xf numFmtId="2" fontId="0" fillId="5" borderId="2" xfId="0" applyNumberFormat="1" applyFill="1" applyBorder="1"/>
    <xf numFmtId="0" fontId="12" fillId="0" borderId="0" xfId="0" applyFont="1"/>
    <xf numFmtId="0" fontId="13" fillId="0" borderId="0" xfId="0" applyFont="1"/>
    <xf numFmtId="166" fontId="0" fillId="5" borderId="10" xfId="0" applyNumberFormat="1" applyFill="1" applyBorder="1"/>
    <xf numFmtId="166" fontId="0" fillId="5" borderId="0" xfId="0" applyNumberFormat="1" applyFill="1"/>
    <xf numFmtId="0" fontId="4" fillId="3" borderId="8" xfId="0" applyFont="1" applyFill="1" applyBorder="1"/>
    <xf numFmtId="166" fontId="0" fillId="5" borderId="4" xfId="0" applyNumberFormat="1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5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2" fillId="0" borderId="0" xfId="0" applyFont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left"/>
    </xf>
    <xf numFmtId="0" fontId="0" fillId="3" borderId="9" xfId="0" applyFill="1" applyBorder="1" applyAlignment="1">
      <alignment horizontal="left"/>
    </xf>
    <xf numFmtId="0" fontId="0" fillId="7" borderId="8" xfId="0" applyFill="1" applyBorder="1"/>
    <xf numFmtId="165" fontId="2" fillId="2" borderId="2" xfId="0" applyNumberFormat="1" applyFont="1" applyFill="1" applyBorder="1"/>
    <xf numFmtId="0" fontId="2" fillId="3" borderId="2" xfId="0" applyFont="1" applyFill="1" applyBorder="1"/>
    <xf numFmtId="0" fontId="2" fillId="3" borderId="5" xfId="0" applyFont="1" applyFill="1" applyBorder="1"/>
    <xf numFmtId="2" fontId="0" fillId="5" borderId="1" xfId="0" applyNumberFormat="1" applyFill="1" applyBorder="1"/>
    <xf numFmtId="0" fontId="0" fillId="7" borderId="0" xfId="0" applyFill="1"/>
    <xf numFmtId="0" fontId="0" fillId="7" borderId="10" xfId="0" applyFill="1" applyBorder="1"/>
    <xf numFmtId="0" fontId="0" fillId="5" borderId="1" xfId="0" applyFill="1" applyBorder="1"/>
    <xf numFmtId="2" fontId="0" fillId="6" borderId="1" xfId="0" applyNumberFormat="1" applyFill="1" applyBorder="1"/>
    <xf numFmtId="2" fontId="2" fillId="2" borderId="2" xfId="0" applyNumberFormat="1" applyFont="1" applyFill="1" applyBorder="1"/>
    <xf numFmtId="2" fontId="0" fillId="5" borderId="8" xfId="0" applyNumberFormat="1" applyFill="1" applyBorder="1"/>
    <xf numFmtId="0" fontId="0" fillId="3" borderId="10" xfId="0" applyFill="1" applyBorder="1" applyAlignment="1">
      <alignment horizontal="left"/>
    </xf>
    <xf numFmtId="0" fontId="0" fillId="3" borderId="13" xfId="0" applyFill="1" applyBorder="1" applyAlignment="1">
      <alignment horizontal="left"/>
    </xf>
    <xf numFmtId="0" fontId="0" fillId="6" borderId="0" xfId="0" applyFill="1"/>
    <xf numFmtId="0" fontId="0" fillId="3" borderId="1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6" borderId="10" xfId="0" applyFill="1" applyBorder="1"/>
    <xf numFmtId="0" fontId="2" fillId="2" borderId="13" xfId="0" applyFont="1" applyFill="1" applyBorder="1"/>
    <xf numFmtId="0" fontId="2" fillId="2" borderId="13" xfId="0" applyFont="1" applyFill="1" applyBorder="1" applyAlignment="1">
      <alignment horizontal="left"/>
    </xf>
    <xf numFmtId="0" fontId="2" fillId="2" borderId="0" xfId="0" applyFont="1" applyFill="1"/>
    <xf numFmtId="0" fontId="17" fillId="4" borderId="1" xfId="0" applyFont="1" applyFill="1" applyBorder="1"/>
    <xf numFmtId="0" fontId="17" fillId="4" borderId="2" xfId="0" applyFont="1" applyFill="1" applyBorder="1"/>
    <xf numFmtId="0" fontId="16" fillId="4" borderId="2" xfId="0" applyFont="1" applyFill="1" applyBorder="1"/>
    <xf numFmtId="0" fontId="16" fillId="4" borderId="5" xfId="0" applyFont="1" applyFill="1" applyBorder="1"/>
    <xf numFmtId="0" fontId="16" fillId="4" borderId="1" xfId="0" applyFont="1" applyFill="1" applyBorder="1"/>
    <xf numFmtId="0" fontId="16" fillId="4" borderId="11" xfId="0" applyFont="1" applyFill="1" applyBorder="1"/>
    <xf numFmtId="165" fontId="0" fillId="5" borderId="9" xfId="0" applyNumberFormat="1" applyFill="1" applyBorder="1"/>
    <xf numFmtId="0" fontId="10" fillId="11" borderId="1" xfId="0" applyFont="1" applyFill="1" applyBorder="1"/>
    <xf numFmtId="0" fontId="8" fillId="9" borderId="8" xfId="0" applyFont="1" applyFill="1" applyBorder="1"/>
    <xf numFmtId="0" fontId="0" fillId="5" borderId="7" xfId="0" applyFill="1" applyBorder="1"/>
    <xf numFmtId="10" fontId="0" fillId="5" borderId="7" xfId="0" applyNumberFormat="1" applyFill="1" applyBorder="1"/>
    <xf numFmtId="0" fontId="0" fillId="3" borderId="3" xfId="0" applyFill="1" applyBorder="1"/>
    <xf numFmtId="0" fontId="0" fillId="3" borderId="8" xfId="0" applyFill="1" applyBorder="1" applyAlignment="1">
      <alignment horizontal="left"/>
    </xf>
    <xf numFmtId="0" fontId="0" fillId="10" borderId="8" xfId="0" applyFill="1" applyBorder="1" applyAlignment="1">
      <alignment horizontal="left"/>
    </xf>
    <xf numFmtId="0" fontId="0" fillId="2" borderId="0" xfId="0" applyFill="1"/>
    <xf numFmtId="0" fontId="0" fillId="2" borderId="5" xfId="0" applyFill="1" applyBorder="1"/>
    <xf numFmtId="0" fontId="0" fillId="2" borderId="12" xfId="0" applyFill="1" applyBorder="1"/>
    <xf numFmtId="0" fontId="0" fillId="6" borderId="13" xfId="0" applyFill="1" applyBorder="1"/>
    <xf numFmtId="0" fontId="0" fillId="6" borderId="3" xfId="0" applyFill="1" applyBorder="1"/>
    <xf numFmtId="0" fontId="0" fillId="5" borderId="10" xfId="0" applyFill="1" applyBorder="1"/>
    <xf numFmtId="9" fontId="0" fillId="3" borderId="1" xfId="0" applyNumberFormat="1" applyFill="1" applyBorder="1"/>
    <xf numFmtId="9" fontId="0" fillId="3" borderId="2" xfId="0" applyNumberFormat="1" applyFill="1" applyBorder="1"/>
    <xf numFmtId="9" fontId="0" fillId="3" borderId="5" xfId="0" applyNumberFormat="1" applyFill="1" applyBorder="1"/>
    <xf numFmtId="9" fontId="0" fillId="3" borderId="11" xfId="0" applyNumberFormat="1" applyFill="1" applyBorder="1"/>
    <xf numFmtId="9" fontId="0" fillId="3" borderId="12" xfId="0" applyNumberFormat="1" applyFill="1" applyBorder="1"/>
    <xf numFmtId="165" fontId="0" fillId="0" borderId="1" xfId="1" applyNumberFormat="1" applyFont="1" applyFill="1" applyBorder="1"/>
    <xf numFmtId="9" fontId="4" fillId="3" borderId="2" xfId="0" applyNumberFormat="1" applyFont="1" applyFill="1" applyBorder="1"/>
    <xf numFmtId="9" fontId="0" fillId="3" borderId="9" xfId="0" applyNumberFormat="1" applyFill="1" applyBorder="1"/>
    <xf numFmtId="0" fontId="18" fillId="3" borderId="1" xfId="0" applyFont="1" applyFill="1" applyBorder="1"/>
    <xf numFmtId="0" fontId="18" fillId="3" borderId="2" xfId="0" applyFont="1" applyFill="1" applyBorder="1"/>
    <xf numFmtId="0" fontId="19" fillId="3" borderId="2" xfId="0" applyFont="1" applyFill="1" applyBorder="1"/>
    <xf numFmtId="0" fontId="18" fillId="3" borderId="5" xfId="0" applyFont="1" applyFill="1" applyBorder="1"/>
    <xf numFmtId="0" fontId="4" fillId="3" borderId="11" xfId="0" applyFont="1" applyFill="1" applyBorder="1"/>
    <xf numFmtId="0" fontId="0" fillId="7" borderId="3" xfId="0" applyFill="1" applyBorder="1"/>
    <xf numFmtId="9" fontId="2" fillId="2" borderId="1" xfId="0" applyNumberFormat="1" applyFont="1" applyFill="1" applyBorder="1"/>
    <xf numFmtId="9" fontId="2" fillId="2" borderId="2" xfId="0" applyNumberFormat="1" applyFont="1" applyFill="1" applyBorder="1"/>
    <xf numFmtId="9" fontId="0" fillId="2" borderId="5" xfId="0" applyNumberFormat="1" applyFill="1" applyBorder="1"/>
    <xf numFmtId="0" fontId="0" fillId="6" borderId="15" xfId="0" applyFill="1" applyBorder="1"/>
    <xf numFmtId="165" fontId="0" fillId="0" borderId="9" xfId="0" applyNumberFormat="1" applyBorder="1"/>
    <xf numFmtId="2" fontId="0" fillId="6" borderId="13" xfId="0" applyNumberFormat="1" applyFill="1" applyBorder="1"/>
    <xf numFmtId="0" fontId="0" fillId="5" borderId="9" xfId="0" applyFill="1" applyBorder="1"/>
    <xf numFmtId="0" fontId="0" fillId="2" borderId="11" xfId="0" applyFill="1" applyBorder="1"/>
    <xf numFmtId="0" fontId="15" fillId="2" borderId="11" xfId="0" applyFont="1" applyFill="1" applyBorder="1"/>
    <xf numFmtId="2" fontId="0" fillId="7" borderId="1" xfId="0" applyNumberFormat="1" applyFill="1" applyBorder="1"/>
    <xf numFmtId="0" fontId="4" fillId="6" borderId="0" xfId="0" applyFont="1" applyFill="1"/>
    <xf numFmtId="0" fontId="4" fillId="6" borderId="15" xfId="0" applyFont="1" applyFill="1" applyBorder="1"/>
    <xf numFmtId="2" fontId="0" fillId="0" borderId="9" xfId="0" applyNumberFormat="1" applyBorder="1"/>
    <xf numFmtId="0" fontId="0" fillId="4" borderId="12" xfId="0" applyFill="1" applyBorder="1"/>
    <xf numFmtId="1" fontId="0" fillId="0" borderId="10" xfId="0" applyNumberFormat="1" applyBorder="1"/>
    <xf numFmtId="0" fontId="0" fillId="6" borderId="9" xfId="0" applyFill="1" applyBorder="1"/>
    <xf numFmtId="0" fontId="0" fillId="2" borderId="2" xfId="0" applyFill="1" applyBorder="1"/>
    <xf numFmtId="0" fontId="0" fillId="0" borderId="11" xfId="0" applyBorder="1" applyAlignment="1">
      <alignment horizontal="left"/>
    </xf>
    <xf numFmtId="0" fontId="0" fillId="3" borderId="6" xfId="0" applyFill="1" applyBorder="1" applyAlignment="1">
      <alignment horizontal="left"/>
    </xf>
    <xf numFmtId="9" fontId="0" fillId="3" borderId="1" xfId="0" applyNumberFormat="1" applyFill="1" applyBorder="1" applyAlignment="1">
      <alignment horizontal="left"/>
    </xf>
    <xf numFmtId="0" fontId="9" fillId="3" borderId="5" xfId="0" applyFont="1" applyFill="1" applyBorder="1"/>
    <xf numFmtId="2" fontId="0" fillId="5" borderId="10" xfId="0" applyNumberFormat="1" applyFill="1" applyBorder="1"/>
    <xf numFmtId="2" fontId="0" fillId="0" borderId="1" xfId="0" applyNumberFormat="1" applyBorder="1"/>
    <xf numFmtId="0" fontId="15" fillId="2" borderId="1" xfId="0" applyFont="1" applyFill="1" applyBorder="1"/>
    <xf numFmtId="9" fontId="0" fillId="2" borderId="2" xfId="0" applyNumberFormat="1" applyFill="1" applyBorder="1"/>
    <xf numFmtId="2" fontId="0" fillId="3" borderId="2" xfId="0" applyNumberFormat="1" applyFill="1" applyBorder="1"/>
    <xf numFmtId="0" fontId="21" fillId="4" borderId="2" xfId="0" applyFont="1" applyFill="1" applyBorder="1"/>
    <xf numFmtId="9" fontId="0" fillId="6" borderId="1" xfId="0" applyNumberFormat="1" applyFill="1" applyBorder="1"/>
    <xf numFmtId="9" fontId="0" fillId="6" borderId="2" xfId="0" applyNumberFormat="1" applyFill="1" applyBorder="1"/>
    <xf numFmtId="9" fontId="0" fillId="6" borderId="15" xfId="0" applyNumberFormat="1" applyFill="1" applyBorder="1"/>
    <xf numFmtId="0" fontId="9" fillId="6" borderId="2" xfId="0" applyFont="1" applyFill="1" applyBorder="1"/>
    <xf numFmtId="0" fontId="0" fillId="6" borderId="11" xfId="0" applyFill="1" applyBorder="1" applyAlignment="1">
      <alignment horizontal="left"/>
    </xf>
    <xf numFmtId="0" fontId="0" fillId="2" borderId="13" xfId="0" applyFill="1" applyBorder="1"/>
    <xf numFmtId="0" fontId="0" fillId="2" borderId="14" xfId="0" applyFill="1" applyBorder="1"/>
    <xf numFmtId="0" fontId="0" fillId="10" borderId="4" xfId="0" applyFill="1" applyBorder="1"/>
    <xf numFmtId="0" fontId="0" fillId="10" borderId="1" xfId="0" applyFill="1" applyBorder="1"/>
    <xf numFmtId="0" fontId="0" fillId="10" borderId="2" xfId="0" applyFill="1" applyBorder="1"/>
    <xf numFmtId="0" fontId="0" fillId="10" borderId="5" xfId="0" applyFill="1" applyBorder="1"/>
    <xf numFmtId="0" fontId="0" fillId="3" borderId="15" xfId="0" applyFill="1" applyBorder="1"/>
    <xf numFmtId="1" fontId="0" fillId="7" borderId="10" xfId="0" applyNumberFormat="1" applyFill="1" applyBorder="1"/>
    <xf numFmtId="0" fontId="2" fillId="0" borderId="2" xfId="0" applyFont="1" applyBorder="1"/>
    <xf numFmtId="0" fontId="2" fillId="3" borderId="1" xfId="0" applyFont="1" applyFill="1" applyBorder="1"/>
    <xf numFmtId="0" fontId="2" fillId="3" borderId="4" xfId="0" applyFont="1" applyFill="1" applyBorder="1"/>
    <xf numFmtId="0" fontId="0" fillId="0" borderId="2" xfId="0" applyBorder="1"/>
    <xf numFmtId="0" fontId="0" fillId="0" borderId="6" xfId="0" applyBorder="1"/>
    <xf numFmtId="0" fontId="22" fillId="3" borderId="4" xfId="0" applyFont="1" applyFill="1" applyBorder="1"/>
    <xf numFmtId="165" fontId="0" fillId="5" borderId="6" xfId="0" applyNumberFormat="1" applyFill="1" applyBorder="1"/>
    <xf numFmtId="0" fontId="22" fillId="3" borderId="6" xfId="0" applyFont="1" applyFill="1" applyBorder="1"/>
    <xf numFmtId="0" fontId="3" fillId="3" borderId="4" xfId="0" applyFont="1" applyFill="1" applyBorder="1"/>
    <xf numFmtId="2" fontId="0" fillId="12" borderId="10" xfId="0" applyNumberFormat="1" applyFill="1" applyBorder="1"/>
    <xf numFmtId="0" fontId="4" fillId="3" borderId="0" xfId="0" applyFont="1" applyFill="1"/>
    <xf numFmtId="0" fontId="4" fillId="5" borderId="4" xfId="0" applyFont="1" applyFill="1" applyBorder="1"/>
    <xf numFmtId="0" fontId="0" fillId="12" borderId="10" xfId="0" applyFill="1" applyBorder="1"/>
    <xf numFmtId="165" fontId="0" fillId="12" borderId="10" xfId="0" applyNumberFormat="1" applyFill="1" applyBorder="1"/>
    <xf numFmtId="0" fontId="0" fillId="12" borderId="4" xfId="0" applyFill="1" applyBorder="1"/>
    <xf numFmtId="9" fontId="0" fillId="3" borderId="10" xfId="0" applyNumberFormat="1" applyFill="1" applyBorder="1"/>
    <xf numFmtId="9" fontId="0" fillId="3" borderId="13" xfId="0" applyNumberFormat="1" applyFill="1" applyBorder="1"/>
    <xf numFmtId="1" fontId="0" fillId="0" borderId="1" xfId="0" applyNumberFormat="1" applyBorder="1"/>
    <xf numFmtId="2" fontId="0" fillId="6" borderId="4" xfId="0" applyNumberFormat="1" applyFill="1" applyBorder="1"/>
    <xf numFmtId="0" fontId="9" fillId="3" borderId="2" xfId="0" applyFont="1" applyFill="1" applyBorder="1"/>
    <xf numFmtId="0" fontId="9" fillId="3" borderId="1" xfId="0" applyFont="1" applyFill="1" applyBorder="1"/>
    <xf numFmtId="2" fontId="0" fillId="12" borderId="1" xfId="0" applyNumberFormat="1" applyFill="1" applyBorder="1"/>
    <xf numFmtId="2" fontId="0" fillId="12" borderId="8" xfId="0" applyNumberFormat="1" applyFill="1" applyBorder="1"/>
    <xf numFmtId="2" fontId="0" fillId="12" borderId="7" xfId="0" applyNumberFormat="1" applyFill="1" applyBorder="1"/>
    <xf numFmtId="0" fontId="4" fillId="3" borderId="7" xfId="0" applyFont="1" applyFill="1" applyBorder="1"/>
    <xf numFmtId="2" fontId="0" fillId="12" borderId="3" xfId="0" applyNumberFormat="1" applyFill="1" applyBorder="1"/>
    <xf numFmtId="0" fontId="4" fillId="3" borderId="3" xfId="0" applyFont="1" applyFill="1" applyBorder="1"/>
    <xf numFmtId="2" fontId="16" fillId="4" borderId="2" xfId="0" applyNumberFormat="1" applyFont="1" applyFill="1" applyBorder="1"/>
    <xf numFmtId="0" fontId="23" fillId="4" borderId="2" xfId="0" applyFont="1" applyFill="1" applyBorder="1"/>
    <xf numFmtId="2" fontId="0" fillId="12" borderId="4" xfId="0" applyNumberFormat="1" applyFill="1" applyBorder="1"/>
    <xf numFmtId="2" fontId="9" fillId="5" borderId="4" xfId="0" applyNumberFormat="1" applyFont="1" applyFill="1" applyBorder="1"/>
    <xf numFmtId="2" fontId="0" fillId="10" borderId="10" xfId="0" applyNumberFormat="1" applyFill="1" applyBorder="1"/>
    <xf numFmtId="165" fontId="0" fillId="10" borderId="10" xfId="0" applyNumberFormat="1" applyFill="1" applyBorder="1"/>
    <xf numFmtId="2" fontId="4" fillId="5" borderId="4" xfId="0" applyNumberFormat="1" applyFont="1" applyFill="1" applyBorder="1"/>
    <xf numFmtId="165" fontId="0" fillId="0" borderId="10" xfId="0" applyNumberFormat="1" applyBorder="1"/>
    <xf numFmtId="165" fontId="0" fillId="0" borderId="0" xfId="0" applyNumberFormat="1"/>
    <xf numFmtId="165" fontId="0" fillId="5" borderId="10" xfId="0" applyNumberFormat="1" applyFill="1" applyBorder="1"/>
    <xf numFmtId="1" fontId="9" fillId="10" borderId="4" xfId="0" applyNumberFormat="1" applyFont="1" applyFill="1" applyBorder="1"/>
    <xf numFmtId="1" fontId="0" fillId="10" borderId="4" xfId="0" applyNumberFormat="1" applyFill="1" applyBorder="1"/>
    <xf numFmtId="165" fontId="4" fillId="5" borderId="4" xfId="0" applyNumberFormat="1" applyFont="1" applyFill="1" applyBorder="1"/>
    <xf numFmtId="165" fontId="0" fillId="12" borderId="4" xfId="0" applyNumberFormat="1" applyFill="1" applyBorder="1"/>
    <xf numFmtId="165" fontId="0" fillId="5" borderId="8" xfId="0" applyNumberFormat="1" applyFill="1" applyBorder="1"/>
    <xf numFmtId="1" fontId="0" fillId="12" borderId="1" xfId="0" applyNumberFormat="1" applyFill="1" applyBorder="1"/>
    <xf numFmtId="165" fontId="0" fillId="7" borderId="9" xfId="0" applyNumberFormat="1" applyFill="1" applyBorder="1"/>
    <xf numFmtId="0" fontId="0" fillId="12" borderId="1" xfId="0" applyFill="1" applyBorder="1"/>
    <xf numFmtId="1" fontId="0" fillId="0" borderId="8" xfId="0" applyNumberFormat="1" applyBorder="1"/>
    <xf numFmtId="165" fontId="2" fillId="0" borderId="0" xfId="0" applyNumberFormat="1" applyFont="1"/>
    <xf numFmtId="0" fontId="2" fillId="0" borderId="0" xfId="0" applyFont="1" applyAlignment="1">
      <alignment horizontal="left"/>
    </xf>
    <xf numFmtId="2" fontId="0" fillId="0" borderId="6" xfId="0" applyNumberFormat="1" applyBorder="1"/>
    <xf numFmtId="0" fontId="4" fillId="3" borderId="6" xfId="0" applyFont="1" applyFill="1" applyBorder="1"/>
    <xf numFmtId="2" fontId="0" fillId="7" borderId="4" xfId="0" applyNumberFormat="1" applyFill="1" applyBorder="1"/>
    <xf numFmtId="0" fontId="0" fillId="12" borderId="8" xfId="0" applyFill="1" applyBorder="1"/>
    <xf numFmtId="165" fontId="0" fillId="12" borderId="1" xfId="0" applyNumberFormat="1" applyFill="1" applyBorder="1"/>
    <xf numFmtId="165" fontId="9" fillId="12" borderId="1" xfId="0" applyNumberFormat="1" applyFont="1" applyFill="1" applyBorder="1"/>
    <xf numFmtId="0" fontId="0" fillId="12" borderId="2" xfId="0" applyFill="1" applyBorder="1" applyAlignment="1">
      <alignment horizontal="left"/>
    </xf>
    <xf numFmtId="0" fontId="0" fillId="6" borderId="11" xfId="0" applyFill="1" applyBorder="1"/>
    <xf numFmtId="0" fontId="0" fillId="6" borderId="12" xfId="0" applyFill="1" applyBorder="1"/>
    <xf numFmtId="0" fontId="4" fillId="6" borderId="8" xfId="0" applyFont="1" applyFill="1" applyBorder="1"/>
    <xf numFmtId="0" fontId="4" fillId="0" borderId="7" xfId="0" applyFont="1" applyBorder="1"/>
    <xf numFmtId="2" fontId="0" fillId="0" borderId="8" xfId="0" applyNumberFormat="1" applyBorder="1"/>
    <xf numFmtId="165" fontId="0" fillId="6" borderId="2" xfId="0" applyNumberFormat="1" applyFill="1" applyBorder="1"/>
    <xf numFmtId="1" fontId="0" fillId="12" borderId="8" xfId="0" applyNumberFormat="1" applyFill="1" applyBorder="1"/>
    <xf numFmtId="0" fontId="0" fillId="6" borderId="14" xfId="0" applyFill="1" applyBorder="1"/>
    <xf numFmtId="0" fontId="16" fillId="4" borderId="13" xfId="0" applyFont="1" applyFill="1" applyBorder="1"/>
    <xf numFmtId="0" fontId="9" fillId="6" borderId="5" xfId="0" applyFont="1" applyFill="1" applyBorder="1"/>
    <xf numFmtId="0" fontId="9" fillId="6" borderId="14" xfId="0" applyFont="1" applyFill="1" applyBorder="1"/>
    <xf numFmtId="0" fontId="9" fillId="3" borderId="13" xfId="0" applyFont="1" applyFill="1" applyBorder="1"/>
    <xf numFmtId="0" fontId="9" fillId="3" borderId="9" xfId="0" applyFont="1" applyFill="1" applyBorder="1"/>
    <xf numFmtId="0" fontId="9" fillId="3" borderId="11" xfId="0" applyFont="1" applyFill="1" applyBorder="1"/>
    <xf numFmtId="0" fontId="22" fillId="3" borderId="11" xfId="0" applyFont="1" applyFill="1" applyBorder="1"/>
    <xf numFmtId="0" fontId="9" fillId="3" borderId="12" xfId="0" applyFont="1" applyFill="1" applyBorder="1"/>
    <xf numFmtId="0" fontId="0" fillId="13" borderId="0" xfId="0" applyFill="1"/>
    <xf numFmtId="2" fontId="9" fillId="5" borderId="13" xfId="0" applyNumberFormat="1" applyFont="1" applyFill="1" applyBorder="1"/>
    <xf numFmtId="2" fontId="0" fillId="5" borderId="13" xfId="0" applyNumberFormat="1" applyFill="1" applyBorder="1"/>
    <xf numFmtId="0" fontId="0" fillId="3" borderId="9" xfId="0" applyFill="1" applyBorder="1" applyAlignment="1">
      <alignment horizontal="left"/>
    </xf>
    <xf numFmtId="0" fontId="0" fillId="3" borderId="1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10" xfId="0" applyFill="1" applyBorder="1" applyAlignment="1">
      <alignment horizontal="left"/>
    </xf>
    <xf numFmtId="0" fontId="0" fillId="3" borderId="13" xfId="0" applyFill="1" applyBorder="1" applyAlignment="1">
      <alignment horizontal="left"/>
    </xf>
    <xf numFmtId="9" fontId="0" fillId="3" borderId="1" xfId="0" applyNumberFormat="1" applyFill="1" applyBorder="1" applyAlignment="1">
      <alignment horizontal="left"/>
    </xf>
    <xf numFmtId="9" fontId="0" fillId="3" borderId="2" xfId="0" applyNumberFormat="1" applyFill="1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68580</xdr:colOff>
      <xdr:row>10</xdr:row>
      <xdr:rowOff>0</xdr:rowOff>
    </xdr:from>
    <xdr:to>
      <xdr:col>20</xdr:col>
      <xdr:colOff>338356</xdr:colOff>
      <xdr:row>40</xdr:row>
      <xdr:rowOff>154641</xdr:rowOff>
    </xdr:to>
    <xdr:pic>
      <xdr:nvPicPr>
        <xdr:cNvPr id="2" name="Billede 1" descr="Computergenereret alternativ tekst:&#10;Vekselstromsmodstand flerlederkabler &#10;Tabel 13: Vekselstrømsmodstand RI ved 200C for 3-, 4- og 5-leder kabler &#10;Tabellen angiver vekselstrømsmodstanden i ohm/km &#10;Værdierne for større tværsnit og frekvenser over 50 Hz kan være behæftet med nogen usikkerhed. &#10;Tværsnit &#10;10 &#10;35 &#10;Aluminium &#10;240 &#10;Frekvens &#10;12.10 &#10;7.410 &#10;4.610 &#10;3,030 &#10;1.830 &#10;1.130 &#10;0,525 &#10;0,194 &#10;0,155 &#10;0.126 &#10;0,1017 &#10;0,0JB7 &#10;1,910 &#10;1.200 &#10;J.8ö8 &#10;0,64-1 &#10;0,321 &#10;0,207 &#10;0,136 &#10;0.127 &#10;0,103 &#10;1 oawz &#10;c h m/km &#10;12.10 &#10;7,410 &#10;4,810 &#10;1,830 &#10;1.150 &#10;0,526 &#10;0,160 &#10;0.132 &#10;0.1087 &#10;0,0872 &#10;,e10 &#10;0,842 &#10;O , 445 &#10;0,257 &#10;0,211 &#10;0,170 &#10;0.133 &#10;0.110 &#10;ISO Hz &#10;ohm/km &#10;12,10 &#10;7.410 &#10;4.610 &#10;1,150 &#10;0,730 &#10;0,530 &#10;0.393 &#10;0,276 &#10;o, 167 &#10;0.140 &#10;0,1186 &#10;o,cgbl &#10;0.870 &#10;0,217 &#10;0,177 &#10;0.141 &#10;0,110 &#10;200 Hz &#10;ohm,km &#10;12,10 &#10;7,410 &#10;4,810 &#10;3,080 &#10;1330 &#10;1.150 &#10;0,733 &#10;0,534 &#10;0,397 &#10;0,212 &#10;0,176 &#10;0.15' &#10;0.1207 &#10;0,1095 &#10;1,910 &#10;,210 &#10;0.372 &#10;0,347 &#10;0.452 &#10;0332 &#10;0,268 &#10;0,186 &#10;0.152 &#10;O.1 30 &#10;2SO Hz &#10;ohm/km &#10;12.10 &#10;741D &#10;4,61D &#10;183D &#10;1.160 &#10;0,733 &#10;0,539 &#10;o A02 &#10;0,280 &#10;0,187 &#10;0,162 &#10;0,1411 &#10;0,1204 &#10;1210 &#10;0,875 &#10;o,esD &#10;0,455 &#10;0.339 &#10;0.276 &#10;0,233 &#10;0.163 &#10;0.142 &#10;300 Hz &#10;ohm/km &#10;12, 10 &#10;7,410 &#10;4,610 &#10;3,oeo &#10;1.840 &#10;1,160 &#10;0,740 &#10;0,546 &#10;0.4ca &#10;0,2C8 &#10;0,232 &#10;0,173 &#10;0,1523 &#10;0,1306 &#10;1,910 &#10;1,210 &#10;0.878 &#10;c,cca &#10;0,4C2 &#10;0,347 &#10;0.285 &#10;o. 243 &#10;0,2CG &#10;0.174 &#10;0,153 &#10;350 Az &#10;12,10 &#10;740 &#10;3,060 &#10;1,840 &#10;1,160 &#10;0,745 &#10;0,553 &#10;0,307 &#10;0,243 &#10;c,209 &#10;0,184 &#10;o. 1629 &#10;o , lær &#10;1,210 &#10;c.881 &#10;c,esg &#10;C , 409 &#10;0,355 &#10;0,295 &#10;0,254 &#10;0,217 &#10;0,185 &#10;400 Hz &#10;ohm'km &#10;12,10 &#10;7,41J &#10;4,610 &#10;3,030 &#10;1 ,840 &#10;1 .130 &#10;0,750 &#10;0,551 &#10;0,424 &#10;0,317 &#10;0,234 &#10;0,221 &#10;o. 195 &#10;0.1728 &#10;0,14B0 &#10;1,920 &#10;1220 &#10;0.835 &#10;0,63d &#10;0,334 &#10;0,235 &#10;0,229 &#10;0,17d &#10;Værdierne er Oeregnet i henhold ti,] IEC 60267-1- t ">
          <a:extLst>
            <a:ext uri="{FF2B5EF4-FFF2-40B4-BE49-F238E27FC236}">
              <a16:creationId xmlns:a16="http://schemas.microsoft.com/office/drawing/2014/main" xmlns="" id="{6B5989EF-E81B-4E62-8B0F-D5B99E788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2697480"/>
          <a:ext cx="5969536" cy="6164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50</xdr:row>
      <xdr:rowOff>0</xdr:rowOff>
    </xdr:from>
    <xdr:to>
      <xdr:col>18</xdr:col>
      <xdr:colOff>518160</xdr:colOff>
      <xdr:row>62</xdr:row>
      <xdr:rowOff>23278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3BE2AFA6-6F45-41A1-A371-36579909C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880" y="11536680"/>
          <a:ext cx="4785360" cy="2354998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63</xdr:row>
      <xdr:rowOff>0</xdr:rowOff>
    </xdr:from>
    <xdr:to>
      <xdr:col>20</xdr:col>
      <xdr:colOff>427230</xdr:colOff>
      <xdr:row>76</xdr:row>
      <xdr:rowOff>30693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86DAA317-DDBC-2A28-B656-90E1472B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5380" y="21595080"/>
          <a:ext cx="5883150" cy="2453853"/>
        </a:xfrm>
        <a:prstGeom prst="rect">
          <a:avLst/>
        </a:prstGeom>
      </xdr:spPr>
    </xdr:pic>
    <xdr:clientData/>
  </xdr:twoCellAnchor>
  <xdr:twoCellAnchor editAs="oneCell">
    <xdr:from>
      <xdr:col>13</xdr:col>
      <xdr:colOff>106680</xdr:colOff>
      <xdr:row>33</xdr:row>
      <xdr:rowOff>144780</xdr:rowOff>
    </xdr:from>
    <xdr:to>
      <xdr:col>21</xdr:col>
      <xdr:colOff>350964</xdr:colOff>
      <xdr:row>48</xdr:row>
      <xdr:rowOff>167876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27B828B4-772F-399E-A14E-6DA43010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0780" y="13403580"/>
          <a:ext cx="5121084" cy="2728196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13</xdr:row>
      <xdr:rowOff>38100</xdr:rowOff>
    </xdr:from>
    <xdr:to>
      <xdr:col>16</xdr:col>
      <xdr:colOff>571500</xdr:colOff>
      <xdr:row>18</xdr:row>
      <xdr:rowOff>137160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AAADFED3-2F90-0883-7E32-232E319A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8240" y="2476500"/>
          <a:ext cx="3566160" cy="108966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0</xdr:row>
      <xdr:rowOff>121920</xdr:rowOff>
    </xdr:from>
    <xdr:to>
      <xdr:col>16</xdr:col>
      <xdr:colOff>580122</xdr:colOff>
      <xdr:row>12</xdr:row>
      <xdr:rowOff>137160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xmlns="" id="{F9DADB70-8B98-2897-76F2-F88436D8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40140" y="121920"/>
          <a:ext cx="3612882" cy="22707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42</xdr:row>
      <xdr:rowOff>0</xdr:rowOff>
    </xdr:from>
    <xdr:to>
      <xdr:col>17</xdr:col>
      <xdr:colOff>518160</xdr:colOff>
      <xdr:row>53</xdr:row>
      <xdr:rowOff>152818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18A05031-F249-42AB-A709-A97D823C0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0540" y="13380720"/>
          <a:ext cx="4785360" cy="235499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82</xdr:row>
      <xdr:rowOff>106680</xdr:rowOff>
    </xdr:from>
    <xdr:to>
      <xdr:col>19</xdr:col>
      <xdr:colOff>427230</xdr:colOff>
      <xdr:row>95</xdr:row>
      <xdr:rowOff>91653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07F643F4-EEF7-4A7E-AA40-7C9CF3ECE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1020" y="16169640"/>
          <a:ext cx="5883150" cy="24538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60960</xdr:colOff>
      <xdr:row>49</xdr:row>
      <xdr:rowOff>83820</xdr:rowOff>
    </xdr:from>
    <xdr:to>
      <xdr:col>18</xdr:col>
      <xdr:colOff>579120</xdr:colOff>
      <xdr:row>64</xdr:row>
      <xdr:rowOff>23278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1C27CDEA-BFA8-4797-8180-A3259D76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3980" y="9220200"/>
          <a:ext cx="4785360" cy="2354998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61</xdr:row>
      <xdr:rowOff>129540</xdr:rowOff>
    </xdr:from>
    <xdr:to>
      <xdr:col>20</xdr:col>
      <xdr:colOff>472950</xdr:colOff>
      <xdr:row>74</xdr:row>
      <xdr:rowOff>160233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009D91C1-871E-DD09-A0B4-48B226B8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9220" y="11849100"/>
          <a:ext cx="5883150" cy="2453853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118</xdr:row>
      <xdr:rowOff>53340</xdr:rowOff>
    </xdr:from>
    <xdr:to>
      <xdr:col>14</xdr:col>
      <xdr:colOff>0</xdr:colOff>
      <xdr:row>129</xdr:row>
      <xdr:rowOff>178839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39991A53-0181-4F55-B608-4B66FE1A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420" y="5570220"/>
          <a:ext cx="3002280" cy="225909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130</xdr:row>
      <xdr:rowOff>0</xdr:rowOff>
    </xdr:from>
    <xdr:to>
      <xdr:col>24</xdr:col>
      <xdr:colOff>168183</xdr:colOff>
      <xdr:row>138</xdr:row>
      <xdr:rowOff>144909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FD33E1E3-176F-DDE0-3100-B3AF044D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700" y="6126480"/>
          <a:ext cx="6264183" cy="14936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34</xdr:row>
      <xdr:rowOff>0</xdr:rowOff>
    </xdr:from>
    <xdr:to>
      <xdr:col>17</xdr:col>
      <xdr:colOff>518160</xdr:colOff>
      <xdr:row>47</xdr:row>
      <xdr:rowOff>53758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65FE9052-B43A-4B94-9802-0F876BC9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1960" y="7520940"/>
          <a:ext cx="4785360" cy="2354998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47</xdr:row>
      <xdr:rowOff>91440</xdr:rowOff>
    </xdr:from>
    <xdr:to>
      <xdr:col>19</xdr:col>
      <xdr:colOff>434850</xdr:colOff>
      <xdr:row>60</xdr:row>
      <xdr:rowOff>30480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33AB6D7A-B626-654B-82D3-DE272841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0060" y="10271760"/>
          <a:ext cx="5883150" cy="24538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42</xdr:row>
      <xdr:rowOff>0</xdr:rowOff>
    </xdr:from>
    <xdr:to>
      <xdr:col>17</xdr:col>
      <xdr:colOff>518160</xdr:colOff>
      <xdr:row>53</xdr:row>
      <xdr:rowOff>152818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E766D8-F632-4267-A9EB-31168B96B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3420" y="8023860"/>
          <a:ext cx="4785360" cy="235499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82</xdr:row>
      <xdr:rowOff>106680</xdr:rowOff>
    </xdr:from>
    <xdr:to>
      <xdr:col>19</xdr:col>
      <xdr:colOff>427230</xdr:colOff>
      <xdr:row>95</xdr:row>
      <xdr:rowOff>91653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F98F07C-29DD-4BA9-B66A-0E1640A0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900" y="15773400"/>
          <a:ext cx="5883150" cy="24538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</xdr:colOff>
      <xdr:row>7</xdr:row>
      <xdr:rowOff>46670</xdr:rowOff>
    </xdr:from>
    <xdr:to>
      <xdr:col>13</xdr:col>
      <xdr:colOff>275096</xdr:colOff>
      <xdr:row>16</xdr:row>
      <xdr:rowOff>129540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36364CF4-8B93-0DD2-95A9-B690A0362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8480" y="1403030"/>
          <a:ext cx="3513596" cy="18049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558780</xdr:colOff>
      <xdr:row>0</xdr:row>
      <xdr:rowOff>76200</xdr:rowOff>
    </xdr:from>
    <xdr:to>
      <xdr:col>20</xdr:col>
      <xdr:colOff>137159</xdr:colOff>
      <xdr:row>31</xdr:row>
      <xdr:rowOff>22860</xdr:rowOff>
    </xdr:to>
    <xdr:pic>
      <xdr:nvPicPr>
        <xdr:cNvPr id="2" name="Billede 1" descr="Computergenereret alternativ tekst:&#10;Vekselstromsmodstand flerlederkabler &#10;Tabel 13: Vekselstrømsmodstand RI ved 200C for 3-, 4- og 5-leder kabler &#10;Tabellen angiver vekselstrømsmodstanden i ohm/km &#10;Værdierne for større tværsnit og frekvenser over 50 Hz kan være behæftet med nogen usikkerhed. &#10;Tværsnit &#10;10 &#10;35 &#10;Aluminium &#10;240 &#10;Frekvens &#10;12.10 &#10;7.410 &#10;4.610 &#10;3,030 &#10;1.830 &#10;1.130 &#10;0,525 &#10;0,194 &#10;0,155 &#10;0.126 &#10;0,1017 &#10;0,0JB7 &#10;1,910 &#10;1.200 &#10;J.8ö8 &#10;0,64-1 &#10;0,321 &#10;0,207 &#10;0,136 &#10;0.127 &#10;0,103 &#10;1 oawz &#10;c h m/km &#10;12.10 &#10;7,410 &#10;4,810 &#10;1,830 &#10;1.150 &#10;0,526 &#10;0,160 &#10;0.132 &#10;0.1087 &#10;0,0872 &#10;,e10 &#10;0,842 &#10;O , 445 &#10;0,257 &#10;0,211 &#10;0,170 &#10;0.133 &#10;0.110 &#10;ISO Hz &#10;ohm/km &#10;12,10 &#10;7.410 &#10;4.610 &#10;1,150 &#10;0,730 &#10;0,530 &#10;0.393 &#10;0,276 &#10;o, 167 &#10;0.140 &#10;0,1186 &#10;o,cgbl &#10;0.870 &#10;0,217 &#10;0,177 &#10;0.141 &#10;0,110 &#10;200 Hz &#10;ohm,km &#10;12,10 &#10;7,410 &#10;4,810 &#10;3,080 &#10;1330 &#10;1.150 &#10;0,733 &#10;0,534 &#10;0,397 &#10;0,212 &#10;0,176 &#10;0.15' &#10;0.1207 &#10;0,1095 &#10;1,910 &#10;,210 &#10;0.372 &#10;0,347 &#10;0.452 &#10;0332 &#10;0,268 &#10;0,186 &#10;0.152 &#10;O.1 30 &#10;2SO Hz &#10;ohm/km &#10;12.10 &#10;741D &#10;4,61D &#10;183D &#10;1.160 &#10;0,733 &#10;0,539 &#10;o A02 &#10;0,280 &#10;0,187 &#10;0,162 &#10;0,1411 &#10;0,1204 &#10;1210 &#10;0,875 &#10;o,esD &#10;0,455 &#10;0.339 &#10;0.276 &#10;0,233 &#10;0.163 &#10;0.142 &#10;300 Hz &#10;ohm/km &#10;12, 10 &#10;7,410 &#10;4,610 &#10;3,oeo &#10;1.840 &#10;1,160 &#10;0,740 &#10;0,546 &#10;0.4ca &#10;0,2C8 &#10;0,232 &#10;0,173 &#10;0,1523 &#10;0,1306 &#10;1,910 &#10;1,210 &#10;0.878 &#10;c,cca &#10;0,4C2 &#10;0,347 &#10;0.285 &#10;o. 243 &#10;0,2CG &#10;0.174 &#10;0,153 &#10;350 Az &#10;12,10 &#10;740 &#10;3,060 &#10;1,840 &#10;1,160 &#10;0,745 &#10;0,553 &#10;0,307 &#10;0,243 &#10;c,209 &#10;0,184 &#10;o. 1629 &#10;o , lær &#10;1,210 &#10;c.881 &#10;c,esg &#10;C , 409 &#10;0,355 &#10;0,295 &#10;0,254 &#10;0,217 &#10;0,185 &#10;400 Hz &#10;ohm'km &#10;12,10 &#10;7,41J &#10;4,610 &#10;3,030 &#10;1 ,840 &#10;1 .130 &#10;0,750 &#10;0,551 &#10;0,424 &#10;0,317 &#10;0,234 &#10;0,221 &#10;o. 195 &#10;0.1728 &#10;0,14B0 &#10;1,920 &#10;1220 &#10;0.835 &#10;0,63d &#10;0,334 &#10;0,235 &#10;0,229 &#10;0,17d &#10;Værdierne er Oeregnet i henhold ti,] IEC 60267-1- t ">
          <a:extLst>
            <a:ext uri="{FF2B5EF4-FFF2-40B4-BE49-F238E27FC236}">
              <a16:creationId xmlns:a16="http://schemas.microsoft.com/office/drawing/2014/main" xmlns="" id="{04AE70CF-9BFB-06DC-800F-B79BCCEE5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180" y="76200"/>
          <a:ext cx="5674379" cy="585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137160</xdr:colOff>
      <xdr:row>4</xdr:row>
      <xdr:rowOff>99060</xdr:rowOff>
    </xdr:from>
    <xdr:to>
      <xdr:col>18</xdr:col>
      <xdr:colOff>85206</xdr:colOff>
      <xdr:row>11</xdr:row>
      <xdr:rowOff>144780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CD4499BD-7C1A-48BD-9D26-BFBD00A9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2860" y="845820"/>
          <a:ext cx="5434446" cy="137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15</xdr:col>
      <xdr:colOff>587161</xdr:colOff>
      <xdr:row>10</xdr:row>
      <xdr:rowOff>106759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1E9E889D-5709-70AE-6DB9-BA6B8812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6100" y="1112520"/>
          <a:ext cx="4854361" cy="9144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175260</xdr:colOff>
      <xdr:row>0</xdr:row>
      <xdr:rowOff>160020</xdr:rowOff>
    </xdr:from>
    <xdr:to>
      <xdr:col>12</xdr:col>
      <xdr:colOff>419735</xdr:colOff>
      <xdr:row>4</xdr:row>
      <xdr:rowOff>166370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84F903ED-A92A-4261-A49D-935D73872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60020"/>
          <a:ext cx="5730875" cy="73787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198120</xdr:colOff>
      <xdr:row>6</xdr:row>
      <xdr:rowOff>144780</xdr:rowOff>
    </xdr:from>
    <xdr:to>
      <xdr:col>9</xdr:col>
      <xdr:colOff>22860</xdr:colOff>
      <xdr:row>13</xdr:row>
      <xdr:rowOff>129540</xdr:rowOff>
    </xdr:to>
    <xdr:pic>
      <xdr:nvPicPr>
        <xdr:cNvPr id="3" name="Billede 2" descr="Et billede, der indeholder tekst, Font/skrifttype, skærmbillede, algebra&#10;&#10;Automatisk genereret beskrivelse">
          <a:extLst>
            <a:ext uri="{FF2B5EF4-FFF2-40B4-BE49-F238E27FC236}">
              <a16:creationId xmlns:a16="http://schemas.microsoft.com/office/drawing/2014/main" xmlns="" id="{B2368B19-A4C6-4B51-A88F-A1F238DB3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4740" y="1257300"/>
          <a:ext cx="3482340" cy="1386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14</xdr:row>
      <xdr:rowOff>60960</xdr:rowOff>
    </xdr:from>
    <xdr:to>
      <xdr:col>6</xdr:col>
      <xdr:colOff>473710</xdr:colOff>
      <xdr:row>21</xdr:row>
      <xdr:rowOff>125730</xdr:rowOff>
    </xdr:to>
    <xdr:pic>
      <xdr:nvPicPr>
        <xdr:cNvPr id="4" name="Billede 3" descr="Et billede, der indeholder tekst, Font/skrifttype, skærmbillede, algebra&#10;&#10;Automatisk genereret beskrivelse">
          <a:extLst>
            <a:ext uri="{FF2B5EF4-FFF2-40B4-BE49-F238E27FC236}">
              <a16:creationId xmlns:a16="http://schemas.microsoft.com/office/drawing/2014/main" xmlns="" id="{57CC2FDE-F047-48A1-A7E7-3F2A11A3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2758440"/>
          <a:ext cx="5731510" cy="134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137160</xdr:rowOff>
    </xdr:from>
    <xdr:to>
      <xdr:col>6</xdr:col>
      <xdr:colOff>466090</xdr:colOff>
      <xdr:row>27</xdr:row>
      <xdr:rowOff>14605</xdr:rowOff>
    </xdr:to>
    <xdr:pic>
      <xdr:nvPicPr>
        <xdr:cNvPr id="5" name="Billede 4" descr="Et billede, der indeholder tekst, Font/skrifttype, linje/række, skærmbillede&#10;&#10;Automatisk genereret beskrivelse">
          <a:extLst>
            <a:ext uri="{FF2B5EF4-FFF2-40B4-BE49-F238E27FC236}">
              <a16:creationId xmlns:a16="http://schemas.microsoft.com/office/drawing/2014/main" xmlns="" id="{150C0287-496F-4433-B4F1-8F77789E7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97680"/>
          <a:ext cx="5731510" cy="791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"/>
  <sheetViews>
    <sheetView topLeftCell="A103" zoomScaleNormal="100" workbookViewId="0">
      <selection activeCell="F2" sqref="F2"/>
    </sheetView>
  </sheetViews>
  <sheetFormatPr defaultRowHeight="15" x14ac:dyDescent="0.25"/>
  <cols>
    <col min="1" max="1" width="32" customWidth="1"/>
    <col min="2" max="2" width="10.7109375" customWidth="1"/>
    <col min="3" max="4" width="5.7109375" customWidth="1"/>
    <col min="5" max="5" width="10.7109375" customWidth="1"/>
    <col min="6" max="6" width="8.140625" customWidth="1"/>
    <col min="7" max="7" width="10.7109375" customWidth="1"/>
    <col min="8" max="8" width="1.7109375" customWidth="1"/>
    <col min="9" max="10" width="12" bestFit="1" customWidth="1"/>
    <col min="16" max="16" width="12" bestFit="1" customWidth="1"/>
  </cols>
  <sheetData>
    <row r="1" spans="1:13" x14ac:dyDescent="0.25">
      <c r="K1" t="s">
        <v>221</v>
      </c>
    </row>
    <row r="2" spans="1:13" x14ac:dyDescent="0.25">
      <c r="K2" s="6" t="s">
        <v>6</v>
      </c>
      <c r="L2" s="7"/>
      <c r="M2" s="8"/>
    </row>
    <row r="3" spans="1:13" ht="18" x14ac:dyDescent="0.35">
      <c r="A3" s="71" t="s">
        <v>370</v>
      </c>
      <c r="B3" s="82"/>
      <c r="C3" s="78"/>
      <c r="D3" s="78"/>
      <c r="E3" s="72"/>
      <c r="F3" s="72"/>
      <c r="G3" s="151"/>
      <c r="H3" s="116"/>
      <c r="K3" s="10" t="s">
        <v>9</v>
      </c>
      <c r="L3" s="10" t="s">
        <v>10</v>
      </c>
      <c r="M3" s="11"/>
    </row>
    <row r="4" spans="1:13" ht="18" x14ac:dyDescent="0.35">
      <c r="A4" s="54" t="s">
        <v>166</v>
      </c>
      <c r="B4" s="30">
        <v>400</v>
      </c>
      <c r="C4" s="3" t="s">
        <v>12</v>
      </c>
      <c r="D4" s="4"/>
      <c r="E4" s="4"/>
      <c r="F4" s="4"/>
      <c r="G4" s="4"/>
      <c r="H4" s="21"/>
      <c r="K4" s="10">
        <v>0.08</v>
      </c>
      <c r="L4" s="10">
        <v>0.15</v>
      </c>
      <c r="M4" s="12" t="s">
        <v>220</v>
      </c>
    </row>
    <row r="5" spans="1:13" ht="18.75" x14ac:dyDescent="0.35">
      <c r="A5" s="1" t="s">
        <v>226</v>
      </c>
      <c r="B5" s="212"/>
      <c r="C5" s="54" t="s">
        <v>80</v>
      </c>
      <c r="D5" s="54" t="s">
        <v>289</v>
      </c>
      <c r="E5" s="234"/>
      <c r="F5" s="1" t="s">
        <v>290</v>
      </c>
      <c r="G5" s="45">
        <f>DEGREES(ACOS(E5))</f>
        <v>90</v>
      </c>
      <c r="H5" s="180" t="s">
        <v>8</v>
      </c>
      <c r="I5">
        <f>IF(B5&gt;0,1,0)</f>
        <v>0</v>
      </c>
      <c r="K5" s="14" t="s">
        <v>14</v>
      </c>
      <c r="L5" s="14"/>
      <c r="M5" s="12"/>
    </row>
    <row r="6" spans="1:13" ht="18.75" x14ac:dyDescent="0.35">
      <c r="A6" s="183" t="s">
        <v>378</v>
      </c>
      <c r="B6" s="213"/>
      <c r="C6" s="1" t="s">
        <v>80</v>
      </c>
      <c r="D6" s="1" t="s">
        <v>289</v>
      </c>
      <c r="E6" s="63"/>
      <c r="F6" s="3" t="s">
        <v>290</v>
      </c>
      <c r="G6" s="45">
        <f>DEGREES(ACOS(E6))</f>
        <v>90</v>
      </c>
      <c r="H6" s="180" t="s">
        <v>8</v>
      </c>
      <c r="I6">
        <f>IF(B6&gt;0,1,0)</f>
        <v>0</v>
      </c>
      <c r="K6" s="14" t="s">
        <v>15</v>
      </c>
      <c r="L6" s="14" t="s">
        <v>16</v>
      </c>
      <c r="M6" s="17"/>
    </row>
    <row r="7" spans="1:13" ht="18" x14ac:dyDescent="0.35">
      <c r="A7" s="1" t="s">
        <v>235</v>
      </c>
      <c r="B7" s="19" t="e">
        <f>B4/(SQRT(3)*B5)</f>
        <v>#DIV/0!</v>
      </c>
      <c r="C7" s="69" t="s">
        <v>237</v>
      </c>
      <c r="D7" s="54" t="s">
        <v>7</v>
      </c>
      <c r="E7" s="211">
        <f>G5</f>
        <v>90</v>
      </c>
      <c r="F7" s="9" t="s">
        <v>8</v>
      </c>
      <c r="G7" s="4"/>
      <c r="H7" s="21"/>
      <c r="I7">
        <f>IF(I5+I6=2,1,0)</f>
        <v>0</v>
      </c>
      <c r="K7" s="15" t="s">
        <v>17</v>
      </c>
      <c r="L7" s="15"/>
      <c r="M7" s="15"/>
    </row>
    <row r="8" spans="1:13" ht="18" x14ac:dyDescent="0.35">
      <c r="A8" s="1" t="s">
        <v>234</v>
      </c>
      <c r="B8" s="19" t="e">
        <f>B4/(SQRT(3)*B6)</f>
        <v>#DIV/0!</v>
      </c>
      <c r="C8" s="69" t="s">
        <v>237</v>
      </c>
      <c r="D8" s="54" t="s">
        <v>7</v>
      </c>
      <c r="E8" s="211">
        <f>G6</f>
        <v>90</v>
      </c>
      <c r="F8" s="9" t="s">
        <v>8</v>
      </c>
      <c r="G8" s="4"/>
      <c r="H8" s="21"/>
      <c r="K8" s="66" t="s">
        <v>140</v>
      </c>
    </row>
    <row r="10" spans="1:13" x14ac:dyDescent="0.25">
      <c r="A10" t="s">
        <v>393</v>
      </c>
      <c r="B10" s="221"/>
      <c r="C10" s="222"/>
      <c r="D10" s="222"/>
      <c r="E10" s="76"/>
      <c r="F10" s="76"/>
    </row>
    <row r="11" spans="1:13" ht="18" x14ac:dyDescent="0.35">
      <c r="A11" s="71" t="s">
        <v>373</v>
      </c>
      <c r="B11" s="72"/>
      <c r="C11" s="72"/>
      <c r="D11" s="72"/>
      <c r="E11" s="72"/>
      <c r="F11" s="72"/>
      <c r="G11" s="72"/>
      <c r="H11" s="73"/>
    </row>
    <row r="12" spans="1:13" ht="18" x14ac:dyDescent="0.35">
      <c r="A12" s="54" t="s">
        <v>11</v>
      </c>
      <c r="B12" s="49">
        <v>10</v>
      </c>
      <c r="C12" s="43" t="s">
        <v>86</v>
      </c>
      <c r="D12" s="48"/>
      <c r="E12" s="48"/>
      <c r="F12" s="48"/>
      <c r="G12" s="48"/>
      <c r="H12" s="61"/>
    </row>
    <row r="13" spans="1:13" ht="18.75" x14ac:dyDescent="0.35">
      <c r="A13" s="1" t="s">
        <v>288</v>
      </c>
      <c r="B13" s="2"/>
      <c r="C13" s="1" t="s">
        <v>155</v>
      </c>
      <c r="D13" s="1" t="s">
        <v>289</v>
      </c>
      <c r="E13" s="2"/>
      <c r="F13" s="1" t="s">
        <v>290</v>
      </c>
      <c r="G13" s="45">
        <f>DEGREES(ACOS(E13))</f>
        <v>90</v>
      </c>
      <c r="H13" s="180" t="s">
        <v>8</v>
      </c>
      <c r="I13">
        <f>IF(B13&gt;0,1,0)</f>
        <v>0</v>
      </c>
    </row>
    <row r="14" spans="1:13" ht="18.75" x14ac:dyDescent="0.35">
      <c r="A14" s="1" t="s">
        <v>291</v>
      </c>
      <c r="B14" s="2"/>
      <c r="C14" s="1" t="s">
        <v>155</v>
      </c>
      <c r="D14" s="1" t="s">
        <v>289</v>
      </c>
      <c r="E14" s="2"/>
      <c r="F14" s="1" t="s">
        <v>290</v>
      </c>
      <c r="G14" s="181">
        <f>DEGREES(ACOS(E14))</f>
        <v>90</v>
      </c>
      <c r="H14" s="182" t="s">
        <v>8</v>
      </c>
      <c r="I14">
        <f>IF(B14&gt;0,1,0)</f>
        <v>0</v>
      </c>
    </row>
    <row r="15" spans="1:13" ht="18.75" x14ac:dyDescent="0.35">
      <c r="A15" s="1" t="s">
        <v>374</v>
      </c>
      <c r="B15" s="19" t="e">
        <f>(B12*10^3)^2/(B13*10^6)</f>
        <v>#DIV/0!</v>
      </c>
      <c r="C15" s="16" t="s">
        <v>292</v>
      </c>
      <c r="D15" s="1" t="s">
        <v>7</v>
      </c>
      <c r="E15" s="37">
        <f>G13</f>
        <v>90</v>
      </c>
      <c r="F15" s="3" t="s">
        <v>8</v>
      </c>
      <c r="G15" s="4"/>
      <c r="H15" s="21"/>
      <c r="I15">
        <f>IF(I13+I14=2,1,0)</f>
        <v>0</v>
      </c>
    </row>
    <row r="16" spans="1:13" ht="18.75" x14ac:dyDescent="0.35">
      <c r="A16" s="1" t="s">
        <v>375</v>
      </c>
      <c r="B16" s="19" t="e">
        <f>(B12*10^3)^2/(B14*10^6)</f>
        <v>#DIV/0!</v>
      </c>
      <c r="C16" s="16" t="s">
        <v>292</v>
      </c>
      <c r="D16" s="1" t="s">
        <v>7</v>
      </c>
      <c r="E16" s="37">
        <f>G14</f>
        <v>90</v>
      </c>
      <c r="F16" s="3" t="s">
        <v>8</v>
      </c>
      <c r="G16" s="4"/>
      <c r="H16" s="21"/>
    </row>
    <row r="19" spans="1:9" ht="18" x14ac:dyDescent="0.35">
      <c r="A19" s="71" t="s">
        <v>373</v>
      </c>
      <c r="B19" s="72"/>
      <c r="C19" s="72"/>
      <c r="D19" s="72"/>
      <c r="E19" s="72"/>
      <c r="F19" s="72"/>
      <c r="G19" s="72"/>
      <c r="H19" s="73"/>
    </row>
    <row r="20" spans="1:9" ht="18" x14ac:dyDescent="0.35">
      <c r="A20" s="54" t="s">
        <v>11</v>
      </c>
      <c r="B20" s="49">
        <v>10</v>
      </c>
      <c r="C20" s="43" t="s">
        <v>86</v>
      </c>
      <c r="D20" s="48"/>
      <c r="E20" s="48"/>
      <c r="F20" s="48"/>
      <c r="G20" s="48"/>
      <c r="H20" s="61"/>
    </row>
    <row r="21" spans="1:9" ht="18" x14ac:dyDescent="0.35">
      <c r="A21" s="1" t="s">
        <v>288</v>
      </c>
      <c r="B21" s="2"/>
      <c r="C21" s="1" t="s">
        <v>155</v>
      </c>
      <c r="D21" s="23" t="s">
        <v>156</v>
      </c>
      <c r="E21" s="223"/>
      <c r="F21" s="23" t="s">
        <v>157</v>
      </c>
      <c r="G21" s="181" t="e">
        <f>DEGREES(ATAN(1/E21))</f>
        <v>#DIV/0!</v>
      </c>
      <c r="H21" s="224" t="s">
        <v>8</v>
      </c>
      <c r="I21">
        <f>IF(B21&gt;0,1,0)</f>
        <v>0</v>
      </c>
    </row>
    <row r="22" spans="1:9" ht="18" x14ac:dyDescent="0.35">
      <c r="A22" s="1" t="s">
        <v>291</v>
      </c>
      <c r="B22" s="2"/>
      <c r="C22" s="1" t="s">
        <v>155</v>
      </c>
      <c r="D22" s="23" t="s">
        <v>156</v>
      </c>
      <c r="E22" s="223"/>
      <c r="F22" s="23" t="s">
        <v>157</v>
      </c>
      <c r="G22" s="181" t="e">
        <f>DEGREES(ATAN(1/E22))</f>
        <v>#DIV/0!</v>
      </c>
      <c r="H22" s="224" t="s">
        <v>8</v>
      </c>
      <c r="I22">
        <f>IF(B22&gt;0,1,0)</f>
        <v>0</v>
      </c>
    </row>
    <row r="23" spans="1:9" ht="18.75" x14ac:dyDescent="0.35">
      <c r="A23" s="1" t="s">
        <v>374</v>
      </c>
      <c r="B23" s="19" t="e">
        <f>(B20*10^3)^2/(B21*10^6)</f>
        <v>#DIV/0!</v>
      </c>
      <c r="C23" s="16" t="s">
        <v>292</v>
      </c>
      <c r="D23" s="1" t="s">
        <v>7</v>
      </c>
      <c r="E23" s="37" t="e">
        <f>G21</f>
        <v>#DIV/0!</v>
      </c>
      <c r="F23" s="3" t="s">
        <v>8</v>
      </c>
      <c r="G23" s="4"/>
      <c r="H23" s="21"/>
      <c r="I23">
        <f>IF(I21+I22=2,1,0)</f>
        <v>0</v>
      </c>
    </row>
    <row r="24" spans="1:9" ht="18.75" x14ac:dyDescent="0.35">
      <c r="A24" s="1" t="s">
        <v>375</v>
      </c>
      <c r="B24" s="19" t="e">
        <f>(B20*10^3)^2/(B22*10^6)</f>
        <v>#DIV/0!</v>
      </c>
      <c r="C24" s="16" t="s">
        <v>292</v>
      </c>
      <c r="D24" s="1" t="s">
        <v>7</v>
      </c>
      <c r="E24" s="37" t="e">
        <f>G22</f>
        <v>#DIV/0!</v>
      </c>
      <c r="F24" s="3" t="s">
        <v>8</v>
      </c>
      <c r="G24" s="4"/>
      <c r="H24" s="21"/>
    </row>
    <row r="27" spans="1:9" ht="18" x14ac:dyDescent="0.35">
      <c r="A27" s="71" t="s">
        <v>373</v>
      </c>
      <c r="B27" s="72"/>
      <c r="C27" s="72"/>
      <c r="D27" s="72"/>
      <c r="E27" s="72"/>
      <c r="F27" s="72"/>
      <c r="G27" s="72"/>
      <c r="H27" s="73"/>
      <c r="I27" s="233" t="s">
        <v>392</v>
      </c>
    </row>
    <row r="28" spans="1:9" ht="18" x14ac:dyDescent="0.35">
      <c r="A28" s="54" t="s">
        <v>394</v>
      </c>
      <c r="B28" s="49">
        <v>0.4</v>
      </c>
      <c r="C28" s="43" t="s">
        <v>86</v>
      </c>
      <c r="D28" s="48"/>
      <c r="E28" s="48"/>
      <c r="F28" s="48"/>
      <c r="G28" s="48"/>
      <c r="H28" s="61"/>
    </row>
    <row r="29" spans="1:9" ht="18" x14ac:dyDescent="0.35">
      <c r="A29" s="23" t="s">
        <v>154</v>
      </c>
      <c r="B29" s="179"/>
      <c r="C29" s="23" t="s">
        <v>155</v>
      </c>
      <c r="D29" s="23" t="s">
        <v>156</v>
      </c>
      <c r="E29" s="223"/>
      <c r="F29" s="23" t="s">
        <v>157</v>
      </c>
      <c r="G29" s="181" t="e">
        <f>DEGREES(ATAN(1/E29))</f>
        <v>#DIV/0!</v>
      </c>
      <c r="H29" s="224" t="s">
        <v>8</v>
      </c>
      <c r="I29">
        <f>IF(B29&gt;0,1,0)</f>
        <v>0</v>
      </c>
    </row>
    <row r="30" spans="1:9" ht="18.75" x14ac:dyDescent="0.35">
      <c r="A30" s="1" t="s">
        <v>397</v>
      </c>
      <c r="B30" s="45" t="e">
        <f>(((B28*10^3))^2/(B29*10^6))*10^3</f>
        <v>#DIV/0!</v>
      </c>
      <c r="C30" s="16" t="s">
        <v>194</v>
      </c>
      <c r="D30" s="1" t="s">
        <v>7</v>
      </c>
      <c r="E30" s="37" t="e">
        <f>G29</f>
        <v>#DIV/0!</v>
      </c>
      <c r="F30" s="3" t="s">
        <v>8</v>
      </c>
      <c r="G30" s="4"/>
      <c r="H30" s="21"/>
    </row>
    <row r="33" spans="1:9" ht="18.75" x14ac:dyDescent="0.35">
      <c r="A33" s="1" t="s">
        <v>374</v>
      </c>
      <c r="B33" s="19" t="e" cm="1">
        <f t="array" ref="B33">_xlfn.IFS(I7=1,B7,I15=1,B15,I29=1,B30,I21=1,B23)</f>
        <v>#N/A</v>
      </c>
      <c r="C33" s="16" t="s">
        <v>292</v>
      </c>
      <c r="D33" s="1" t="s">
        <v>7</v>
      </c>
      <c r="E33" s="19" t="e" cm="1">
        <f t="array" ref="E33">_xlfn.IFS(I7=1,E7,I15=1,E15,I29=1,E30,I21=1,E23)</f>
        <v>#N/A</v>
      </c>
      <c r="F33" s="3" t="s">
        <v>8</v>
      </c>
      <c r="G33" s="4"/>
      <c r="H33" s="21"/>
    </row>
    <row r="34" spans="1:9" ht="18.75" x14ac:dyDescent="0.35">
      <c r="A34" s="1" t="s">
        <v>375</v>
      </c>
      <c r="B34" s="19" t="e" cm="1">
        <f t="array" ref="B34">_xlfn.IFS(I7=1,B8,I15=1,B16,I29=1,B30,I22=1,B24)</f>
        <v>#N/A</v>
      </c>
      <c r="C34" s="16" t="s">
        <v>292</v>
      </c>
      <c r="D34" s="1" t="s">
        <v>7</v>
      </c>
      <c r="E34" s="19" t="e" cm="1">
        <f t="array" ref="E34">_xlfn.IFS(I7=1,E8,I15=1,E16,I29=1,E30,I22=1,E24)</f>
        <v>#N/A</v>
      </c>
      <c r="F34" s="3" t="s">
        <v>8</v>
      </c>
      <c r="G34" s="4"/>
      <c r="H34" s="21"/>
    </row>
    <row r="37" spans="1:9" x14ac:dyDescent="0.25">
      <c r="A37" s="71" t="s">
        <v>158</v>
      </c>
      <c r="B37" s="72" t="s">
        <v>313</v>
      </c>
      <c r="C37" s="72" t="s">
        <v>492</v>
      </c>
      <c r="D37" s="72"/>
      <c r="E37" s="72"/>
      <c r="F37" s="72"/>
      <c r="G37" s="72"/>
      <c r="H37" s="73"/>
    </row>
    <row r="38" spans="1:9" ht="18" x14ac:dyDescent="0.35">
      <c r="A38" s="1" t="s">
        <v>159</v>
      </c>
      <c r="B38" s="2"/>
      <c r="C38" s="3" t="s">
        <v>132</v>
      </c>
      <c r="D38" s="4"/>
      <c r="E38" s="4"/>
      <c r="F38" s="4"/>
      <c r="G38" s="4"/>
      <c r="H38" s="21"/>
      <c r="I38" t="s">
        <v>489</v>
      </c>
    </row>
    <row r="39" spans="1:9" ht="18" x14ac:dyDescent="0.35">
      <c r="A39" s="1" t="s">
        <v>166</v>
      </c>
      <c r="B39" s="2">
        <v>400</v>
      </c>
      <c r="C39" s="3" t="s">
        <v>12</v>
      </c>
      <c r="D39" s="4"/>
      <c r="E39" s="4"/>
      <c r="F39" s="4"/>
      <c r="G39" s="4"/>
      <c r="H39" s="21"/>
    </row>
    <row r="40" spans="1:9" ht="18" x14ac:dyDescent="0.35">
      <c r="A40" s="1" t="s">
        <v>160</v>
      </c>
      <c r="B40" s="2"/>
      <c r="C40" s="3" t="s">
        <v>115</v>
      </c>
      <c r="D40" s="4"/>
      <c r="E40" s="4"/>
      <c r="F40" s="4"/>
      <c r="G40" s="4"/>
      <c r="H40" s="21"/>
      <c r="I40" t="s">
        <v>490</v>
      </c>
    </row>
    <row r="41" spans="1:9" ht="18" x14ac:dyDescent="0.35">
      <c r="A41" s="1" t="s">
        <v>161</v>
      </c>
      <c r="B41" s="2"/>
      <c r="C41" s="3" t="s">
        <v>162</v>
      </c>
      <c r="D41" s="4"/>
      <c r="E41" s="4"/>
      <c r="F41" s="4"/>
      <c r="G41" s="4"/>
      <c r="H41" s="21"/>
      <c r="I41" t="s">
        <v>491</v>
      </c>
    </row>
    <row r="42" spans="1:9" ht="18" x14ac:dyDescent="0.35">
      <c r="A42" s="1" t="s">
        <v>300</v>
      </c>
      <c r="B42" s="19">
        <f>(B38*10^3)/(SQRT(3)*B39)</f>
        <v>0</v>
      </c>
      <c r="C42" s="3" t="s">
        <v>2</v>
      </c>
      <c r="D42" s="4"/>
      <c r="E42" s="4"/>
      <c r="F42" s="4"/>
      <c r="G42" s="4"/>
      <c r="H42" s="21"/>
    </row>
    <row r="45" spans="1:9" ht="18" x14ac:dyDescent="0.35">
      <c r="A45" s="71" t="s">
        <v>400</v>
      </c>
      <c r="B45" s="72" t="s">
        <v>313</v>
      </c>
      <c r="C45" s="79" t="str">
        <f>C37</f>
        <v>T0</v>
      </c>
      <c r="D45" s="74"/>
      <c r="E45" s="74"/>
      <c r="F45" s="74"/>
      <c r="G45" s="74"/>
      <c r="H45" s="75"/>
    </row>
    <row r="46" spans="1:9" ht="18" x14ac:dyDescent="0.35">
      <c r="A46" s="1" t="s">
        <v>159</v>
      </c>
      <c r="B46" s="2">
        <f>B38</f>
        <v>0</v>
      </c>
      <c r="C46" s="3" t="s">
        <v>132</v>
      </c>
      <c r="D46" s="4"/>
      <c r="E46" s="4"/>
      <c r="F46" s="4"/>
      <c r="G46" s="4"/>
      <c r="H46" s="21"/>
    </row>
    <row r="47" spans="1:9" ht="18" x14ac:dyDescent="0.35">
      <c r="A47" s="1" t="s">
        <v>166</v>
      </c>
      <c r="B47" s="2">
        <f>B39</f>
        <v>400</v>
      </c>
      <c r="C47" s="3" t="s">
        <v>12</v>
      </c>
      <c r="D47" s="4"/>
      <c r="E47" s="4"/>
      <c r="F47" s="4"/>
      <c r="G47" s="4"/>
      <c r="H47" s="21"/>
    </row>
    <row r="48" spans="1:9" ht="18" x14ac:dyDescent="0.35">
      <c r="A48" s="1" t="s">
        <v>160</v>
      </c>
      <c r="B48" s="2">
        <f>B40</f>
        <v>0</v>
      </c>
      <c r="C48" s="3" t="s">
        <v>115</v>
      </c>
      <c r="D48" s="4"/>
      <c r="E48" s="4"/>
      <c r="F48" s="4"/>
      <c r="G48" s="4"/>
      <c r="H48" s="21"/>
    </row>
    <row r="49" spans="1:11" ht="18" x14ac:dyDescent="0.35">
      <c r="A49" s="1" t="s">
        <v>161</v>
      </c>
      <c r="B49" s="2">
        <f>B41</f>
        <v>0</v>
      </c>
      <c r="C49" s="3" t="s">
        <v>162</v>
      </c>
      <c r="D49" s="4"/>
      <c r="E49" s="4"/>
      <c r="F49" s="4"/>
      <c r="G49" s="4"/>
      <c r="H49" s="21"/>
    </row>
    <row r="50" spans="1:11" ht="18.75" x14ac:dyDescent="0.35">
      <c r="A50" s="54" t="s">
        <v>167</v>
      </c>
      <c r="B50" s="67" t="e">
        <f>((B48*(B47)^2)/(100*(B46*10^3)))*10^3</f>
        <v>#DIV/0!</v>
      </c>
      <c r="C50" s="9" t="s">
        <v>194</v>
      </c>
      <c r="D50" s="4"/>
      <c r="E50" s="4"/>
      <c r="F50" s="4"/>
      <c r="G50" s="4"/>
      <c r="H50" s="21"/>
    </row>
    <row r="51" spans="1:11" ht="18.75" x14ac:dyDescent="0.35">
      <c r="A51" s="1" t="s">
        <v>168</v>
      </c>
      <c r="B51" s="70" t="e">
        <f>(B49*(B47)^2/(B46*10^3)^2)*10^3</f>
        <v>#DIV/0!</v>
      </c>
      <c r="C51" s="9" t="s">
        <v>194</v>
      </c>
      <c r="D51" s="4"/>
      <c r="E51" s="4"/>
      <c r="F51" s="4"/>
      <c r="G51" s="4"/>
      <c r="H51" s="21"/>
    </row>
    <row r="52" spans="1:11" ht="18" x14ac:dyDescent="0.35">
      <c r="A52" s="69" t="s">
        <v>163</v>
      </c>
      <c r="B52" s="19" t="e">
        <f>(B51)/B50</f>
        <v>#DIV/0!</v>
      </c>
      <c r="C52" s="43"/>
      <c r="D52" s="48"/>
      <c r="E52" s="48"/>
      <c r="F52" s="48"/>
      <c r="G52" s="48"/>
      <c r="H52" s="61"/>
    </row>
    <row r="53" spans="1:11" ht="17.25" x14ac:dyDescent="0.25">
      <c r="A53" s="16" t="s">
        <v>164</v>
      </c>
      <c r="B53" s="45" t="e">
        <f>DEGREES(ACOS(B52))</f>
        <v>#DIV/0!</v>
      </c>
      <c r="C53" s="3" t="s">
        <v>8</v>
      </c>
      <c r="D53" s="4"/>
      <c r="E53" s="4"/>
      <c r="F53" s="4"/>
      <c r="G53" s="4"/>
      <c r="H53" s="21"/>
    </row>
    <row r="54" spans="1:11" ht="18" x14ac:dyDescent="0.35">
      <c r="A54" s="16" t="s">
        <v>165</v>
      </c>
      <c r="B54" s="45" t="e">
        <f>B50</f>
        <v>#DIV/0!</v>
      </c>
      <c r="C54" s="69" t="s">
        <v>194</v>
      </c>
      <c r="D54" s="54" t="s">
        <v>7</v>
      </c>
      <c r="E54" s="45" t="e">
        <f>B53</f>
        <v>#DIV/0!</v>
      </c>
      <c r="F54" s="3" t="s">
        <v>8</v>
      </c>
      <c r="G54" s="4"/>
      <c r="H54" s="21"/>
    </row>
    <row r="57" spans="1:11" ht="18" x14ac:dyDescent="0.35">
      <c r="A57" s="71" t="s">
        <v>401</v>
      </c>
      <c r="B57" s="72" t="s">
        <v>313</v>
      </c>
      <c r="C57" s="78" t="str">
        <f>C45</f>
        <v>T0</v>
      </c>
      <c r="D57" s="72"/>
      <c r="E57" s="72"/>
      <c r="F57" s="72"/>
      <c r="G57" s="72"/>
      <c r="H57" s="73"/>
      <c r="I57" t="s">
        <v>345</v>
      </c>
      <c r="J57" t="s">
        <v>220</v>
      </c>
      <c r="K57" t="s">
        <v>346</v>
      </c>
    </row>
    <row r="58" spans="1:11" ht="18" x14ac:dyDescent="0.35">
      <c r="A58" s="54" t="s">
        <v>347</v>
      </c>
      <c r="B58" s="197" t="e">
        <f>B33</f>
        <v>#N/A</v>
      </c>
      <c r="C58" s="69" t="s">
        <v>237</v>
      </c>
      <c r="D58" s="54" t="s">
        <v>7</v>
      </c>
      <c r="E58" s="184" t="e">
        <f>E33</f>
        <v>#N/A</v>
      </c>
      <c r="F58" s="9" t="s">
        <v>8</v>
      </c>
      <c r="G58" s="4"/>
      <c r="H58" s="21"/>
      <c r="I58" s="56" t="e">
        <f>RADIANS(E58)</f>
        <v>#N/A</v>
      </c>
      <c r="J58" t="e">
        <f>B58*COS(I58)</f>
        <v>#N/A</v>
      </c>
      <c r="K58" t="e">
        <f>B58*SIN(I58)</f>
        <v>#N/A</v>
      </c>
    </row>
    <row r="59" spans="1:11" ht="18" x14ac:dyDescent="0.35">
      <c r="A59" s="31" t="s">
        <v>348</v>
      </c>
      <c r="B59" s="204" t="e">
        <f>B54</f>
        <v>#DIV/0!</v>
      </c>
      <c r="C59" s="16" t="s">
        <v>237</v>
      </c>
      <c r="D59" s="1" t="s">
        <v>7</v>
      </c>
      <c r="E59" s="204" t="e">
        <f>E54</f>
        <v>#DIV/0!</v>
      </c>
      <c r="F59" s="9" t="s">
        <v>8</v>
      </c>
      <c r="G59" s="4"/>
      <c r="H59" s="21"/>
      <c r="I59" s="56" t="e">
        <f>RADIANS(E59)</f>
        <v>#DIV/0!</v>
      </c>
      <c r="J59" t="e">
        <f>B59*COS(I59)</f>
        <v>#DIV/0!</v>
      </c>
      <c r="K59" t="e">
        <f>B59*SIN(I59)</f>
        <v>#DIV/0!</v>
      </c>
    </row>
    <row r="60" spans="1:11" ht="18" x14ac:dyDescent="0.35">
      <c r="A60" s="1" t="s">
        <v>403</v>
      </c>
      <c r="B60" s="247" t="e">
        <f>SQRT(J60^2+K60^2)</f>
        <v>#N/A</v>
      </c>
      <c r="C60" s="16" t="s">
        <v>237</v>
      </c>
      <c r="D60" s="1" t="s">
        <v>7</v>
      </c>
      <c r="E60" s="248" t="e">
        <f>DEGREES(ATAN2(J60,K60))</f>
        <v>#N/A</v>
      </c>
      <c r="F60" s="9" t="s">
        <v>8</v>
      </c>
      <c r="G60" s="4"/>
      <c r="H60" s="21"/>
      <c r="I60" s="56"/>
      <c r="J60" t="e">
        <f>J58+J59</f>
        <v>#N/A</v>
      </c>
      <c r="K60" t="e">
        <f>K58+K59</f>
        <v>#N/A</v>
      </c>
    </row>
    <row r="61" spans="1:11" x14ac:dyDescent="0.25">
      <c r="I61" s="56"/>
    </row>
    <row r="62" spans="1:11" x14ac:dyDescent="0.25">
      <c r="I62" s="56"/>
    </row>
    <row r="63" spans="1:11" ht="18" x14ac:dyDescent="0.35">
      <c r="A63" s="71" t="s">
        <v>404</v>
      </c>
      <c r="B63" s="72" t="s">
        <v>313</v>
      </c>
      <c r="C63" s="78" t="str">
        <f>C57</f>
        <v>T0</v>
      </c>
      <c r="D63" s="72"/>
      <c r="E63" s="72"/>
      <c r="F63" s="72"/>
      <c r="G63" s="72"/>
      <c r="H63" s="73"/>
      <c r="I63" t="s">
        <v>345</v>
      </c>
      <c r="J63" t="s">
        <v>220</v>
      </c>
      <c r="K63" t="s">
        <v>346</v>
      </c>
    </row>
    <row r="64" spans="1:11" ht="18" x14ac:dyDescent="0.35">
      <c r="A64" s="54" t="s">
        <v>353</v>
      </c>
      <c r="B64" s="197" t="e">
        <f>B34</f>
        <v>#N/A</v>
      </c>
      <c r="C64" s="69" t="s">
        <v>237</v>
      </c>
      <c r="D64" s="54" t="s">
        <v>7</v>
      </c>
      <c r="E64" s="204" t="e">
        <f>E34</f>
        <v>#N/A</v>
      </c>
      <c r="F64" s="9" t="s">
        <v>8</v>
      </c>
      <c r="G64" s="4"/>
      <c r="H64" s="21"/>
      <c r="I64" s="56" t="e">
        <f>RADIANS(E64)</f>
        <v>#N/A</v>
      </c>
      <c r="J64" t="e">
        <f>B64*COS(I64)</f>
        <v>#N/A</v>
      </c>
      <c r="K64" t="e">
        <f>B64*SIN(I64)</f>
        <v>#N/A</v>
      </c>
    </row>
    <row r="65" spans="1:11" ht="18" x14ac:dyDescent="0.35">
      <c r="A65" s="1" t="s">
        <v>348</v>
      </c>
      <c r="B65" s="204" t="e">
        <f>B54</f>
        <v>#DIV/0!</v>
      </c>
      <c r="C65" s="16" t="s">
        <v>237</v>
      </c>
      <c r="D65" s="1" t="s">
        <v>7</v>
      </c>
      <c r="E65" s="204" t="e">
        <f>E54</f>
        <v>#DIV/0!</v>
      </c>
      <c r="F65" s="9" t="s">
        <v>8</v>
      </c>
      <c r="G65" s="4"/>
      <c r="H65" s="21"/>
      <c r="I65" s="56" t="e">
        <f>RADIANS(E65)</f>
        <v>#DIV/0!</v>
      </c>
      <c r="J65" t="e">
        <f>B65*COS(I65)</f>
        <v>#DIV/0!</v>
      </c>
      <c r="K65" t="e">
        <f>B65*SIN(I65)</f>
        <v>#DIV/0!</v>
      </c>
    </row>
    <row r="66" spans="1:11" ht="18" x14ac:dyDescent="0.35">
      <c r="A66" s="1" t="s">
        <v>405</v>
      </c>
      <c r="B66" s="19" t="e">
        <f>SQRT(J66^2+K66^2)</f>
        <v>#N/A</v>
      </c>
      <c r="C66" s="16" t="s">
        <v>237</v>
      </c>
      <c r="D66" s="1" t="s">
        <v>7</v>
      </c>
      <c r="E66" s="19" t="e">
        <f>DEGREES(ATAN2(J66,K66))</f>
        <v>#N/A</v>
      </c>
      <c r="F66" s="9" t="s">
        <v>8</v>
      </c>
      <c r="G66" s="4"/>
      <c r="H66" s="21"/>
      <c r="I66" s="56"/>
      <c r="J66" t="e">
        <f>J64+J65</f>
        <v>#N/A</v>
      </c>
      <c r="K66" t="e">
        <f>K64+K65</f>
        <v>#N/A</v>
      </c>
    </row>
    <row r="69" spans="1:11" ht="18" x14ac:dyDescent="0.35">
      <c r="A69" s="71" t="s">
        <v>406</v>
      </c>
      <c r="B69" s="72" t="s">
        <v>313</v>
      </c>
      <c r="C69" s="72" t="str">
        <f>C63</f>
        <v>T0</v>
      </c>
      <c r="D69" s="72"/>
      <c r="E69" s="72"/>
      <c r="F69" s="72"/>
      <c r="G69" s="72"/>
      <c r="H69" s="73"/>
    </row>
    <row r="70" spans="1:11" ht="18" x14ac:dyDescent="0.35">
      <c r="A70" s="1" t="s">
        <v>166</v>
      </c>
      <c r="B70" s="2">
        <v>400</v>
      </c>
      <c r="C70" s="9" t="s">
        <v>12</v>
      </c>
      <c r="D70" s="4"/>
      <c r="E70" s="4"/>
      <c r="F70" s="4"/>
      <c r="G70" s="4"/>
      <c r="H70" s="21"/>
    </row>
    <row r="71" spans="1:11" ht="18" x14ac:dyDescent="0.35">
      <c r="A71" s="1" t="s">
        <v>402</v>
      </c>
      <c r="B71" s="204" t="e">
        <f>B60</f>
        <v>#N/A</v>
      </c>
      <c r="C71" s="9" t="s">
        <v>237</v>
      </c>
      <c r="D71" s="4"/>
      <c r="E71" s="4"/>
      <c r="F71" s="4"/>
      <c r="G71" s="4"/>
      <c r="H71" s="21"/>
    </row>
    <row r="72" spans="1:11" ht="18" x14ac:dyDescent="0.35">
      <c r="A72" s="1" t="s">
        <v>407</v>
      </c>
      <c r="B72" s="19" t="e">
        <f>B70/(SQRT(3)*B71)</f>
        <v>#N/A</v>
      </c>
      <c r="C72" s="3" t="s">
        <v>80</v>
      </c>
      <c r="D72" s="4"/>
      <c r="E72" s="4"/>
      <c r="F72" s="4"/>
      <c r="G72" s="4"/>
      <c r="H72" s="21"/>
    </row>
    <row r="75" spans="1:11" ht="18" x14ac:dyDescent="0.35">
      <c r="A75" s="71" t="s">
        <v>408</v>
      </c>
      <c r="B75" s="72" t="s">
        <v>313</v>
      </c>
      <c r="C75" s="72" t="str">
        <f>C69</f>
        <v>T0</v>
      </c>
      <c r="D75" s="72"/>
      <c r="E75" s="72"/>
      <c r="F75" s="72"/>
      <c r="G75" s="72"/>
      <c r="H75" s="73"/>
    </row>
    <row r="76" spans="1:11" ht="18" x14ac:dyDescent="0.35">
      <c r="A76" s="1" t="s">
        <v>166</v>
      </c>
      <c r="B76" s="2">
        <v>400</v>
      </c>
      <c r="C76" s="9" t="s">
        <v>12</v>
      </c>
      <c r="D76" s="4"/>
      <c r="E76" s="4"/>
      <c r="F76" s="4"/>
      <c r="G76" s="4"/>
      <c r="H76" s="21"/>
    </row>
    <row r="77" spans="1:11" ht="18" x14ac:dyDescent="0.35">
      <c r="A77" s="1" t="s">
        <v>409</v>
      </c>
      <c r="B77" s="204" t="e">
        <f>B66</f>
        <v>#N/A</v>
      </c>
      <c r="C77" s="9" t="s">
        <v>237</v>
      </c>
      <c r="D77" s="4"/>
      <c r="E77" s="4"/>
      <c r="F77" s="4"/>
      <c r="G77" s="4"/>
      <c r="H77" s="21"/>
    </row>
    <row r="78" spans="1:11" ht="18" x14ac:dyDescent="0.35">
      <c r="A78" s="1" t="s">
        <v>410</v>
      </c>
      <c r="B78" s="19" t="e">
        <f>B76/(SQRT(3)*B77)</f>
        <v>#N/A</v>
      </c>
      <c r="C78" s="3" t="s">
        <v>80</v>
      </c>
      <c r="D78" s="4"/>
      <c r="E78" s="4"/>
      <c r="F78" s="4"/>
      <c r="G78" s="4"/>
      <c r="H78" s="21"/>
    </row>
    <row r="81" spans="1:10" ht="18" x14ac:dyDescent="0.35">
      <c r="A81" s="71" t="s">
        <v>293</v>
      </c>
      <c r="B81" s="72"/>
      <c r="C81" s="72"/>
      <c r="D81" s="72"/>
      <c r="E81" s="72"/>
      <c r="F81" s="72"/>
      <c r="G81" s="72"/>
      <c r="H81" s="73"/>
    </row>
    <row r="82" spans="1:10" ht="18.75" x14ac:dyDescent="0.35">
      <c r="A82" s="54" t="s">
        <v>167</v>
      </c>
      <c r="B82" s="67" t="e">
        <f>((B11*(B10)^2)/(100*(B9*10^3)))*10^3</f>
        <v>#DIV/0!</v>
      </c>
      <c r="C82" s="20" t="s">
        <v>194</v>
      </c>
      <c r="D82" s="48"/>
      <c r="E82" s="48"/>
      <c r="F82" s="48"/>
      <c r="G82" s="48"/>
      <c r="H82" s="61"/>
    </row>
    <row r="83" spans="1:10" ht="18.75" x14ac:dyDescent="0.35">
      <c r="A83" s="1" t="s">
        <v>168</v>
      </c>
      <c r="B83" s="70" t="e">
        <f>(B12*(B10)^2/(B9*10^3)^2)*10^3</f>
        <v>#DIV/0!</v>
      </c>
      <c r="C83" s="9" t="s">
        <v>194</v>
      </c>
      <c r="D83" s="4"/>
      <c r="E83" s="4"/>
      <c r="F83" s="4"/>
      <c r="G83" s="4"/>
      <c r="H83" s="21"/>
    </row>
    <row r="84" spans="1:10" ht="18.75" x14ac:dyDescent="0.35">
      <c r="A84" s="69" t="s">
        <v>294</v>
      </c>
      <c r="B84" s="68" t="e">
        <f>SQRT(B82^2-B83^2)</f>
        <v>#DIV/0!</v>
      </c>
      <c r="C84" s="9" t="s">
        <v>194</v>
      </c>
      <c r="D84" s="48"/>
      <c r="E84" s="48"/>
      <c r="F84" s="48"/>
      <c r="G84" s="48"/>
      <c r="H84" s="61"/>
    </row>
    <row r="85" spans="1:10" ht="18" x14ac:dyDescent="0.35">
      <c r="A85" s="69" t="s">
        <v>163</v>
      </c>
      <c r="B85" s="19" t="e">
        <f>(B83)/B82</f>
        <v>#DIV/0!</v>
      </c>
      <c r="C85" s="43"/>
      <c r="D85" s="48"/>
      <c r="E85" s="48"/>
      <c r="F85" s="48"/>
      <c r="G85" s="48"/>
      <c r="H85" s="61"/>
    </row>
    <row r="86" spans="1:10" ht="17.25" x14ac:dyDescent="0.25">
      <c r="A86" s="16" t="s">
        <v>164</v>
      </c>
      <c r="B86" s="45" t="e">
        <f>DEGREES(ACOS(B85))</f>
        <v>#DIV/0!</v>
      </c>
      <c r="C86" s="3" t="s">
        <v>8</v>
      </c>
      <c r="D86" s="4"/>
      <c r="E86" s="4"/>
      <c r="F86" s="4"/>
      <c r="G86" s="4"/>
      <c r="H86" s="21"/>
    </row>
    <row r="87" spans="1:10" ht="18" x14ac:dyDescent="0.35">
      <c r="A87" s="16" t="s">
        <v>165</v>
      </c>
      <c r="B87" s="70" t="e">
        <f>B82</f>
        <v>#DIV/0!</v>
      </c>
      <c r="C87" s="69" t="s">
        <v>194</v>
      </c>
      <c r="D87" s="54" t="s">
        <v>7</v>
      </c>
      <c r="E87" s="45" t="e">
        <f>B86</f>
        <v>#DIV/0!</v>
      </c>
      <c r="F87" s="3" t="s">
        <v>8</v>
      </c>
      <c r="G87" s="4"/>
      <c r="H87" s="21"/>
    </row>
    <row r="90" spans="1:10" ht="18" x14ac:dyDescent="0.35">
      <c r="A90" s="71" t="s">
        <v>366</v>
      </c>
      <c r="B90" s="72" t="s">
        <v>261</v>
      </c>
      <c r="C90" s="72"/>
      <c r="D90" s="72"/>
      <c r="E90" s="72"/>
      <c r="F90" s="72"/>
      <c r="G90" s="116"/>
      <c r="H90" t="s">
        <v>345</v>
      </c>
      <c r="I90" t="s">
        <v>220</v>
      </c>
      <c r="J90" t="s">
        <v>346</v>
      </c>
    </row>
    <row r="91" spans="1:10" x14ac:dyDescent="0.25">
      <c r="A91" s="54" t="s">
        <v>185</v>
      </c>
      <c r="B91" s="49"/>
      <c r="C91" s="3" t="s">
        <v>184</v>
      </c>
      <c r="D91" s="4"/>
      <c r="E91" s="4"/>
      <c r="F91" s="4"/>
      <c r="G91" s="21"/>
      <c r="H91" s="56">
        <f>RADIANS(E97)</f>
        <v>0</v>
      </c>
      <c r="I91">
        <f>B97*COS(H91)</f>
        <v>0</v>
      </c>
      <c r="J91">
        <f>B97*SIN(H91)</f>
        <v>0</v>
      </c>
    </row>
    <row r="92" spans="1:10" x14ac:dyDescent="0.25">
      <c r="A92" s="54" t="s">
        <v>376</v>
      </c>
      <c r="B92" s="226"/>
      <c r="C92" s="3" t="s">
        <v>130</v>
      </c>
      <c r="D92" s="4"/>
      <c r="E92" s="4"/>
      <c r="F92" s="4"/>
      <c r="G92" s="21"/>
      <c r="H92" s="56">
        <f>RADIANS(E98)</f>
        <v>1.5707963267948966</v>
      </c>
      <c r="I92">
        <f>B98*COS(H92)</f>
        <v>0</v>
      </c>
      <c r="J92">
        <f>B98*SIN(H92)</f>
        <v>0</v>
      </c>
    </row>
    <row r="93" spans="1:10" x14ac:dyDescent="0.25">
      <c r="A93" s="54" t="s">
        <v>55</v>
      </c>
      <c r="B93" s="49"/>
      <c r="C93" s="3"/>
      <c r="D93" s="4"/>
      <c r="E93" s="4"/>
      <c r="F93" s="4"/>
      <c r="G93" s="21"/>
      <c r="H93" s="56"/>
    </row>
    <row r="94" spans="1:10" x14ac:dyDescent="0.25">
      <c r="A94" s="69" t="s">
        <v>278</v>
      </c>
      <c r="B94" s="81">
        <v>1.8</v>
      </c>
      <c r="C94" s="3"/>
      <c r="D94" s="4"/>
      <c r="E94" s="4"/>
      <c r="F94" s="4"/>
      <c r="G94" s="21"/>
      <c r="H94" s="56"/>
      <c r="I94">
        <f>I91+I92</f>
        <v>0</v>
      </c>
      <c r="J94">
        <f>J91+J92</f>
        <v>0</v>
      </c>
    </row>
    <row r="95" spans="1:10" x14ac:dyDescent="0.25">
      <c r="A95" s="1" t="s">
        <v>238</v>
      </c>
      <c r="B95" s="15"/>
      <c r="C95" s="3" t="s">
        <v>279</v>
      </c>
      <c r="D95" s="4"/>
      <c r="E95" s="4"/>
      <c r="F95" s="4"/>
      <c r="G95" s="21"/>
      <c r="H95">
        <f>IF(C29=90,1,0)</f>
        <v>0</v>
      </c>
    </row>
    <row r="96" spans="1:10" x14ac:dyDescent="0.25">
      <c r="A96" s="1" t="s">
        <v>239</v>
      </c>
      <c r="B96" s="225"/>
      <c r="C96" s="3" t="s">
        <v>279</v>
      </c>
      <c r="D96" s="4"/>
      <c r="E96" s="160"/>
      <c r="F96" s="160"/>
      <c r="G96" s="21"/>
      <c r="H96" t="s">
        <v>345</v>
      </c>
      <c r="I96" t="s">
        <v>220</v>
      </c>
      <c r="J96" t="s">
        <v>346</v>
      </c>
    </row>
    <row r="97" spans="1:10" x14ac:dyDescent="0.25">
      <c r="A97" s="1" t="s">
        <v>355</v>
      </c>
      <c r="B97" s="10">
        <f>B91*B95</f>
        <v>0</v>
      </c>
      <c r="C97" s="54" t="s">
        <v>237</v>
      </c>
      <c r="D97" s="54" t="s">
        <v>7</v>
      </c>
      <c r="E97" s="49">
        <v>0</v>
      </c>
      <c r="F97" s="9" t="s">
        <v>8</v>
      </c>
      <c r="G97" s="21"/>
      <c r="H97" s="56">
        <f>RADIANS(E97)</f>
        <v>0</v>
      </c>
      <c r="I97">
        <f>B94*(B97*COS(H97))</f>
        <v>0</v>
      </c>
      <c r="J97">
        <f>B97*SIN(H97)</f>
        <v>0</v>
      </c>
    </row>
    <row r="98" spans="1:10" x14ac:dyDescent="0.25">
      <c r="A98" s="1" t="s">
        <v>356</v>
      </c>
      <c r="B98" s="19">
        <f>B91*B96</f>
        <v>0</v>
      </c>
      <c r="C98" s="1" t="s">
        <v>237</v>
      </c>
      <c r="D98" s="54" t="s">
        <v>7</v>
      </c>
      <c r="E98" s="2">
        <v>90</v>
      </c>
      <c r="F98" s="9" t="s">
        <v>8</v>
      </c>
      <c r="G98" s="21"/>
      <c r="H98" s="56">
        <f>RADIANS(E98)</f>
        <v>1.5707963267948966</v>
      </c>
      <c r="I98">
        <f>B98*COS(H98)</f>
        <v>0</v>
      </c>
      <c r="J98">
        <f>B98*SIN(H98)</f>
        <v>0</v>
      </c>
    </row>
    <row r="99" spans="1:10" ht="18" x14ac:dyDescent="0.35">
      <c r="A99" s="1" t="s">
        <v>377</v>
      </c>
      <c r="B99" s="205">
        <f>SQRT(I94^2+J94^2)</f>
        <v>0</v>
      </c>
      <c r="C99" s="1" t="s">
        <v>237</v>
      </c>
      <c r="D99" s="54" t="s">
        <v>7</v>
      </c>
      <c r="E99" s="19" t="e">
        <f>DEGREES(ATAN2(I94,J94))</f>
        <v>#DIV/0!</v>
      </c>
      <c r="F99" s="9" t="s">
        <v>8</v>
      </c>
      <c r="G99" s="21"/>
      <c r="H99" s="56"/>
      <c r="I99">
        <f>I97+I98</f>
        <v>0</v>
      </c>
      <c r="J99">
        <f>J97+J98</f>
        <v>0</v>
      </c>
    </row>
    <row r="100" spans="1:10" ht="18" x14ac:dyDescent="0.35">
      <c r="A100" s="1" t="s">
        <v>399</v>
      </c>
      <c r="B100" s="205">
        <f>B92*(B93*(SQRT(I99^2+J99^2)))</f>
        <v>0</v>
      </c>
      <c r="C100" s="1" t="s">
        <v>237</v>
      </c>
      <c r="D100" s="1" t="s">
        <v>7</v>
      </c>
      <c r="E100" s="19" t="e">
        <f>DEGREES(ATAN2(I99,J99))</f>
        <v>#DIV/0!</v>
      </c>
      <c r="F100" s="9" t="s">
        <v>8</v>
      </c>
      <c r="G100" s="21"/>
    </row>
    <row r="101" spans="1:10" x14ac:dyDescent="0.25">
      <c r="A101" t="s">
        <v>9</v>
      </c>
      <c r="B101">
        <v>0.08</v>
      </c>
      <c r="E101" s="56"/>
      <c r="F101" s="57"/>
    </row>
    <row r="102" spans="1:10" x14ac:dyDescent="0.25">
      <c r="A102" t="s">
        <v>10</v>
      </c>
      <c r="B102">
        <v>0.15</v>
      </c>
      <c r="E102" s="56"/>
      <c r="F102" s="57"/>
    </row>
    <row r="103" spans="1:10" ht="18" x14ac:dyDescent="0.35">
      <c r="A103" s="71" t="s">
        <v>398</v>
      </c>
      <c r="B103" s="72" t="s">
        <v>261</v>
      </c>
      <c r="C103" s="72">
        <f>C90</f>
        <v>0</v>
      </c>
      <c r="D103" s="72"/>
      <c r="E103" s="72"/>
      <c r="F103" s="72"/>
      <c r="G103" s="116"/>
      <c r="H103" t="s">
        <v>345</v>
      </c>
      <c r="I103" t="s">
        <v>220</v>
      </c>
      <c r="J103" t="s">
        <v>346</v>
      </c>
    </row>
    <row r="104" spans="1:10" x14ac:dyDescent="0.25">
      <c r="A104" s="54" t="s">
        <v>185</v>
      </c>
      <c r="B104" s="49">
        <f>B91</f>
        <v>0</v>
      </c>
      <c r="C104" s="3" t="s">
        <v>184</v>
      </c>
      <c r="D104" s="4"/>
      <c r="E104" s="4"/>
      <c r="F104" s="4"/>
      <c r="G104" s="21"/>
      <c r="H104" s="56">
        <f>RADIANS(E109)</f>
        <v>0</v>
      </c>
      <c r="I104">
        <f>B109*COS(H104)</f>
        <v>0</v>
      </c>
      <c r="J104">
        <f>B109*SIN(H104)</f>
        <v>0</v>
      </c>
    </row>
    <row r="105" spans="1:10" x14ac:dyDescent="0.25">
      <c r="A105" s="54" t="s">
        <v>376</v>
      </c>
      <c r="B105" s="226" t="e">
        <f>B87</f>
        <v>#DIV/0!</v>
      </c>
      <c r="C105" s="3" t="s">
        <v>130</v>
      </c>
      <c r="D105" s="4"/>
      <c r="E105" s="4"/>
      <c r="F105" s="4"/>
      <c r="G105" s="21"/>
      <c r="H105" s="56">
        <f>RADIANS(E110)</f>
        <v>1.5707963267948966</v>
      </c>
      <c r="I105">
        <f>B110*COS(H105)</f>
        <v>0</v>
      </c>
      <c r="J105">
        <f>B110*SIN(H105)</f>
        <v>0</v>
      </c>
    </row>
    <row r="106" spans="1:10" x14ac:dyDescent="0.25">
      <c r="A106" s="69" t="s">
        <v>278</v>
      </c>
      <c r="B106" s="81">
        <f>B94</f>
        <v>1.8</v>
      </c>
      <c r="C106" s="3"/>
      <c r="D106" s="4"/>
      <c r="E106" s="4"/>
      <c r="F106" s="4"/>
      <c r="G106" s="21"/>
      <c r="H106" s="56"/>
      <c r="I106">
        <f>I104+I105</f>
        <v>0</v>
      </c>
      <c r="J106">
        <f>J104+J105</f>
        <v>0</v>
      </c>
    </row>
    <row r="107" spans="1:10" x14ac:dyDescent="0.25">
      <c r="A107" s="1" t="s">
        <v>238</v>
      </c>
      <c r="B107" s="15"/>
      <c r="C107" s="3" t="s">
        <v>279</v>
      </c>
      <c r="D107" s="4"/>
      <c r="E107" s="4"/>
      <c r="F107" s="4"/>
      <c r="G107" s="21"/>
      <c r="H107" t="e">
        <f>IF(B51="AL",1,0)</f>
        <v>#DIV/0!</v>
      </c>
    </row>
    <row r="108" spans="1:10" x14ac:dyDescent="0.25">
      <c r="A108" s="1" t="s">
        <v>239</v>
      </c>
      <c r="B108" s="225"/>
      <c r="C108" s="3" t="s">
        <v>279</v>
      </c>
      <c r="D108" s="4"/>
      <c r="E108" s="160"/>
      <c r="F108" s="160"/>
      <c r="G108" s="21"/>
      <c r="H108" t="s">
        <v>345</v>
      </c>
      <c r="I108" t="s">
        <v>220</v>
      </c>
      <c r="J108" t="s">
        <v>346</v>
      </c>
    </row>
    <row r="109" spans="1:10" x14ac:dyDescent="0.25">
      <c r="A109" s="1" t="s">
        <v>355</v>
      </c>
      <c r="B109" s="10">
        <f>B104*B107</f>
        <v>0</v>
      </c>
      <c r="C109" s="54" t="s">
        <v>237</v>
      </c>
      <c r="D109" s="54" t="s">
        <v>7</v>
      </c>
      <c r="E109" s="49">
        <v>0</v>
      </c>
      <c r="F109" s="9" t="s">
        <v>8</v>
      </c>
      <c r="G109" s="21"/>
      <c r="H109" s="56">
        <f>RADIANS(E109)</f>
        <v>0</v>
      </c>
      <c r="I109">
        <f>B106*(B109*COS(H109))</f>
        <v>0</v>
      </c>
      <c r="J109">
        <f>B109*SIN(H109)</f>
        <v>0</v>
      </c>
    </row>
    <row r="110" spans="1:10" x14ac:dyDescent="0.25">
      <c r="A110" s="1" t="s">
        <v>356</v>
      </c>
      <c r="B110" s="10">
        <f>B104*B108</f>
        <v>0</v>
      </c>
      <c r="C110" s="1" t="s">
        <v>237</v>
      </c>
      <c r="D110" s="54" t="s">
        <v>7</v>
      </c>
      <c r="E110" s="2">
        <v>90</v>
      </c>
      <c r="F110" s="9" t="s">
        <v>8</v>
      </c>
      <c r="G110" s="21"/>
      <c r="H110" s="56">
        <f>RADIANS(E110)</f>
        <v>1.5707963267948966</v>
      </c>
      <c r="I110">
        <f>B110*COS(H110)</f>
        <v>0</v>
      </c>
      <c r="J110">
        <f>B110*SIN(H110)</f>
        <v>0</v>
      </c>
    </row>
    <row r="111" spans="1:10" ht="18" x14ac:dyDescent="0.35">
      <c r="A111" s="1" t="s">
        <v>377</v>
      </c>
      <c r="B111" s="205">
        <f>SQRT(I106^2+J106^2)</f>
        <v>0</v>
      </c>
      <c r="C111" s="1" t="s">
        <v>237</v>
      </c>
      <c r="D111" s="54" t="s">
        <v>7</v>
      </c>
      <c r="E111" s="19" t="e">
        <f>DEGREES(ATAN2(I106,J106))</f>
        <v>#DIV/0!</v>
      </c>
      <c r="F111" s="9" t="s">
        <v>8</v>
      </c>
      <c r="G111" s="21"/>
      <c r="H111" s="56"/>
      <c r="I111">
        <f>I109+I110</f>
        <v>0</v>
      </c>
      <c r="J111">
        <f>J109+J110</f>
        <v>0</v>
      </c>
    </row>
    <row r="112" spans="1:10" ht="18" x14ac:dyDescent="0.35">
      <c r="A112" s="1" t="s">
        <v>390</v>
      </c>
      <c r="B112" s="205" t="e">
        <f>B105*(SQRT(I111^2+J111^2))</f>
        <v>#DIV/0!</v>
      </c>
      <c r="C112" s="1" t="s">
        <v>237</v>
      </c>
      <c r="D112" s="1" t="s">
        <v>7</v>
      </c>
      <c r="E112" s="19" t="e">
        <f>DEGREES(ATAN2(I111,J111))</f>
        <v>#DIV/0!</v>
      </c>
      <c r="F112" s="9" t="s">
        <v>8</v>
      </c>
      <c r="G112" s="21"/>
    </row>
    <row r="113" spans="1:11" x14ac:dyDescent="0.25">
      <c r="A113" t="s">
        <v>9</v>
      </c>
      <c r="B113">
        <v>0.08</v>
      </c>
    </row>
    <row r="114" spans="1:11" x14ac:dyDescent="0.25">
      <c r="A114" t="s">
        <v>10</v>
      </c>
      <c r="B114">
        <v>0.15</v>
      </c>
    </row>
    <row r="115" spans="1:11" ht="18" x14ac:dyDescent="0.35">
      <c r="A115" s="71" t="s">
        <v>379</v>
      </c>
      <c r="B115" s="72" t="s">
        <v>5</v>
      </c>
      <c r="C115" s="72" t="s">
        <v>303</v>
      </c>
      <c r="D115" s="72"/>
      <c r="E115" s="72"/>
      <c r="F115" s="72"/>
      <c r="G115" s="73"/>
      <c r="I115" t="s">
        <v>345</v>
      </c>
      <c r="J115" t="s">
        <v>220</v>
      </c>
      <c r="K115" t="s">
        <v>346</v>
      </c>
    </row>
    <row r="116" spans="1:11" ht="18" x14ac:dyDescent="0.35">
      <c r="A116" s="54" t="s">
        <v>347</v>
      </c>
      <c r="B116" s="197" t="e">
        <f>B33</f>
        <v>#N/A</v>
      </c>
      <c r="C116" s="69" t="s">
        <v>237</v>
      </c>
      <c r="D116" s="54" t="s">
        <v>7</v>
      </c>
      <c r="E116" s="184" t="e">
        <f>E33</f>
        <v>#N/A</v>
      </c>
      <c r="F116" s="20" t="s">
        <v>8</v>
      </c>
      <c r="G116" s="61"/>
      <c r="I116" s="56" t="e">
        <f>RADIANS(E116)</f>
        <v>#N/A</v>
      </c>
      <c r="J116" t="e">
        <f>B116*COS(I116)</f>
        <v>#N/A</v>
      </c>
      <c r="K116" t="e">
        <f>B116*SIN(I116)</f>
        <v>#N/A</v>
      </c>
    </row>
    <row r="117" spans="1:11" ht="18" x14ac:dyDescent="0.35">
      <c r="A117" s="31" t="s">
        <v>348</v>
      </c>
      <c r="B117" s="198" t="e">
        <f>B54</f>
        <v>#DIV/0!</v>
      </c>
      <c r="C117" s="199" t="s">
        <v>237</v>
      </c>
      <c r="D117" s="31" t="s">
        <v>7</v>
      </c>
      <c r="E117" s="200" t="e">
        <f>E54</f>
        <v>#DIV/0!</v>
      </c>
      <c r="F117" s="201" t="s">
        <v>8</v>
      </c>
      <c r="G117" s="173"/>
      <c r="I117" s="56" t="e">
        <f>RADIANS(E117)</f>
        <v>#DIV/0!</v>
      </c>
      <c r="J117" t="e">
        <f>B117*COS(I117)</f>
        <v>#DIV/0!</v>
      </c>
      <c r="K117" t="e">
        <f>B117*SIN(I117)</f>
        <v>#DIV/0!</v>
      </c>
    </row>
    <row r="118" spans="1:11" ht="18" x14ac:dyDescent="0.35">
      <c r="A118" s="105" t="s">
        <v>383</v>
      </c>
      <c r="B118" s="202"/>
      <c r="C118" s="203"/>
      <c r="D118" s="103"/>
      <c r="E118" s="202"/>
      <c r="F118" s="203"/>
      <c r="G118" s="104"/>
      <c r="I118" s="56"/>
    </row>
    <row r="119" spans="1:11" x14ac:dyDescent="0.25">
      <c r="A119" s="54" t="s">
        <v>303</v>
      </c>
      <c r="B119" s="197">
        <f>B99</f>
        <v>0</v>
      </c>
      <c r="C119" s="69" t="s">
        <v>237</v>
      </c>
      <c r="D119" s="54" t="s">
        <v>7</v>
      </c>
      <c r="E119" s="197" t="e">
        <f>E99</f>
        <v>#DIV/0!</v>
      </c>
      <c r="F119" s="20" t="s">
        <v>8</v>
      </c>
      <c r="G119" s="61"/>
      <c r="I119" s="56" t="e">
        <f>RADIANS(E119)</f>
        <v>#DIV/0!</v>
      </c>
      <c r="J119" t="e">
        <f>B119*COS(I119)</f>
        <v>#DIV/0!</v>
      </c>
      <c r="K119" t="e">
        <f>B119*SIN(I119)</f>
        <v>#DIV/0!</v>
      </c>
    </row>
    <row r="120" spans="1:11" x14ac:dyDescent="0.25">
      <c r="A120" s="1" t="s">
        <v>481</v>
      </c>
      <c r="B120" s="204">
        <f>B111</f>
        <v>0</v>
      </c>
      <c r="C120" s="69" t="s">
        <v>237</v>
      </c>
      <c r="D120" s="54" t="s">
        <v>7</v>
      </c>
      <c r="E120" s="204" t="e">
        <f>E111</f>
        <v>#DIV/0!</v>
      </c>
      <c r="F120" s="20" t="s">
        <v>8</v>
      </c>
      <c r="G120" s="61"/>
      <c r="I120" s="56" t="e">
        <f>RADIANS(E120)</f>
        <v>#DIV/0!</v>
      </c>
      <c r="J120" t="e">
        <f>B120*COS(I120)</f>
        <v>#DIV/0!</v>
      </c>
      <c r="K120" t="e">
        <f>B120*SIN(I120)</f>
        <v>#DIV/0!</v>
      </c>
    </row>
    <row r="121" spans="1:11" x14ac:dyDescent="0.25">
      <c r="A121" s="1" t="s">
        <v>335</v>
      </c>
      <c r="B121" s="204"/>
      <c r="C121" s="69" t="s">
        <v>237</v>
      </c>
      <c r="D121" s="54" t="s">
        <v>7</v>
      </c>
      <c r="E121" s="204"/>
      <c r="F121" s="20" t="s">
        <v>8</v>
      </c>
      <c r="G121" s="61"/>
      <c r="I121" s="56">
        <f>RADIANS(E121)</f>
        <v>0</v>
      </c>
      <c r="J121">
        <f>B121*COS(I121)</f>
        <v>0</v>
      </c>
      <c r="K121">
        <f>B121*SIN(I121)</f>
        <v>0</v>
      </c>
    </row>
    <row r="122" spans="1:11" x14ac:dyDescent="0.25">
      <c r="A122" s="1" t="s">
        <v>336</v>
      </c>
      <c r="B122" s="204"/>
      <c r="C122" s="69" t="s">
        <v>237</v>
      </c>
      <c r="D122" s="54" t="s">
        <v>7</v>
      </c>
      <c r="E122" s="204"/>
      <c r="F122" s="20" t="s">
        <v>8</v>
      </c>
      <c r="G122" s="61"/>
      <c r="I122" s="56">
        <f>RADIANS(E122)</f>
        <v>0</v>
      </c>
      <c r="J122">
        <f>B122*COS(I122)</f>
        <v>0</v>
      </c>
      <c r="K122">
        <f>B122*SIN(I122)</f>
        <v>0</v>
      </c>
    </row>
    <row r="123" spans="1:11" x14ac:dyDescent="0.25">
      <c r="A123" s="1" t="s">
        <v>337</v>
      </c>
      <c r="B123" s="204"/>
      <c r="C123" s="69" t="s">
        <v>237</v>
      </c>
      <c r="D123" s="54" t="s">
        <v>7</v>
      </c>
      <c r="E123" s="204"/>
      <c r="F123" s="20" t="s">
        <v>8</v>
      </c>
      <c r="G123" s="61"/>
      <c r="I123" s="56">
        <f>RADIANS(E123)</f>
        <v>0</v>
      </c>
      <c r="J123">
        <f>B123*COS(I123)</f>
        <v>0</v>
      </c>
      <c r="K123">
        <f>B123*SIN(I123)</f>
        <v>0</v>
      </c>
    </row>
    <row r="124" spans="1:11" ht="18" x14ac:dyDescent="0.35">
      <c r="A124" s="1" t="s">
        <v>381</v>
      </c>
      <c r="B124" s="205" t="e">
        <f>SQRT(J124^2+K124^2)</f>
        <v>#N/A</v>
      </c>
      <c r="C124" s="69" t="s">
        <v>237</v>
      </c>
      <c r="D124" s="54" t="s">
        <v>7</v>
      </c>
      <c r="E124" s="19" t="e">
        <f>DEGREES(ATAN2(J124,K124))</f>
        <v>#N/A</v>
      </c>
      <c r="F124" s="20" t="s">
        <v>8</v>
      </c>
      <c r="G124" s="61"/>
      <c r="J124" t="e">
        <f>J116+J117+J119+J120+J121+J122+J123</f>
        <v>#N/A</v>
      </c>
      <c r="K124" t="e">
        <f>K116+K117+K119+K120+K121+K122+K123</f>
        <v>#N/A</v>
      </c>
    </row>
    <row r="127" spans="1:11" ht="18" x14ac:dyDescent="0.35">
      <c r="A127" s="71" t="s">
        <v>380</v>
      </c>
      <c r="B127" s="72" t="s">
        <v>5</v>
      </c>
      <c r="C127" s="72" t="str">
        <f>C115</f>
        <v>W1</v>
      </c>
      <c r="D127" s="72"/>
      <c r="E127" s="72"/>
      <c r="F127" s="72"/>
      <c r="G127" s="73"/>
      <c r="I127" t="s">
        <v>345</v>
      </c>
      <c r="J127" t="s">
        <v>220</v>
      </c>
      <c r="K127" t="s">
        <v>346</v>
      </c>
    </row>
    <row r="128" spans="1:11" ht="18" x14ac:dyDescent="0.35">
      <c r="A128" s="54" t="s">
        <v>353</v>
      </c>
      <c r="B128" s="197" t="e">
        <f>B34</f>
        <v>#N/A</v>
      </c>
      <c r="C128" s="69" t="s">
        <v>237</v>
      </c>
      <c r="D128" s="54" t="s">
        <v>7</v>
      </c>
      <c r="E128" s="184" t="e">
        <f>E34</f>
        <v>#N/A</v>
      </c>
      <c r="F128" s="20" t="s">
        <v>8</v>
      </c>
      <c r="G128" s="61"/>
      <c r="I128" s="56" t="e">
        <f>RADIANS(E128)</f>
        <v>#N/A</v>
      </c>
      <c r="J128" t="e">
        <f>B128*COS(I128)</f>
        <v>#N/A</v>
      </c>
      <c r="K128" t="e">
        <f>B128*SIN(I128)</f>
        <v>#N/A</v>
      </c>
    </row>
    <row r="129" spans="1:11" ht="18" x14ac:dyDescent="0.35">
      <c r="A129" s="31" t="s">
        <v>348</v>
      </c>
      <c r="B129" s="198" t="e">
        <f>B117</f>
        <v>#DIV/0!</v>
      </c>
      <c r="C129" s="199" t="s">
        <v>237</v>
      </c>
      <c r="D129" s="31" t="s">
        <v>7</v>
      </c>
      <c r="E129" s="200" t="e">
        <f>E117</f>
        <v>#DIV/0!</v>
      </c>
      <c r="F129" s="201" t="s">
        <v>8</v>
      </c>
      <c r="G129" s="173"/>
      <c r="I129" s="56" t="e">
        <f>RADIANS(E129)</f>
        <v>#DIV/0!</v>
      </c>
      <c r="J129" t="e">
        <f>B129*COS(I129)</f>
        <v>#DIV/0!</v>
      </c>
      <c r="K129" t="e">
        <f>B129*SIN(I129)</f>
        <v>#DIV/0!</v>
      </c>
    </row>
    <row r="130" spans="1:11" ht="18" x14ac:dyDescent="0.35">
      <c r="A130" s="105" t="s">
        <v>384</v>
      </c>
      <c r="B130" s="202"/>
      <c r="C130" s="203"/>
      <c r="D130" s="103"/>
      <c r="E130" s="202"/>
      <c r="F130" s="203"/>
      <c r="G130" s="104"/>
      <c r="I130" s="56"/>
    </row>
    <row r="131" spans="1:11" x14ac:dyDescent="0.25">
      <c r="A131" s="1" t="s">
        <v>303</v>
      </c>
      <c r="B131" s="204">
        <f>B100</f>
        <v>0</v>
      </c>
      <c r="C131" s="69" t="s">
        <v>237</v>
      </c>
      <c r="D131" s="54" t="s">
        <v>7</v>
      </c>
      <c r="E131" s="204" t="e">
        <f>E100</f>
        <v>#DIV/0!</v>
      </c>
      <c r="F131" s="20" t="s">
        <v>8</v>
      </c>
      <c r="G131" s="61"/>
      <c r="I131" s="56" t="e">
        <f>RADIANS(E131)</f>
        <v>#DIV/0!</v>
      </c>
      <c r="J131" t="e">
        <f>B131*COS(I131)</f>
        <v>#DIV/0!</v>
      </c>
      <c r="K131" t="e">
        <f>B131*SIN(I131)</f>
        <v>#DIV/0!</v>
      </c>
    </row>
    <row r="132" spans="1:11" x14ac:dyDescent="0.25">
      <c r="A132" s="1" t="str">
        <f>A120</f>
        <v>W1 PE</v>
      </c>
      <c r="B132" s="204" t="e">
        <f>B112</f>
        <v>#DIV/0!</v>
      </c>
      <c r="C132" s="69" t="s">
        <v>237</v>
      </c>
      <c r="D132" s="54" t="s">
        <v>7</v>
      </c>
      <c r="E132" s="204" t="e">
        <f>E112</f>
        <v>#DIV/0!</v>
      </c>
      <c r="F132" s="20" t="s">
        <v>8</v>
      </c>
      <c r="G132" s="61"/>
      <c r="I132" s="56" t="e">
        <f>RADIANS(E132)</f>
        <v>#DIV/0!</v>
      </c>
      <c r="J132" t="e">
        <f>B132*COS(I132)</f>
        <v>#DIV/0!</v>
      </c>
      <c r="K132" t="e">
        <f>B132*SIN(I132)</f>
        <v>#DIV/0!</v>
      </c>
    </row>
    <row r="133" spans="1:11" x14ac:dyDescent="0.25">
      <c r="A133" s="1" t="s">
        <v>335</v>
      </c>
      <c r="B133" s="204"/>
      <c r="C133" s="69" t="s">
        <v>237</v>
      </c>
      <c r="D133" s="54" t="s">
        <v>7</v>
      </c>
      <c r="E133" s="204"/>
      <c r="F133" s="20" t="s">
        <v>8</v>
      </c>
      <c r="G133" s="61"/>
      <c r="I133" s="56">
        <f>RADIANS(E133)</f>
        <v>0</v>
      </c>
      <c r="J133">
        <f>B133*COS(I133)</f>
        <v>0</v>
      </c>
      <c r="K133">
        <f>B133*SIN(I133)</f>
        <v>0</v>
      </c>
    </row>
    <row r="134" spans="1:11" x14ac:dyDescent="0.25">
      <c r="A134" s="1" t="s">
        <v>336</v>
      </c>
      <c r="B134" s="204"/>
      <c r="C134" s="69" t="s">
        <v>237</v>
      </c>
      <c r="D134" s="54" t="s">
        <v>7</v>
      </c>
      <c r="E134" s="204"/>
      <c r="F134" s="20" t="s">
        <v>8</v>
      </c>
      <c r="G134" s="61"/>
      <c r="I134" s="56">
        <f>RADIANS(E134)</f>
        <v>0</v>
      </c>
      <c r="J134">
        <f>B134*COS(I134)</f>
        <v>0</v>
      </c>
      <c r="K134">
        <f>B134*SIN(I134)</f>
        <v>0</v>
      </c>
    </row>
    <row r="135" spans="1:11" x14ac:dyDescent="0.25">
      <c r="A135" s="1" t="s">
        <v>337</v>
      </c>
      <c r="B135" s="204"/>
      <c r="C135" s="69" t="s">
        <v>237</v>
      </c>
      <c r="D135" s="54" t="s">
        <v>7</v>
      </c>
      <c r="E135" s="204"/>
      <c r="F135" s="20" t="s">
        <v>8</v>
      </c>
      <c r="G135" s="61"/>
      <c r="I135" s="56">
        <f>RADIANS(E135)</f>
        <v>0</v>
      </c>
      <c r="J135">
        <f>B135*COS(I135)</f>
        <v>0</v>
      </c>
      <c r="K135">
        <f>B135*SIN(I135)</f>
        <v>0</v>
      </c>
    </row>
    <row r="136" spans="1:11" ht="18" x14ac:dyDescent="0.35">
      <c r="A136" s="1" t="s">
        <v>382</v>
      </c>
      <c r="B136" s="205" t="e">
        <f>SQRT(J136^2+K136^2)</f>
        <v>#N/A</v>
      </c>
      <c r="C136" s="69" t="s">
        <v>237</v>
      </c>
      <c r="D136" s="54" t="s">
        <v>7</v>
      </c>
      <c r="E136" s="19" t="e">
        <f>DEGREES(ATAN2(J136,K136))</f>
        <v>#N/A</v>
      </c>
      <c r="F136" s="20" t="s">
        <v>8</v>
      </c>
      <c r="G136" s="61"/>
      <c r="J136" t="e">
        <f>J128+J129+J131+J132+J133+J134+J135</f>
        <v>#N/A</v>
      </c>
      <c r="K136" t="e">
        <f>K128+K129+K131+K132+K133+K134+K135</f>
        <v>#N/A</v>
      </c>
    </row>
    <row r="139" spans="1:11" ht="18" x14ac:dyDescent="0.35">
      <c r="A139" s="71" t="s">
        <v>312</v>
      </c>
      <c r="B139" s="72" t="s">
        <v>5</v>
      </c>
      <c r="C139" s="72" t="str">
        <f>C115</f>
        <v>W1</v>
      </c>
      <c r="D139" s="151"/>
      <c r="E139" s="151"/>
      <c r="F139" s="151"/>
      <c r="G139" s="151"/>
      <c r="H139" s="116"/>
    </row>
    <row r="140" spans="1:11" ht="18" x14ac:dyDescent="0.35">
      <c r="A140" s="1" t="s">
        <v>166</v>
      </c>
      <c r="B140" s="2">
        <v>400</v>
      </c>
      <c r="C140" s="25" t="s">
        <v>12</v>
      </c>
      <c r="D140" s="26"/>
      <c r="E140" s="26"/>
      <c r="F140" s="26"/>
      <c r="G140" s="26"/>
      <c r="H140" s="27"/>
    </row>
    <row r="141" spans="1:11" ht="18" x14ac:dyDescent="0.35">
      <c r="A141" s="16" t="s">
        <v>396</v>
      </c>
      <c r="B141" s="196" t="e">
        <f>B124</f>
        <v>#N/A</v>
      </c>
      <c r="C141" s="9" t="s">
        <v>237</v>
      </c>
      <c r="D141" s="4"/>
      <c r="E141" s="4"/>
      <c r="F141" s="4"/>
      <c r="G141" s="4"/>
      <c r="H141" s="21"/>
    </row>
    <row r="142" spans="1:11" ht="18" x14ac:dyDescent="0.35">
      <c r="A142" s="54" t="s">
        <v>395</v>
      </c>
      <c r="B142" s="156" t="e">
        <f>B140/(SQRT(3)*B141)</f>
        <v>#N/A</v>
      </c>
      <c r="C142" s="43" t="s">
        <v>80</v>
      </c>
      <c r="D142" s="48"/>
      <c r="E142" s="48"/>
      <c r="F142" s="48"/>
      <c r="G142" s="48"/>
      <c r="H142" s="61"/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63"/>
  <sheetViews>
    <sheetView workbookViewId="0">
      <selection activeCell="A84" sqref="A84"/>
    </sheetView>
  </sheetViews>
  <sheetFormatPr defaultRowHeight="15" x14ac:dyDescent="0.25"/>
  <cols>
    <col min="1" max="1" width="34.85546875" customWidth="1"/>
    <col min="2" max="6" width="10.7109375" customWidth="1"/>
    <col min="7" max="7" width="5.7109375" customWidth="1"/>
  </cols>
  <sheetData>
    <row r="3" spans="1:15" x14ac:dyDescent="0.25">
      <c r="A3" t="s">
        <v>169</v>
      </c>
    </row>
    <row r="5" spans="1:15" x14ac:dyDescent="0.25">
      <c r="A5" s="177" t="s">
        <v>265</v>
      </c>
      <c r="B5" s="175"/>
      <c r="C5" s="176"/>
      <c r="D5" s="83"/>
      <c r="E5" s="83"/>
      <c r="F5" s="83"/>
      <c r="G5" s="84"/>
      <c r="H5" t="s">
        <v>493</v>
      </c>
    </row>
    <row r="8" spans="1:15" x14ac:dyDescent="0.25">
      <c r="A8" s="71" t="s">
        <v>79</v>
      </c>
      <c r="B8" s="72" t="s">
        <v>5</v>
      </c>
      <c r="C8" s="74" t="s">
        <v>498</v>
      </c>
      <c r="D8" s="74"/>
      <c r="E8" s="74"/>
      <c r="F8" s="74"/>
      <c r="G8" s="117"/>
      <c r="H8" t="s">
        <v>174</v>
      </c>
    </row>
    <row r="9" spans="1:15" ht="18" x14ac:dyDescent="0.35">
      <c r="A9" s="54" t="s">
        <v>1</v>
      </c>
      <c r="B9" s="209"/>
      <c r="C9" s="249" t="s">
        <v>2</v>
      </c>
      <c r="D9" s="250"/>
      <c r="E9" s="26"/>
      <c r="F9" s="26"/>
      <c r="G9" s="27"/>
    </row>
    <row r="10" spans="1:15" ht="18" x14ac:dyDescent="0.35">
      <c r="A10" s="1" t="s">
        <v>226</v>
      </c>
      <c r="B10" s="35"/>
      <c r="C10" s="249" t="s">
        <v>80</v>
      </c>
      <c r="D10" s="250"/>
      <c r="E10" s="26"/>
      <c r="F10" s="26"/>
      <c r="G10" s="27"/>
    </row>
    <row r="11" spans="1:15" ht="18" x14ac:dyDescent="0.35">
      <c r="A11" s="1" t="s">
        <v>81</v>
      </c>
      <c r="B11" s="218"/>
      <c r="C11" s="251" t="s">
        <v>80</v>
      </c>
      <c r="D11" s="252"/>
      <c r="E11" s="26"/>
      <c r="F11" s="26"/>
      <c r="G11" s="27"/>
    </row>
    <row r="12" spans="1:15" ht="18" x14ac:dyDescent="0.35">
      <c r="A12" s="3" t="s">
        <v>229</v>
      </c>
      <c r="B12" s="150" t="s">
        <v>223</v>
      </c>
      <c r="C12" s="94"/>
      <c r="D12" s="94" t="str">
        <f>IF(B11&gt;=B10,"OK","Ikke OK")</f>
        <v>OK</v>
      </c>
      <c r="E12" s="25"/>
      <c r="F12" s="26"/>
      <c r="G12" s="27"/>
    </row>
    <row r="13" spans="1:15" x14ac:dyDescent="0.25">
      <c r="A13" s="3" t="s">
        <v>3</v>
      </c>
      <c r="B13" s="28" t="s">
        <v>385</v>
      </c>
      <c r="C13" s="46" t="s">
        <v>386</v>
      </c>
      <c r="D13" s="29"/>
      <c r="E13" s="1" t="s">
        <v>82</v>
      </c>
      <c r="F13" s="28" t="s">
        <v>83</v>
      </c>
      <c r="G13" s="29"/>
      <c r="O13" t="s">
        <v>116</v>
      </c>
    </row>
    <row r="14" spans="1:15" ht="18" x14ac:dyDescent="0.35">
      <c r="A14" s="1" t="s">
        <v>84</v>
      </c>
      <c r="B14" s="174">
        <v>225</v>
      </c>
      <c r="C14" s="253" t="s">
        <v>2</v>
      </c>
      <c r="D14" s="254"/>
      <c r="E14" s="26"/>
      <c r="F14" s="26"/>
      <c r="G14" s="27"/>
      <c r="H14" t="s">
        <v>418</v>
      </c>
    </row>
    <row r="15" spans="1:15" ht="18" x14ac:dyDescent="0.35">
      <c r="A15" s="1" t="s">
        <v>228</v>
      </c>
      <c r="B15" s="13">
        <f>B9/B14</f>
        <v>0</v>
      </c>
      <c r="C15" s="31" t="s">
        <v>85</v>
      </c>
      <c r="D15" s="119"/>
      <c r="E15" s="25"/>
      <c r="F15" s="26"/>
      <c r="G15" s="27"/>
    </row>
    <row r="16" spans="1:15" ht="18" x14ac:dyDescent="0.35">
      <c r="A16" s="1" t="s">
        <v>230</v>
      </c>
      <c r="B16" s="59">
        <f>B14*D15</f>
        <v>0</v>
      </c>
      <c r="C16" s="80" t="s">
        <v>2</v>
      </c>
      <c r="D16" s="95"/>
      <c r="E16" s="26"/>
      <c r="F16" s="26"/>
      <c r="G16" s="27"/>
    </row>
    <row r="17" spans="1:9" ht="18" x14ac:dyDescent="0.35">
      <c r="A17" s="3" t="s">
        <v>227</v>
      </c>
      <c r="B17" s="96" t="str">
        <f>IF(B16&gt;=B9,"OK","Ikke OK")</f>
        <v>OK</v>
      </c>
      <c r="C17" s="3"/>
      <c r="D17" s="41"/>
      <c r="E17" s="4"/>
      <c r="F17" s="4"/>
      <c r="G17" s="21"/>
    </row>
    <row r="18" spans="1:9" ht="18" x14ac:dyDescent="0.35">
      <c r="A18" s="1" t="s">
        <v>362</v>
      </c>
      <c r="B18" s="15"/>
      <c r="C18" s="3" t="s">
        <v>2</v>
      </c>
      <c r="D18" s="4"/>
      <c r="E18" s="4"/>
      <c r="F18" s="4"/>
      <c r="G18" s="21"/>
    </row>
    <row r="21" spans="1:9" x14ac:dyDescent="0.25">
      <c r="A21" s="71" t="s">
        <v>38</v>
      </c>
      <c r="B21" s="78" t="s">
        <v>5</v>
      </c>
      <c r="C21" s="78" t="str">
        <f>$C$8</f>
        <v>W1.1</v>
      </c>
      <c r="D21" s="78"/>
      <c r="E21" s="78"/>
      <c r="F21" s="72"/>
      <c r="G21" s="73"/>
      <c r="I21" t="s">
        <v>90</v>
      </c>
    </row>
    <row r="22" spans="1:9" x14ac:dyDescent="0.25">
      <c r="A22" s="109" t="s">
        <v>39</v>
      </c>
      <c r="B22" s="30"/>
      <c r="C22" s="30">
        <v>90</v>
      </c>
      <c r="D22" s="20" t="s">
        <v>8</v>
      </c>
      <c r="E22" s="48"/>
      <c r="F22" s="48"/>
      <c r="G22" s="61"/>
    </row>
    <row r="23" spans="1:9" ht="18" x14ac:dyDescent="0.35">
      <c r="A23" s="1" t="s">
        <v>40</v>
      </c>
      <c r="B23" s="1" t="s">
        <v>41</v>
      </c>
      <c r="C23" s="30" t="s">
        <v>42</v>
      </c>
      <c r="D23" s="31" t="s">
        <v>43</v>
      </c>
      <c r="E23" s="32"/>
      <c r="F23" s="31" t="s">
        <v>44</v>
      </c>
      <c r="G23" s="32"/>
    </row>
    <row r="24" spans="1:9" x14ac:dyDescent="0.25">
      <c r="A24" s="1" t="s">
        <v>45</v>
      </c>
      <c r="B24" s="1" t="s">
        <v>41</v>
      </c>
      <c r="C24" s="30" t="s">
        <v>46</v>
      </c>
      <c r="D24" s="3"/>
      <c r="E24" s="4"/>
      <c r="F24" s="4"/>
      <c r="G24" s="21"/>
    </row>
    <row r="25" spans="1:9" x14ac:dyDescent="0.25">
      <c r="A25" s="1" t="s">
        <v>47</v>
      </c>
      <c r="B25" s="1" t="s">
        <v>41</v>
      </c>
      <c r="C25" s="5" t="s">
        <v>102</v>
      </c>
      <c r="D25" s="3"/>
      <c r="E25" s="4"/>
      <c r="F25" s="4"/>
      <c r="G25" s="21"/>
      <c r="I25" t="s">
        <v>48</v>
      </c>
    </row>
    <row r="26" spans="1:9" ht="18" x14ac:dyDescent="0.35">
      <c r="A26" s="1" t="s">
        <v>49</v>
      </c>
      <c r="B26" s="1" t="s">
        <v>41</v>
      </c>
      <c r="C26" s="33" t="s">
        <v>102</v>
      </c>
      <c r="D26" s="15">
        <v>1</v>
      </c>
      <c r="E26" s="4"/>
      <c r="F26" s="4"/>
      <c r="G26" s="21"/>
    </row>
    <row r="27" spans="1:9" x14ac:dyDescent="0.25">
      <c r="A27" s="1" t="s">
        <v>50</v>
      </c>
      <c r="B27" s="1" t="s">
        <v>41</v>
      </c>
      <c r="C27" s="33" t="s">
        <v>102</v>
      </c>
      <c r="D27" s="15">
        <v>1</v>
      </c>
      <c r="E27" s="4"/>
      <c r="F27" s="4"/>
      <c r="G27" s="21"/>
    </row>
    <row r="28" spans="1:9" ht="18" x14ac:dyDescent="0.35">
      <c r="A28" s="1" t="s">
        <v>411</v>
      </c>
      <c r="B28" s="1" t="s">
        <v>41</v>
      </c>
      <c r="C28" s="33" t="s">
        <v>102</v>
      </c>
      <c r="D28" s="15">
        <v>1</v>
      </c>
      <c r="E28" s="4"/>
      <c r="F28" s="4"/>
      <c r="G28" s="21"/>
      <c r="H28" s="33" t="s">
        <v>413</v>
      </c>
    </row>
    <row r="29" spans="1:9" ht="18" x14ac:dyDescent="0.35">
      <c r="A29" s="1" t="s">
        <v>51</v>
      </c>
      <c r="B29" s="1" t="s">
        <v>41</v>
      </c>
      <c r="C29" s="34" t="s">
        <v>102</v>
      </c>
      <c r="D29" s="15">
        <v>1</v>
      </c>
      <c r="E29" s="4"/>
      <c r="F29" s="4"/>
      <c r="G29" s="21"/>
      <c r="H29" s="34" t="s">
        <v>52</v>
      </c>
    </row>
    <row r="30" spans="1:9" ht="18" x14ac:dyDescent="0.35">
      <c r="A30" s="1" t="s">
        <v>53</v>
      </c>
      <c r="B30" s="3" t="s">
        <v>41</v>
      </c>
      <c r="C30" s="33" t="s">
        <v>102</v>
      </c>
      <c r="D30" s="15">
        <v>1</v>
      </c>
      <c r="E30" s="26"/>
      <c r="F30" s="26"/>
      <c r="G30" s="27"/>
    </row>
    <row r="31" spans="1:9" ht="18" x14ac:dyDescent="0.35">
      <c r="A31" s="1" t="s">
        <v>54</v>
      </c>
      <c r="B31" s="3" t="s">
        <v>41</v>
      </c>
      <c r="C31" s="2" t="s">
        <v>102</v>
      </c>
      <c r="D31" s="15">
        <v>1</v>
      </c>
      <c r="E31" s="26"/>
      <c r="F31" s="26"/>
      <c r="G31" s="27"/>
    </row>
    <row r="32" spans="1:9" ht="18" x14ac:dyDescent="0.35">
      <c r="A32" s="1" t="s">
        <v>1</v>
      </c>
      <c r="B32" s="227">
        <f>$B$9</f>
        <v>0</v>
      </c>
      <c r="C32" s="3" t="s">
        <v>2</v>
      </c>
      <c r="D32" s="4"/>
      <c r="E32" s="4"/>
      <c r="F32" s="4"/>
      <c r="G32" s="21"/>
    </row>
    <row r="33" spans="1:10" ht="18" x14ac:dyDescent="0.35">
      <c r="A33" s="1" t="s">
        <v>91</v>
      </c>
      <c r="B33" s="228">
        <f>$B$16</f>
        <v>0</v>
      </c>
      <c r="C33" s="3" t="s">
        <v>2</v>
      </c>
      <c r="D33" s="4"/>
      <c r="E33" s="4"/>
      <c r="F33" s="4"/>
      <c r="G33" s="21"/>
    </row>
    <row r="34" spans="1:10" ht="18" x14ac:dyDescent="0.35">
      <c r="A34" s="36" t="s">
        <v>412</v>
      </c>
      <c r="B34" s="37">
        <f>B33/(D27*D26*D28*D29*D30*D31)</f>
        <v>0</v>
      </c>
      <c r="C34" s="3" t="s">
        <v>2</v>
      </c>
      <c r="D34" s="4"/>
      <c r="E34" s="4"/>
      <c r="F34" s="4"/>
      <c r="G34" s="21"/>
      <c r="I34" t="s">
        <v>172</v>
      </c>
    </row>
    <row r="35" spans="1:10" x14ac:dyDescent="0.25">
      <c r="A35" s="36" t="s">
        <v>415</v>
      </c>
      <c r="B35" s="35">
        <v>1</v>
      </c>
      <c r="C35" s="3"/>
      <c r="D35" s="4"/>
      <c r="E35" s="4"/>
      <c r="F35" s="4"/>
      <c r="G35" s="21"/>
    </row>
    <row r="36" spans="1:10" ht="18" x14ac:dyDescent="0.35">
      <c r="A36" s="1" t="s">
        <v>416</v>
      </c>
      <c r="B36" s="37">
        <f>B34/B35</f>
        <v>0</v>
      </c>
      <c r="C36" s="3" t="s">
        <v>2</v>
      </c>
      <c r="D36" s="4"/>
      <c r="E36" s="4"/>
      <c r="F36" s="4"/>
      <c r="G36" s="21"/>
    </row>
    <row r="37" spans="1:10" ht="18.75" x14ac:dyDescent="0.35">
      <c r="A37" s="1" t="s">
        <v>417</v>
      </c>
      <c r="B37" s="218"/>
      <c r="C37" s="25" t="s">
        <v>2</v>
      </c>
      <c r="D37" s="15"/>
      <c r="E37" s="3" t="s">
        <v>21</v>
      </c>
      <c r="F37" s="19" t="e">
        <f>B34/B37</f>
        <v>#DIV/0!</v>
      </c>
      <c r="G37" s="21" t="s">
        <v>151</v>
      </c>
    </row>
    <row r="38" spans="1:10" x14ac:dyDescent="0.25">
      <c r="A38" s="1" t="s">
        <v>304</v>
      </c>
      <c r="B38" s="50">
        <f>B35</f>
        <v>1</v>
      </c>
      <c r="C38" s="46" t="s">
        <v>151</v>
      </c>
      <c r="D38" s="46"/>
      <c r="E38" s="46"/>
      <c r="F38" s="235">
        <f>B37</f>
        <v>0</v>
      </c>
      <c r="G38" s="52" t="s">
        <v>2</v>
      </c>
      <c r="H38">
        <f>B38*F38</f>
        <v>0</v>
      </c>
    </row>
    <row r="39" spans="1:10" ht="15.6" customHeight="1" x14ac:dyDescent="0.35">
      <c r="A39" s="3" t="s">
        <v>419</v>
      </c>
      <c r="B39" s="108" t="s">
        <v>222</v>
      </c>
      <c r="C39" s="46"/>
      <c r="D39" s="29" t="str">
        <f>IF(I39+J39=2,"OK","Ikke OK")</f>
        <v>OK</v>
      </c>
      <c r="E39" s="51"/>
      <c r="F39" s="4"/>
      <c r="G39" s="21"/>
      <c r="I39" s="53">
        <f>IF(B32&lt;=B33,1,0)</f>
        <v>1</v>
      </c>
      <c r="J39" s="53" t="str">
        <f>IF(B33&lt;=H38,"1","0")</f>
        <v>1</v>
      </c>
    </row>
    <row r="40" spans="1:10" ht="18" hidden="1" x14ac:dyDescent="0.35">
      <c r="A40" s="31" t="s">
        <v>233</v>
      </c>
      <c r="B40" s="110">
        <f>$B$9/(B38*D26)</f>
        <v>0</v>
      </c>
      <c r="C40" s="111">
        <f>B40</f>
        <v>0</v>
      </c>
      <c r="D40" s="112"/>
      <c r="E40" s="26"/>
      <c r="F40" s="26"/>
      <c r="G40" s="27"/>
    </row>
    <row r="41" spans="1:10" x14ac:dyDescent="0.25">
      <c r="A41" s="77" t="s">
        <v>55</v>
      </c>
      <c r="B41" s="78" t="s">
        <v>5</v>
      </c>
      <c r="C41" s="78" t="str">
        <f>C21</f>
        <v>W1.1</v>
      </c>
      <c r="D41" s="78"/>
      <c r="E41" s="78"/>
      <c r="F41" s="72"/>
      <c r="G41" s="73"/>
      <c r="I41" t="s">
        <v>170</v>
      </c>
    </row>
    <row r="42" spans="1:10" x14ac:dyDescent="0.25">
      <c r="A42" s="92" t="s">
        <v>56</v>
      </c>
      <c r="B42" s="113" t="s">
        <v>41</v>
      </c>
      <c r="C42" s="114" t="s">
        <v>57</v>
      </c>
      <c r="D42" s="92"/>
      <c r="E42" s="93"/>
      <c r="F42" s="48"/>
      <c r="G42" s="61"/>
      <c r="I42" t="s">
        <v>171</v>
      </c>
    </row>
    <row r="43" spans="1:10" ht="17.25" x14ac:dyDescent="0.25">
      <c r="A43" s="40" t="s">
        <v>58</v>
      </c>
      <c r="B43" s="229">
        <f>D37</f>
        <v>0</v>
      </c>
      <c r="C43" s="39" t="s">
        <v>21</v>
      </c>
      <c r="D43" s="41"/>
      <c r="E43" s="41"/>
      <c r="F43" s="4"/>
      <c r="G43" s="21"/>
      <c r="I43" t="s">
        <v>219</v>
      </c>
    </row>
    <row r="44" spans="1:10" x14ac:dyDescent="0.25">
      <c r="A44" s="40" t="s">
        <v>59</v>
      </c>
      <c r="B44" s="229">
        <f>B22</f>
        <v>0</v>
      </c>
      <c r="C44" s="39"/>
      <c r="D44" s="41"/>
      <c r="E44" s="41"/>
      <c r="F44" s="4"/>
      <c r="G44" s="21"/>
      <c r="I44">
        <f>IF(B44=B45,1,0)</f>
        <v>1</v>
      </c>
    </row>
    <row r="45" spans="1:10" x14ac:dyDescent="0.25">
      <c r="A45" s="153" t="s">
        <v>60</v>
      </c>
      <c r="B45" s="152"/>
      <c r="C45" s="80"/>
      <c r="D45" s="95"/>
      <c r="E45" s="95"/>
      <c r="F45" s="26"/>
      <c r="G45" s="27"/>
    </row>
    <row r="46" spans="1:10" x14ac:dyDescent="0.25">
      <c r="A46" s="101" t="s">
        <v>61</v>
      </c>
      <c r="B46" s="102" t="str">
        <f>IF(B44=B45,"Ja","Nej")</f>
        <v>Ja</v>
      </c>
      <c r="C46" s="102"/>
      <c r="D46" s="102"/>
      <c r="E46" s="102"/>
      <c r="F46" s="103"/>
      <c r="G46" s="104"/>
    </row>
    <row r="47" spans="1:10" x14ac:dyDescent="0.25">
      <c r="A47" s="54" t="s">
        <v>62</v>
      </c>
      <c r="B47" s="30">
        <v>1</v>
      </c>
      <c r="C47" s="43"/>
      <c r="D47" s="48"/>
      <c r="E47" s="48"/>
      <c r="F47" s="48"/>
      <c r="G47" s="61"/>
      <c r="I47" t="s">
        <v>63</v>
      </c>
    </row>
    <row r="48" spans="1:10" ht="17.25" x14ac:dyDescent="0.25">
      <c r="A48" s="1" t="s">
        <v>64</v>
      </c>
      <c r="B48" s="10" t="str">
        <f>IF(I48=1,"Ja","Nej")</f>
        <v>Ja</v>
      </c>
      <c r="C48" s="43" t="s">
        <v>20</v>
      </c>
      <c r="D48" s="10">
        <f>B43</f>
        <v>0</v>
      </c>
      <c r="E48" s="3" t="s">
        <v>21</v>
      </c>
      <c r="F48" s="4"/>
      <c r="G48" s="21"/>
      <c r="I48">
        <f>IF(B43&lt;=15,1,0)</f>
        <v>1</v>
      </c>
    </row>
    <row r="49" spans="1:10" ht="17.25" x14ac:dyDescent="0.25">
      <c r="A49" s="1" t="s">
        <v>65</v>
      </c>
      <c r="B49" s="44" t="str">
        <f>IF(I49+J49=2,"Ja","Nej")</f>
        <v>Nej</v>
      </c>
      <c r="C49" s="3" t="s">
        <v>66</v>
      </c>
      <c r="D49" s="10">
        <f>16^B47</f>
        <v>16</v>
      </c>
      <c r="E49" s="3" t="s">
        <v>21</v>
      </c>
      <c r="F49" s="4"/>
      <c r="G49" s="21"/>
      <c r="I49" t="str">
        <f>IF(16&lt;B43,"1","0")</f>
        <v>0</v>
      </c>
      <c r="J49" t="str">
        <f>IF(B43&lt;=35,"1","0")</f>
        <v>1</v>
      </c>
    </row>
    <row r="50" spans="1:10" ht="17.25" x14ac:dyDescent="0.25">
      <c r="A50" s="23" t="s">
        <v>67</v>
      </c>
      <c r="B50" s="24" t="str">
        <f>IF(I44+I50=2,"Ja","Nej")</f>
        <v>Nej</v>
      </c>
      <c r="C50" s="25" t="s">
        <v>68</v>
      </c>
      <c r="D50" s="24">
        <f>(B43/2)^B47</f>
        <v>0</v>
      </c>
      <c r="E50" s="25" t="s">
        <v>21</v>
      </c>
      <c r="F50" s="26"/>
      <c r="G50" s="27"/>
      <c r="I50" t="str">
        <f>IF(B43&gt;35,"1","0")</f>
        <v>0</v>
      </c>
    </row>
    <row r="51" spans="1:10" x14ac:dyDescent="0.25">
      <c r="A51" s="105" t="s">
        <v>69</v>
      </c>
      <c r="B51" s="103" t="str">
        <f>IF(I44=0,"Ja","Nej")</f>
        <v>Nej</v>
      </c>
      <c r="C51" s="103"/>
      <c r="D51" s="103"/>
      <c r="E51" s="103"/>
      <c r="F51" s="103"/>
      <c r="G51" s="104"/>
    </row>
    <row r="52" spans="1:10" ht="18" x14ac:dyDescent="0.35">
      <c r="A52" s="54" t="s">
        <v>70</v>
      </c>
      <c r="B52" s="43" t="s">
        <v>41</v>
      </c>
      <c r="C52" s="30" t="s">
        <v>71</v>
      </c>
      <c r="D52" s="81">
        <v>143</v>
      </c>
      <c r="E52" s="48"/>
      <c r="F52" s="48"/>
      <c r="G52" s="61"/>
      <c r="I52" t="s">
        <v>72</v>
      </c>
    </row>
    <row r="53" spans="1:10" ht="18" x14ac:dyDescent="0.35">
      <c r="A53" s="1" t="s">
        <v>73</v>
      </c>
      <c r="B53" s="3" t="s">
        <v>41</v>
      </c>
      <c r="C53" s="34" t="s">
        <v>71</v>
      </c>
      <c r="D53" s="15">
        <v>94</v>
      </c>
      <c r="E53" s="4"/>
      <c r="F53" s="4"/>
      <c r="G53" s="21"/>
      <c r="I53" t="s">
        <v>74</v>
      </c>
    </row>
    <row r="54" spans="1:10" ht="18.75" x14ac:dyDescent="0.35">
      <c r="A54" s="1" t="s">
        <v>64</v>
      </c>
      <c r="B54" s="10" t="str">
        <f>IF(I54=1,"Ja","Nej")</f>
        <v>Ja</v>
      </c>
      <c r="C54" s="1" t="s">
        <v>75</v>
      </c>
      <c r="D54" s="45">
        <f>(D53/D52)*B43</f>
        <v>0</v>
      </c>
      <c r="E54" s="3" t="s">
        <v>21</v>
      </c>
      <c r="F54" s="4"/>
      <c r="G54" s="21"/>
      <c r="I54">
        <f>IF(B43&lt;=15,1,0)</f>
        <v>1</v>
      </c>
    </row>
    <row r="55" spans="1:10" ht="18.75" x14ac:dyDescent="0.35">
      <c r="A55" s="1" t="s">
        <v>65</v>
      </c>
      <c r="B55" s="44" t="str">
        <f>IF(I55+J55=2,"Ja","Nej")</f>
        <v>Nej</v>
      </c>
      <c r="C55" s="1" t="s">
        <v>76</v>
      </c>
      <c r="D55" s="45">
        <f>(D53/D52)*16</f>
        <v>10.517482517482517</v>
      </c>
      <c r="E55" s="3" t="s">
        <v>21</v>
      </c>
      <c r="F55" s="4"/>
      <c r="G55" s="21"/>
      <c r="I55" t="str">
        <f>IF(16&lt;B43,"1","0")</f>
        <v>0</v>
      </c>
      <c r="J55" t="str">
        <f>IF(B43&lt;=35,"1","0")</f>
        <v>1</v>
      </c>
    </row>
    <row r="56" spans="1:10" ht="18.75" x14ac:dyDescent="0.35">
      <c r="A56" s="1" t="s">
        <v>67</v>
      </c>
      <c r="B56" s="10" t="str">
        <f>IF(I56=1,"Ja","Nej")</f>
        <v>Nej</v>
      </c>
      <c r="C56" s="1" t="s">
        <v>77</v>
      </c>
      <c r="D56" s="45">
        <f>(D53/D52)*(B43/2)</f>
        <v>0</v>
      </c>
      <c r="E56" s="3" t="s">
        <v>21</v>
      </c>
      <c r="F56" s="4"/>
      <c r="G56" s="21"/>
      <c r="I56">
        <f>IF(B43&gt;35,1,0)</f>
        <v>0</v>
      </c>
    </row>
    <row r="57" spans="1:10" x14ac:dyDescent="0.25">
      <c r="A57" s="1" t="s">
        <v>78</v>
      </c>
      <c r="B57" s="28">
        <f>B38</f>
        <v>1</v>
      </c>
      <c r="C57" s="46" t="s">
        <v>151</v>
      </c>
      <c r="D57" s="46" t="s">
        <v>499</v>
      </c>
      <c r="E57" s="46"/>
      <c r="F57" s="46"/>
      <c r="G57" s="29"/>
    </row>
    <row r="58" spans="1:10" x14ac:dyDescent="0.25">
      <c r="A58" s="32" t="s">
        <v>141</v>
      </c>
    </row>
    <row r="60" spans="1:10" ht="18" x14ac:dyDescent="0.35">
      <c r="A60" s="71" t="s">
        <v>366</v>
      </c>
      <c r="B60" s="72" t="s">
        <v>261</v>
      </c>
      <c r="C60" s="72" t="str">
        <f>C41</f>
        <v>W1.1</v>
      </c>
      <c r="D60" s="72"/>
      <c r="E60" s="72"/>
      <c r="F60" s="72"/>
      <c r="G60" s="116"/>
      <c r="H60" t="s">
        <v>345</v>
      </c>
      <c r="I60" t="s">
        <v>220</v>
      </c>
      <c r="J60" t="s">
        <v>346</v>
      </c>
    </row>
    <row r="61" spans="1:10" x14ac:dyDescent="0.25">
      <c r="A61" s="54" t="s">
        <v>185</v>
      </c>
      <c r="B61" s="49"/>
      <c r="C61" s="3" t="s">
        <v>184</v>
      </c>
      <c r="D61" s="4"/>
      <c r="E61" s="4"/>
      <c r="F61" s="4"/>
      <c r="G61" s="21"/>
      <c r="H61" s="56">
        <f>RADIANS(E67)</f>
        <v>0</v>
      </c>
      <c r="I61">
        <f>B67*COS(H61)</f>
        <v>0</v>
      </c>
      <c r="J61">
        <f>B67*SIN(H61)</f>
        <v>0</v>
      </c>
    </row>
    <row r="62" spans="1:10" x14ac:dyDescent="0.25">
      <c r="A62" s="54" t="s">
        <v>376</v>
      </c>
      <c r="B62" s="226">
        <f>B38</f>
        <v>1</v>
      </c>
      <c r="C62" s="3" t="s">
        <v>130</v>
      </c>
      <c r="D62" s="4"/>
      <c r="E62" s="4"/>
      <c r="F62" s="4"/>
      <c r="G62" s="21"/>
      <c r="H62" s="56">
        <f>RADIANS(E68)</f>
        <v>1.5707963267948966</v>
      </c>
      <c r="I62">
        <f>B68*COS(H62)</f>
        <v>0</v>
      </c>
      <c r="J62">
        <f>B68*SIN(H62)</f>
        <v>0</v>
      </c>
    </row>
    <row r="63" spans="1:10" x14ac:dyDescent="0.25">
      <c r="A63" s="54" t="s">
        <v>55</v>
      </c>
      <c r="B63" s="49">
        <v>1</v>
      </c>
      <c r="C63" s="3"/>
      <c r="D63" s="4"/>
      <c r="E63" s="4"/>
      <c r="F63" s="4"/>
      <c r="G63" s="21"/>
      <c r="H63" s="56"/>
    </row>
    <row r="64" spans="1:10" x14ac:dyDescent="0.25">
      <c r="A64" s="69" t="s">
        <v>278</v>
      </c>
      <c r="B64" s="81">
        <f>IF(H65=1,1.8,1.5)</f>
        <v>1.8</v>
      </c>
      <c r="C64" s="3"/>
      <c r="D64" s="4"/>
      <c r="E64" s="4"/>
      <c r="F64" s="4"/>
      <c r="G64" s="21"/>
      <c r="H64" s="56"/>
      <c r="I64">
        <f>I61+I62</f>
        <v>0</v>
      </c>
      <c r="J64">
        <f>J61+J62</f>
        <v>0</v>
      </c>
    </row>
    <row r="65" spans="1:10" x14ac:dyDescent="0.25">
      <c r="A65" s="1" t="s">
        <v>238</v>
      </c>
      <c r="B65" s="15"/>
      <c r="C65" s="3" t="s">
        <v>279</v>
      </c>
      <c r="D65" s="4"/>
      <c r="E65" s="4"/>
      <c r="F65" s="4"/>
      <c r="G65" s="21"/>
      <c r="H65">
        <f>IF(C22=90,1,0)</f>
        <v>1</v>
      </c>
    </row>
    <row r="66" spans="1:10" x14ac:dyDescent="0.25">
      <c r="A66" s="1" t="s">
        <v>239</v>
      </c>
      <c r="B66" s="225"/>
      <c r="C66" s="3" t="s">
        <v>279</v>
      </c>
      <c r="D66" s="4"/>
      <c r="E66" s="160"/>
      <c r="F66" s="160"/>
      <c r="G66" s="21"/>
      <c r="H66" t="s">
        <v>345</v>
      </c>
      <c r="I66" t="s">
        <v>220</v>
      </c>
      <c r="J66" t="s">
        <v>346</v>
      </c>
    </row>
    <row r="67" spans="1:10" x14ac:dyDescent="0.25">
      <c r="A67" s="1" t="s">
        <v>355</v>
      </c>
      <c r="B67" s="10">
        <f>B61*B65</f>
        <v>0</v>
      </c>
      <c r="C67" s="54" t="s">
        <v>237</v>
      </c>
      <c r="D67" s="54" t="s">
        <v>7</v>
      </c>
      <c r="E67" s="49">
        <v>0</v>
      </c>
      <c r="F67" s="9" t="s">
        <v>8</v>
      </c>
      <c r="G67" s="21"/>
      <c r="H67" s="56">
        <f>RADIANS(E67)</f>
        <v>0</v>
      </c>
      <c r="I67">
        <f>B64*(B67*COS(H67))</f>
        <v>0</v>
      </c>
      <c r="J67">
        <f>B67*SIN(H67)</f>
        <v>0</v>
      </c>
    </row>
    <row r="68" spans="1:10" x14ac:dyDescent="0.25">
      <c r="A68" s="1" t="s">
        <v>356</v>
      </c>
      <c r="B68" s="10">
        <f>B61*B66</f>
        <v>0</v>
      </c>
      <c r="C68" s="1" t="s">
        <v>237</v>
      </c>
      <c r="D68" s="54" t="s">
        <v>7</v>
      </c>
      <c r="E68" s="2">
        <v>90</v>
      </c>
      <c r="F68" s="9" t="s">
        <v>8</v>
      </c>
      <c r="G68" s="21"/>
      <c r="H68" s="56">
        <f>RADIANS(E68)</f>
        <v>1.5707963267948966</v>
      </c>
      <c r="I68">
        <f>B68*COS(H68)</f>
        <v>0</v>
      </c>
      <c r="J68">
        <f>B68*SIN(H68)</f>
        <v>0</v>
      </c>
    </row>
    <row r="69" spans="1:10" ht="18" x14ac:dyDescent="0.35">
      <c r="A69" s="1" t="s">
        <v>377</v>
      </c>
      <c r="B69" s="205">
        <f>SQRT(I64^2+J64^2)</f>
        <v>0</v>
      </c>
      <c r="C69" s="1" t="s">
        <v>237</v>
      </c>
      <c r="D69" s="54" t="s">
        <v>7</v>
      </c>
      <c r="E69" s="19" t="e">
        <f>DEGREES(ATAN2(I64,J64))</f>
        <v>#DIV/0!</v>
      </c>
      <c r="F69" s="9" t="s">
        <v>8</v>
      </c>
      <c r="G69" s="21"/>
      <c r="H69" s="56"/>
      <c r="I69">
        <f>I67+I68</f>
        <v>0</v>
      </c>
      <c r="J69">
        <f>J67+J68</f>
        <v>0</v>
      </c>
    </row>
    <row r="70" spans="1:10" ht="18" x14ac:dyDescent="0.35">
      <c r="A70" s="1" t="s">
        <v>399</v>
      </c>
      <c r="B70" s="205">
        <f>B62*(B63*(SQRT(I69^2+J69^2)))</f>
        <v>0</v>
      </c>
      <c r="C70" s="1" t="s">
        <v>237</v>
      </c>
      <c r="D70" s="1" t="s">
        <v>7</v>
      </c>
      <c r="E70" s="19" t="e">
        <f>DEGREES(ATAN2(I69,J69))</f>
        <v>#DIV/0!</v>
      </c>
      <c r="F70" s="9" t="s">
        <v>8</v>
      </c>
      <c r="G70" s="21"/>
    </row>
    <row r="71" spans="1:10" x14ac:dyDescent="0.25">
      <c r="A71" t="s">
        <v>9</v>
      </c>
      <c r="B71">
        <v>0.08</v>
      </c>
      <c r="E71" s="56"/>
      <c r="F71" s="57"/>
    </row>
    <row r="72" spans="1:10" x14ac:dyDescent="0.25">
      <c r="A72" t="s">
        <v>10</v>
      </c>
      <c r="B72">
        <v>0.15</v>
      </c>
      <c r="E72" s="56"/>
      <c r="F72" s="57"/>
    </row>
    <row r="73" spans="1:10" ht="18" x14ac:dyDescent="0.35">
      <c r="A73" s="71" t="s">
        <v>398</v>
      </c>
      <c r="B73" s="72" t="s">
        <v>261</v>
      </c>
      <c r="C73" s="72" t="str">
        <f>C60</f>
        <v>W1.1</v>
      </c>
      <c r="D73" s="72" t="s">
        <v>425</v>
      </c>
      <c r="E73" s="72"/>
      <c r="F73" s="72"/>
      <c r="G73" s="116"/>
      <c r="H73" t="s">
        <v>345</v>
      </c>
      <c r="I73" t="s">
        <v>220</v>
      </c>
      <c r="J73" t="s">
        <v>346</v>
      </c>
    </row>
    <row r="74" spans="1:10" x14ac:dyDescent="0.25">
      <c r="A74" s="54" t="s">
        <v>185</v>
      </c>
      <c r="B74" s="49">
        <f>B61</f>
        <v>0</v>
      </c>
      <c r="C74" s="3" t="s">
        <v>184</v>
      </c>
      <c r="D74" s="4"/>
      <c r="E74" s="4"/>
      <c r="F74" s="4"/>
      <c r="G74" s="21"/>
      <c r="H74" s="56">
        <f>RADIANS(E79)</f>
        <v>0</v>
      </c>
      <c r="I74">
        <f>B79*COS(H74)</f>
        <v>0</v>
      </c>
      <c r="J74">
        <f>B79*SIN(H74)</f>
        <v>0</v>
      </c>
    </row>
    <row r="75" spans="1:10" x14ac:dyDescent="0.25">
      <c r="A75" s="54" t="s">
        <v>376</v>
      </c>
      <c r="B75" s="226">
        <f>B57</f>
        <v>1</v>
      </c>
      <c r="C75" s="3" t="s">
        <v>130</v>
      </c>
      <c r="D75" s="4"/>
      <c r="E75" s="4"/>
      <c r="F75" s="4"/>
      <c r="G75" s="21"/>
      <c r="H75" s="56">
        <f>RADIANS(E80)</f>
        <v>1.5707963267948966</v>
      </c>
      <c r="I75">
        <f>B80*COS(H75)</f>
        <v>0</v>
      </c>
      <c r="J75">
        <f>B80*SIN(H75)</f>
        <v>0</v>
      </c>
    </row>
    <row r="76" spans="1:10" x14ac:dyDescent="0.25">
      <c r="A76" s="69" t="s">
        <v>278</v>
      </c>
      <c r="B76" s="81">
        <f>B64</f>
        <v>1.8</v>
      </c>
      <c r="C76" s="3"/>
      <c r="D76" s="4"/>
      <c r="E76" s="4"/>
      <c r="F76" s="4"/>
      <c r="G76" s="21"/>
      <c r="H76" s="56"/>
      <c r="I76">
        <f>I74+I75</f>
        <v>0</v>
      </c>
      <c r="J76">
        <f>J74+J75</f>
        <v>0</v>
      </c>
    </row>
    <row r="77" spans="1:10" x14ac:dyDescent="0.25">
      <c r="A77" s="1" t="s">
        <v>238</v>
      </c>
      <c r="B77" s="15"/>
      <c r="C77" s="3" t="s">
        <v>279</v>
      </c>
      <c r="D77" s="4"/>
      <c r="E77" s="4"/>
      <c r="F77" s="4"/>
      <c r="G77" s="21"/>
      <c r="H77">
        <f>IF(B45="AL",1,0)</f>
        <v>0</v>
      </c>
    </row>
    <row r="78" spans="1:10" x14ac:dyDescent="0.25">
      <c r="A78" s="1" t="s">
        <v>239</v>
      </c>
      <c r="B78" s="225"/>
      <c r="C78" s="3" t="s">
        <v>279</v>
      </c>
      <c r="D78" s="4"/>
      <c r="E78" s="160"/>
      <c r="F78" s="160"/>
      <c r="G78" s="21"/>
      <c r="H78" t="s">
        <v>345</v>
      </c>
      <c r="I78" t="s">
        <v>220</v>
      </c>
      <c r="J78" t="s">
        <v>346</v>
      </c>
    </row>
    <row r="79" spans="1:10" x14ac:dyDescent="0.25">
      <c r="A79" s="1" t="s">
        <v>355</v>
      </c>
      <c r="B79" s="10">
        <f>B74*B77</f>
        <v>0</v>
      </c>
      <c r="C79" s="54" t="s">
        <v>237</v>
      </c>
      <c r="D79" s="54" t="s">
        <v>7</v>
      </c>
      <c r="E79" s="49">
        <v>0</v>
      </c>
      <c r="F79" s="9" t="s">
        <v>8</v>
      </c>
      <c r="G79" s="21"/>
      <c r="H79" s="56">
        <f>RADIANS(E79)</f>
        <v>0</v>
      </c>
      <c r="I79">
        <f>B76*(B79*COS(H79))</f>
        <v>0</v>
      </c>
      <c r="J79">
        <f>B79*SIN(H79)</f>
        <v>0</v>
      </c>
    </row>
    <row r="80" spans="1:10" x14ac:dyDescent="0.25">
      <c r="A80" s="1" t="s">
        <v>356</v>
      </c>
      <c r="B80" s="10">
        <f>B74*B78</f>
        <v>0</v>
      </c>
      <c r="C80" s="1" t="s">
        <v>237</v>
      </c>
      <c r="D80" s="54" t="s">
        <v>7</v>
      </c>
      <c r="E80" s="2">
        <v>90</v>
      </c>
      <c r="F80" s="9" t="s">
        <v>8</v>
      </c>
      <c r="G80" s="21"/>
      <c r="H80" s="56">
        <f>RADIANS(E80)</f>
        <v>1.5707963267948966</v>
      </c>
      <c r="I80">
        <f>B80*COS(H80)</f>
        <v>0</v>
      </c>
      <c r="J80">
        <f>B80*SIN(H80)</f>
        <v>0</v>
      </c>
    </row>
    <row r="81" spans="1:10" ht="18" x14ac:dyDescent="0.35">
      <c r="A81" s="1" t="s">
        <v>377</v>
      </c>
      <c r="B81" s="205">
        <f>SQRT(I76^2+J76^2)</f>
        <v>0</v>
      </c>
      <c r="C81" s="1" t="s">
        <v>237</v>
      </c>
      <c r="D81" s="54" t="s">
        <v>7</v>
      </c>
      <c r="E81" s="19" t="e">
        <f>DEGREES(ATAN2(I76,J76))</f>
        <v>#DIV/0!</v>
      </c>
      <c r="F81" s="9" t="s">
        <v>8</v>
      </c>
      <c r="G81" s="21"/>
      <c r="H81" s="56"/>
      <c r="I81">
        <f>I79+I80</f>
        <v>0</v>
      </c>
      <c r="J81">
        <f>J79+J80</f>
        <v>0</v>
      </c>
    </row>
    <row r="82" spans="1:10" ht="18" x14ac:dyDescent="0.35">
      <c r="A82" s="1" t="s">
        <v>390</v>
      </c>
      <c r="B82" s="205">
        <f>B75*(SQRT(I81^2+J81^2))</f>
        <v>0</v>
      </c>
      <c r="C82" s="1" t="s">
        <v>237</v>
      </c>
      <c r="D82" s="1" t="s">
        <v>7</v>
      </c>
      <c r="E82" s="19" t="e">
        <f>DEGREES(ATAN2(I81,J81))</f>
        <v>#DIV/0!</v>
      </c>
      <c r="F82" s="9" t="s">
        <v>8</v>
      </c>
      <c r="G82" s="21"/>
    </row>
    <row r="84" spans="1:10" x14ac:dyDescent="0.25">
      <c r="A84" t="s">
        <v>504</v>
      </c>
    </row>
    <row r="85" spans="1:10" ht="18" x14ac:dyDescent="0.35">
      <c r="A85" s="71" t="s">
        <v>379</v>
      </c>
      <c r="B85" s="72" t="s">
        <v>5</v>
      </c>
      <c r="C85" s="72" t="str">
        <f>C73</f>
        <v>W1.1</v>
      </c>
      <c r="D85" s="72"/>
      <c r="E85" s="72"/>
      <c r="F85" s="72"/>
      <c r="G85" s="73"/>
      <c r="H85" t="s">
        <v>345</v>
      </c>
      <c r="I85" t="s">
        <v>220</v>
      </c>
      <c r="J85" t="s">
        <v>346</v>
      </c>
    </row>
    <row r="86" spans="1:10" ht="18" x14ac:dyDescent="0.35">
      <c r="A86" s="54" t="s">
        <v>347</v>
      </c>
      <c r="B86" s="197" t="e">
        <f>IM!$B$33</f>
        <v>#N/A</v>
      </c>
      <c r="C86" s="69" t="s">
        <v>237</v>
      </c>
      <c r="D86" s="54" t="s">
        <v>7</v>
      </c>
      <c r="E86" s="184" t="e">
        <f>IM!$E$33</f>
        <v>#N/A</v>
      </c>
      <c r="F86" s="20" t="s">
        <v>8</v>
      </c>
      <c r="G86" s="61"/>
      <c r="H86" s="56" t="e">
        <f>RADIANS(E86)</f>
        <v>#N/A</v>
      </c>
      <c r="I86" t="e">
        <f>B86*COS(H86)</f>
        <v>#N/A</v>
      </c>
      <c r="J86" t="e">
        <f>B86*SIN(H86)</f>
        <v>#N/A</v>
      </c>
    </row>
    <row r="87" spans="1:10" ht="18" x14ac:dyDescent="0.35">
      <c r="A87" s="31" t="s">
        <v>348</v>
      </c>
      <c r="B87" s="198" t="e">
        <f>IM!$B$54</f>
        <v>#DIV/0!</v>
      </c>
      <c r="C87" s="199" t="s">
        <v>237</v>
      </c>
      <c r="D87" s="31" t="s">
        <v>7</v>
      </c>
      <c r="E87" s="200" t="e">
        <f>IM!$E$54</f>
        <v>#DIV/0!</v>
      </c>
      <c r="F87" s="201" t="s">
        <v>8</v>
      </c>
      <c r="G87" s="173"/>
      <c r="H87" s="56" t="e">
        <f>RADIANS(E87)</f>
        <v>#DIV/0!</v>
      </c>
      <c r="I87" t="e">
        <f>B87*COS(H87)</f>
        <v>#DIV/0!</v>
      </c>
      <c r="J87" t="e">
        <f>B87*SIN(H87)</f>
        <v>#DIV/0!</v>
      </c>
    </row>
    <row r="88" spans="1:10" ht="18" x14ac:dyDescent="0.35">
      <c r="A88" s="105" t="s">
        <v>383</v>
      </c>
      <c r="B88" s="202"/>
      <c r="C88" s="203"/>
      <c r="D88" s="103"/>
      <c r="E88" s="202"/>
      <c r="F88" s="203"/>
      <c r="G88" s="104"/>
      <c r="H88" s="56"/>
    </row>
    <row r="89" spans="1:10" x14ac:dyDescent="0.25">
      <c r="A89" s="54" t="s">
        <v>303</v>
      </c>
      <c r="B89" s="197"/>
      <c r="C89" s="69" t="s">
        <v>237</v>
      </c>
      <c r="D89" s="54" t="s">
        <v>7</v>
      </c>
      <c r="E89" s="197"/>
      <c r="F89" s="20" t="s">
        <v>8</v>
      </c>
      <c r="G89" s="61"/>
      <c r="H89" s="56">
        <f>RADIANS(E89)</f>
        <v>0</v>
      </c>
      <c r="I89">
        <f>B89*COS(H89)</f>
        <v>0</v>
      </c>
      <c r="J89">
        <f>B89*SIN(H89)</f>
        <v>0</v>
      </c>
    </row>
    <row r="90" spans="1:10" x14ac:dyDescent="0.25">
      <c r="A90" s="1" t="s">
        <v>500</v>
      </c>
      <c r="B90" s="197"/>
      <c r="C90" s="69" t="s">
        <v>237</v>
      </c>
      <c r="D90" s="54" t="s">
        <v>7</v>
      </c>
      <c r="E90" s="197"/>
      <c r="F90" s="20" t="s">
        <v>8</v>
      </c>
      <c r="G90" s="61"/>
      <c r="H90" s="56">
        <f t="shared" ref="H90:H93" si="0">RADIANS(E90)</f>
        <v>0</v>
      </c>
      <c r="I90">
        <f t="shared" ref="I90:I93" si="1">B90*COS(H90)</f>
        <v>0</v>
      </c>
      <c r="J90">
        <f t="shared" ref="J90:J93" si="2">B90*SIN(H90)</f>
        <v>0</v>
      </c>
    </row>
    <row r="91" spans="1:10" x14ac:dyDescent="0.25">
      <c r="A91" s="1" t="s">
        <v>498</v>
      </c>
      <c r="B91" s="204"/>
      <c r="C91" s="69" t="s">
        <v>237</v>
      </c>
      <c r="D91" s="54" t="s">
        <v>7</v>
      </c>
      <c r="E91" s="204"/>
      <c r="F91" s="20" t="s">
        <v>8</v>
      </c>
      <c r="G91" s="61"/>
      <c r="H91" s="56">
        <f t="shared" si="0"/>
        <v>0</v>
      </c>
      <c r="I91">
        <f t="shared" si="1"/>
        <v>0</v>
      </c>
      <c r="J91">
        <f t="shared" si="2"/>
        <v>0</v>
      </c>
    </row>
    <row r="92" spans="1:10" x14ac:dyDescent="0.25">
      <c r="A92" s="1" t="s">
        <v>501</v>
      </c>
      <c r="B92" s="204"/>
      <c r="C92" s="69" t="s">
        <v>237</v>
      </c>
      <c r="D92" s="54" t="s">
        <v>7</v>
      </c>
      <c r="E92" s="204"/>
      <c r="F92" s="20" t="s">
        <v>8</v>
      </c>
      <c r="G92" s="61"/>
      <c r="H92" s="56">
        <f t="shared" si="0"/>
        <v>0</v>
      </c>
      <c r="I92">
        <f t="shared" si="1"/>
        <v>0</v>
      </c>
      <c r="J92">
        <f t="shared" si="2"/>
        <v>0</v>
      </c>
    </row>
    <row r="93" spans="1:10" x14ac:dyDescent="0.25">
      <c r="A93" s="1" t="s">
        <v>337</v>
      </c>
      <c r="B93" s="204"/>
      <c r="C93" s="69" t="s">
        <v>237</v>
      </c>
      <c r="D93" s="54" t="s">
        <v>7</v>
      </c>
      <c r="E93" s="204"/>
      <c r="F93" s="20" t="s">
        <v>8</v>
      </c>
      <c r="G93" s="61"/>
      <c r="H93" s="56">
        <f t="shared" si="0"/>
        <v>0</v>
      </c>
      <c r="I93">
        <f t="shared" si="1"/>
        <v>0</v>
      </c>
      <c r="J93">
        <f t="shared" si="2"/>
        <v>0</v>
      </c>
    </row>
    <row r="94" spans="1:10" ht="18" x14ac:dyDescent="0.35">
      <c r="A94" s="1" t="s">
        <v>381</v>
      </c>
      <c r="B94" s="205" t="e">
        <f>SQRT(I94^2+J94^2)</f>
        <v>#N/A</v>
      </c>
      <c r="C94" s="69" t="s">
        <v>237</v>
      </c>
      <c r="D94" s="54" t="s">
        <v>7</v>
      </c>
      <c r="E94" s="19" t="e">
        <f>DEGREES(ATAN2(I94,J94))</f>
        <v>#N/A</v>
      </c>
      <c r="F94" s="20" t="s">
        <v>8</v>
      </c>
      <c r="G94" s="61"/>
      <c r="I94" t="e">
        <f>I86+I87+I89+I90+I91+I92+I93</f>
        <v>#N/A</v>
      </c>
      <c r="J94" t="e">
        <f>J86+J87+J89+J90+J91+J92+J93</f>
        <v>#N/A</v>
      </c>
    </row>
    <row r="97" spans="1:10" ht="18" x14ac:dyDescent="0.35">
      <c r="A97" s="71" t="s">
        <v>380</v>
      </c>
      <c r="B97" s="72" t="s">
        <v>5</v>
      </c>
      <c r="C97" s="72" t="str">
        <f>C60</f>
        <v>W1.1</v>
      </c>
      <c r="D97" s="72"/>
      <c r="E97" s="72"/>
      <c r="F97" s="72"/>
      <c r="G97" s="73"/>
      <c r="H97" t="s">
        <v>345</v>
      </c>
      <c r="I97" t="s">
        <v>220</v>
      </c>
      <c r="J97" t="s">
        <v>346</v>
      </c>
    </row>
    <row r="98" spans="1:10" ht="18" x14ac:dyDescent="0.35">
      <c r="A98" s="54" t="s">
        <v>353</v>
      </c>
      <c r="B98" s="197" t="e">
        <f>IM!$B$34</f>
        <v>#N/A</v>
      </c>
      <c r="C98" s="69" t="s">
        <v>237</v>
      </c>
      <c r="D98" s="54" t="s">
        <v>7</v>
      </c>
      <c r="E98" s="184" t="e">
        <f>IM!$E$34</f>
        <v>#N/A</v>
      </c>
      <c r="F98" s="20" t="s">
        <v>8</v>
      </c>
      <c r="G98" s="61"/>
      <c r="H98" s="56" t="e">
        <f>RADIANS(E98)</f>
        <v>#N/A</v>
      </c>
      <c r="I98" t="e">
        <f>B98*COS(H98)</f>
        <v>#N/A</v>
      </c>
      <c r="J98" t="e">
        <f>B98*SIN(H98)</f>
        <v>#N/A</v>
      </c>
    </row>
    <row r="99" spans="1:10" ht="18" x14ac:dyDescent="0.35">
      <c r="A99" s="31" t="s">
        <v>348</v>
      </c>
      <c r="B99" s="198" t="e">
        <f>B87</f>
        <v>#DIV/0!</v>
      </c>
      <c r="C99" s="199" t="s">
        <v>237</v>
      </c>
      <c r="D99" s="31" t="s">
        <v>7</v>
      </c>
      <c r="E99" s="200" t="e">
        <f>E87</f>
        <v>#DIV/0!</v>
      </c>
      <c r="F99" s="201" t="s">
        <v>8</v>
      </c>
      <c r="G99" s="173"/>
      <c r="H99" s="56" t="e">
        <f>RADIANS(E99)</f>
        <v>#DIV/0!</v>
      </c>
      <c r="I99" t="e">
        <f>B99*COS(H99)</f>
        <v>#DIV/0!</v>
      </c>
      <c r="J99" t="e">
        <f>B99*SIN(H99)</f>
        <v>#DIV/0!</v>
      </c>
    </row>
    <row r="100" spans="1:10" ht="18" x14ac:dyDescent="0.35">
      <c r="A100" s="105" t="s">
        <v>384</v>
      </c>
      <c r="B100" s="202"/>
      <c r="C100" s="203"/>
      <c r="D100" s="103"/>
      <c r="E100" s="202"/>
      <c r="F100" s="203"/>
      <c r="G100" s="104"/>
      <c r="H100" s="56"/>
    </row>
    <row r="101" spans="1:10" x14ac:dyDescent="0.25">
      <c r="A101" s="1" t="str">
        <f>A89</f>
        <v>W1</v>
      </c>
      <c r="B101" s="204"/>
      <c r="C101" s="69" t="s">
        <v>237</v>
      </c>
      <c r="D101" s="54" t="s">
        <v>7</v>
      </c>
      <c r="E101" s="204"/>
      <c r="F101" s="20" t="s">
        <v>8</v>
      </c>
      <c r="G101" s="61"/>
      <c r="H101" s="56">
        <f>RADIANS(E101)</f>
        <v>0</v>
      </c>
      <c r="I101">
        <f>B101*COS(H101)</f>
        <v>0</v>
      </c>
      <c r="J101">
        <f>B101*SIN(H101)</f>
        <v>0</v>
      </c>
    </row>
    <row r="102" spans="1:10" x14ac:dyDescent="0.25">
      <c r="A102" s="1" t="str">
        <f t="shared" ref="A102:A105" si="3">A90</f>
        <v>W1 PW</v>
      </c>
      <c r="B102" s="204"/>
      <c r="C102" s="69" t="s">
        <v>237</v>
      </c>
      <c r="D102" s="54" t="s">
        <v>7</v>
      </c>
      <c r="E102" s="204"/>
      <c r="F102" s="20" t="s">
        <v>8</v>
      </c>
      <c r="G102" s="61"/>
      <c r="H102" s="56">
        <f>RADIANS(E102)</f>
        <v>0</v>
      </c>
      <c r="I102">
        <f t="shared" ref="I102:I105" si="4">B102*COS(H102)</f>
        <v>0</v>
      </c>
      <c r="J102">
        <f t="shared" ref="J102:J105" si="5">B102*SIN(H102)</f>
        <v>0</v>
      </c>
    </row>
    <row r="103" spans="1:10" x14ac:dyDescent="0.25">
      <c r="A103" s="1" t="str">
        <f t="shared" si="3"/>
        <v>W1.1</v>
      </c>
      <c r="B103" s="204"/>
      <c r="C103" s="69" t="s">
        <v>237</v>
      </c>
      <c r="D103" s="54" t="s">
        <v>7</v>
      </c>
      <c r="E103" s="204"/>
      <c r="F103" s="20" t="s">
        <v>8</v>
      </c>
      <c r="G103" s="61"/>
      <c r="H103" s="56">
        <f t="shared" ref="H103:H105" si="6">RADIANS(E103)</f>
        <v>0</v>
      </c>
      <c r="I103">
        <f t="shared" si="4"/>
        <v>0</v>
      </c>
      <c r="J103">
        <f t="shared" si="5"/>
        <v>0</v>
      </c>
    </row>
    <row r="104" spans="1:10" x14ac:dyDescent="0.25">
      <c r="A104" s="1" t="str">
        <f t="shared" si="3"/>
        <v>W1.1 PE</v>
      </c>
      <c r="B104" s="204"/>
      <c r="C104" s="69" t="s">
        <v>237</v>
      </c>
      <c r="D104" s="54" t="s">
        <v>7</v>
      </c>
      <c r="E104" s="204"/>
      <c r="F104" s="20" t="s">
        <v>8</v>
      </c>
      <c r="G104" s="61"/>
      <c r="H104" s="56">
        <f t="shared" si="6"/>
        <v>0</v>
      </c>
      <c r="I104">
        <f t="shared" si="4"/>
        <v>0</v>
      </c>
      <c r="J104">
        <f t="shared" si="5"/>
        <v>0</v>
      </c>
    </row>
    <row r="105" spans="1:10" x14ac:dyDescent="0.25">
      <c r="A105" s="1" t="str">
        <f t="shared" si="3"/>
        <v>W5</v>
      </c>
      <c r="B105" s="204"/>
      <c r="C105" s="69" t="s">
        <v>237</v>
      </c>
      <c r="D105" s="54" t="s">
        <v>7</v>
      </c>
      <c r="E105" s="204"/>
      <c r="F105" s="20" t="s">
        <v>8</v>
      </c>
      <c r="G105" s="61"/>
      <c r="H105" s="56">
        <f t="shared" si="6"/>
        <v>0</v>
      </c>
      <c r="I105">
        <f t="shared" si="4"/>
        <v>0</v>
      </c>
      <c r="J105">
        <f t="shared" si="5"/>
        <v>0</v>
      </c>
    </row>
    <row r="106" spans="1:10" ht="18" x14ac:dyDescent="0.35">
      <c r="A106" s="1" t="s">
        <v>382</v>
      </c>
      <c r="B106" s="205" t="e">
        <f>SQRT(I106^2+J106^2)</f>
        <v>#N/A</v>
      </c>
      <c r="C106" s="69" t="s">
        <v>237</v>
      </c>
      <c r="D106" s="54" t="s">
        <v>7</v>
      </c>
      <c r="E106" s="19" t="e">
        <f>DEGREES(ATAN2(I106,J106))</f>
        <v>#N/A</v>
      </c>
      <c r="F106" s="20" t="s">
        <v>8</v>
      </c>
      <c r="G106" s="61"/>
      <c r="I106" t="e">
        <f>I98+I99+I101+I102+I103+I104+I105</f>
        <v>#N/A</v>
      </c>
      <c r="J106" t="e">
        <f>J98+J99+J101+J102+J103+J104+J105</f>
        <v>#N/A</v>
      </c>
    </row>
    <row r="109" spans="1:10" ht="18" x14ac:dyDescent="0.35">
      <c r="A109" s="71" t="s">
        <v>236</v>
      </c>
      <c r="B109" s="82" t="s">
        <v>5</v>
      </c>
      <c r="C109" s="78" t="str">
        <f>C8</f>
        <v>W1.1</v>
      </c>
      <c r="D109" s="78"/>
      <c r="E109" s="72"/>
      <c r="F109" s="74"/>
      <c r="G109" s="117"/>
    </row>
    <row r="110" spans="1:10" ht="18" x14ac:dyDescent="0.35">
      <c r="A110" s="1" t="s">
        <v>166</v>
      </c>
      <c r="B110" s="34">
        <v>400</v>
      </c>
      <c r="C110" s="3" t="s">
        <v>12</v>
      </c>
      <c r="D110" s="4"/>
      <c r="E110" s="4"/>
      <c r="F110" s="26"/>
      <c r="G110" s="27"/>
    </row>
    <row r="111" spans="1:10" ht="18" x14ac:dyDescent="0.35">
      <c r="A111" s="3" t="s">
        <v>432</v>
      </c>
      <c r="B111" s="215" t="e">
        <f>B94</f>
        <v>#N/A</v>
      </c>
      <c r="C111" s="69" t="s">
        <v>237</v>
      </c>
      <c r="D111" s="54" t="s">
        <v>7</v>
      </c>
      <c r="E111" s="188" t="e">
        <f>E94</f>
        <v>#N/A</v>
      </c>
      <c r="F111" s="9" t="s">
        <v>8</v>
      </c>
      <c r="G111" s="21"/>
    </row>
    <row r="112" spans="1:10" ht="18" x14ac:dyDescent="0.35">
      <c r="A112" s="54" t="s">
        <v>434</v>
      </c>
      <c r="B112" s="216" t="e">
        <f>B110/(SQRT(3)*B111)</f>
        <v>#N/A</v>
      </c>
      <c r="C112" s="1" t="s">
        <v>80</v>
      </c>
      <c r="D112" s="1" t="s">
        <v>7</v>
      </c>
      <c r="E112" s="214" t="e">
        <f>-E111</f>
        <v>#N/A</v>
      </c>
      <c r="F112" s="9" t="s">
        <v>8</v>
      </c>
      <c r="G112" s="21"/>
    </row>
    <row r="115" spans="1:8" ht="18" x14ac:dyDescent="0.35">
      <c r="A115" s="71" t="s">
        <v>438</v>
      </c>
      <c r="B115" s="82" t="s">
        <v>5</v>
      </c>
      <c r="C115" s="78" t="str">
        <f>C109</f>
        <v>W1.1</v>
      </c>
      <c r="D115" s="78"/>
      <c r="E115" s="72"/>
      <c r="F115" s="74"/>
      <c r="G115" s="117"/>
    </row>
    <row r="116" spans="1:8" ht="18" x14ac:dyDescent="0.35">
      <c r="A116" s="1" t="s">
        <v>166</v>
      </c>
      <c r="B116" s="34">
        <v>400</v>
      </c>
      <c r="C116" s="121" t="s">
        <v>12</v>
      </c>
      <c r="D116" s="122"/>
      <c r="E116" s="122"/>
      <c r="F116" s="124"/>
      <c r="G116" s="125"/>
    </row>
    <row r="117" spans="1:8" ht="18" x14ac:dyDescent="0.35">
      <c r="A117" s="3" t="s">
        <v>433</v>
      </c>
      <c r="B117" s="215" t="e">
        <f>B106</f>
        <v>#N/A</v>
      </c>
      <c r="C117" s="69" t="s">
        <v>237</v>
      </c>
      <c r="D117" s="54" t="s">
        <v>7</v>
      </c>
      <c r="E117" s="188" t="e">
        <f>E106</f>
        <v>#N/A</v>
      </c>
      <c r="F117" s="9" t="s">
        <v>8</v>
      </c>
      <c r="G117" s="21"/>
    </row>
    <row r="118" spans="1:8" ht="18" x14ac:dyDescent="0.35">
      <c r="A118" s="54" t="s">
        <v>437</v>
      </c>
      <c r="B118" s="216" t="e">
        <f>B116/(SQRT(3)*B117)</f>
        <v>#N/A</v>
      </c>
      <c r="C118" s="1" t="s">
        <v>80</v>
      </c>
      <c r="D118" s="1" t="s">
        <v>7</v>
      </c>
      <c r="E118" s="214" t="e">
        <f>-E117</f>
        <v>#N/A</v>
      </c>
      <c r="F118" s="9" t="s">
        <v>8</v>
      </c>
      <c r="G118" s="21"/>
    </row>
    <row r="121" spans="1:8" ht="18" x14ac:dyDescent="0.35">
      <c r="A121" s="71" t="s">
        <v>487</v>
      </c>
      <c r="B121" s="90" t="s">
        <v>5</v>
      </c>
      <c r="C121" s="72" t="str">
        <f>C115</f>
        <v>W1.1</v>
      </c>
      <c r="D121" s="72"/>
      <c r="E121" s="72"/>
      <c r="F121" s="72"/>
      <c r="G121" s="73"/>
    </row>
    <row r="122" spans="1:8" ht="18" x14ac:dyDescent="0.35">
      <c r="A122" s="54" t="s">
        <v>439</v>
      </c>
      <c r="B122" s="184" t="e">
        <f>B118</f>
        <v>#N/A</v>
      </c>
      <c r="C122" s="3" t="s">
        <v>80</v>
      </c>
      <c r="D122" s="4"/>
      <c r="E122" s="4"/>
      <c r="F122" s="4"/>
      <c r="G122" s="21"/>
    </row>
    <row r="123" spans="1:8" x14ac:dyDescent="0.25">
      <c r="A123" s="1" t="s">
        <v>87</v>
      </c>
      <c r="B123" s="126">
        <v>1.1000000000000001</v>
      </c>
      <c r="C123" s="121"/>
      <c r="D123" s="122"/>
      <c r="E123" s="127"/>
      <c r="F123" s="122"/>
      <c r="G123" s="123"/>
    </row>
    <row r="124" spans="1:8" ht="18" x14ac:dyDescent="0.35">
      <c r="A124" s="1" t="s">
        <v>461</v>
      </c>
      <c r="B124" s="85" t="e">
        <f>(B122*10^3)/(B16*B123)</f>
        <v>#N/A</v>
      </c>
      <c r="C124" s="121"/>
      <c r="D124" s="122"/>
      <c r="E124" s="127"/>
      <c r="F124" s="122"/>
      <c r="G124" s="123"/>
    </row>
    <row r="125" spans="1:8" ht="18" x14ac:dyDescent="0.35">
      <c r="A125" s="1" t="s">
        <v>231</v>
      </c>
      <c r="B125" s="28">
        <v>10</v>
      </c>
      <c r="C125" s="129"/>
      <c r="D125" s="130"/>
      <c r="E125" s="131"/>
      <c r="F125" s="130"/>
      <c r="G125" s="132"/>
      <c r="H125" t="s">
        <v>85</v>
      </c>
    </row>
    <row r="127" spans="1:8" x14ac:dyDescent="0.25">
      <c r="B127" s="56"/>
      <c r="E127" s="57"/>
      <c r="F127" s="57"/>
    </row>
    <row r="128" spans="1:8" x14ac:dyDescent="0.25">
      <c r="A128" s="71" t="s">
        <v>4</v>
      </c>
      <c r="B128" s="72" t="s">
        <v>5</v>
      </c>
      <c r="C128" s="79" t="str">
        <f>C8</f>
        <v>W1.1</v>
      </c>
      <c r="D128" s="74"/>
      <c r="E128" s="74"/>
      <c r="F128" s="74"/>
      <c r="G128" s="117"/>
      <c r="H128" t="s">
        <v>479</v>
      </c>
    </row>
    <row r="129" spans="1:9" ht="18" x14ac:dyDescent="0.35">
      <c r="A129" s="3" t="s">
        <v>339</v>
      </c>
      <c r="B129" s="196"/>
      <c r="C129" s="242" t="s">
        <v>80</v>
      </c>
      <c r="D129" s="243"/>
      <c r="E129" s="244"/>
      <c r="F129" s="243"/>
      <c r="G129" s="245"/>
    </row>
    <row r="130" spans="1:9" ht="18.75" x14ac:dyDescent="0.35">
      <c r="A130" s="1" t="s">
        <v>198</v>
      </c>
      <c r="B130" s="38"/>
      <c r="C130" s="3" t="s">
        <v>196</v>
      </c>
      <c r="D130" s="4" t="s">
        <v>340</v>
      </c>
      <c r="E130" s="4"/>
      <c r="F130" s="4"/>
      <c r="G130" s="21"/>
    </row>
    <row r="131" spans="1:9" x14ac:dyDescent="0.25">
      <c r="A131" s="1" t="s">
        <v>23</v>
      </c>
      <c r="B131" s="1" t="s">
        <v>41</v>
      </c>
      <c r="C131" s="5" t="s">
        <v>71</v>
      </c>
      <c r="D131" s="134">
        <f>H132+I132</f>
        <v>0</v>
      </c>
      <c r="E131" s="112"/>
      <c r="F131" s="51"/>
      <c r="G131" s="173"/>
      <c r="H131">
        <f>IF(B22="CU",1,0)</f>
        <v>0</v>
      </c>
      <c r="I131">
        <f>IF(B22="AL",1,0)</f>
        <v>0</v>
      </c>
    </row>
    <row r="132" spans="1:9" ht="17.25" x14ac:dyDescent="0.25">
      <c r="A132" s="31" t="s">
        <v>20</v>
      </c>
      <c r="B132" s="219">
        <f>D37</f>
        <v>0</v>
      </c>
      <c r="C132" s="25" t="s">
        <v>21</v>
      </c>
      <c r="D132" s="26"/>
      <c r="E132" s="26"/>
      <c r="F132" s="26"/>
      <c r="G132" s="27"/>
      <c r="H132">
        <f>IF(H131=1,143,0)</f>
        <v>0</v>
      </c>
      <c r="I132">
        <f>IF(I131=1,94,0)</f>
        <v>0</v>
      </c>
    </row>
    <row r="133" spans="1:9" ht="17.25" x14ac:dyDescent="0.25">
      <c r="A133" s="1" t="s">
        <v>33</v>
      </c>
      <c r="B133" s="88">
        <f>D131^2*B132^2</f>
        <v>0</v>
      </c>
      <c r="C133" s="3" t="s">
        <v>196</v>
      </c>
      <c r="D133" s="4"/>
      <c r="E133" s="4"/>
      <c r="F133" s="4"/>
      <c r="G133" s="21"/>
      <c r="H133" t="s">
        <v>213</v>
      </c>
    </row>
    <row r="134" spans="1:9" ht="18.75" x14ac:dyDescent="0.35">
      <c r="A134" s="1" t="s">
        <v>201</v>
      </c>
      <c r="B134" s="28" t="s">
        <v>4</v>
      </c>
      <c r="C134" s="46"/>
      <c r="D134" s="46" t="str">
        <f>IF(B130&lt;=B133,"OK","Ikke OK")</f>
        <v>OK</v>
      </c>
      <c r="E134" s="121"/>
      <c r="F134" s="122"/>
      <c r="G134" s="123"/>
    </row>
    <row r="137" spans="1:9" x14ac:dyDescent="0.25">
      <c r="A137" s="71" t="s">
        <v>478</v>
      </c>
      <c r="B137" s="72" t="s">
        <v>5</v>
      </c>
      <c r="C137" s="72" t="str">
        <f>C128</f>
        <v>W1.1</v>
      </c>
      <c r="D137" s="72"/>
      <c r="E137" s="72"/>
      <c r="F137" s="72"/>
      <c r="G137" s="73"/>
    </row>
    <row r="138" spans="1:9" ht="18" x14ac:dyDescent="0.35">
      <c r="A138" s="54" t="s">
        <v>99</v>
      </c>
      <c r="B138" s="206"/>
      <c r="C138" s="43" t="s">
        <v>2</v>
      </c>
      <c r="D138" s="48"/>
      <c r="E138" s="48"/>
      <c r="F138" s="48"/>
      <c r="G138" s="61"/>
    </row>
    <row r="139" spans="1:9" x14ac:dyDescent="0.25">
      <c r="A139" s="54" t="s">
        <v>361</v>
      </c>
      <c r="B139" s="207">
        <v>0.9</v>
      </c>
      <c r="C139" s="43"/>
      <c r="D139" s="48"/>
      <c r="E139" s="48"/>
      <c r="F139" s="48"/>
      <c r="G139" s="61"/>
    </row>
    <row r="140" spans="1:9" ht="18" x14ac:dyDescent="0.35">
      <c r="A140" s="54" t="s">
        <v>358</v>
      </c>
      <c r="B140" s="156" t="e">
        <f>(B139*B150)*10^3</f>
        <v>#N/A</v>
      </c>
      <c r="C140" s="3" t="s">
        <v>2</v>
      </c>
      <c r="D140" s="4"/>
      <c r="E140" s="4"/>
      <c r="F140" s="4"/>
      <c r="G140" s="21"/>
    </row>
    <row r="141" spans="1:9" ht="18" x14ac:dyDescent="0.35">
      <c r="A141" s="1" t="s">
        <v>359</v>
      </c>
      <c r="B141" s="28" t="s">
        <v>97</v>
      </c>
      <c r="C141" s="46"/>
      <c r="D141" s="94"/>
      <c r="E141" s="29" t="e">
        <f>IF(B138&lt;=B140,"OK","Ikke OK")</f>
        <v>#N/A</v>
      </c>
      <c r="F141" s="4"/>
      <c r="G141" s="21"/>
    </row>
    <row r="142" spans="1:9" ht="18" x14ac:dyDescent="0.35">
      <c r="A142" s="1" t="s">
        <v>360</v>
      </c>
      <c r="B142" s="2"/>
      <c r="C142" s="3" t="s">
        <v>2</v>
      </c>
      <c r="D142" s="4"/>
      <c r="E142" s="4"/>
      <c r="F142" s="4"/>
      <c r="G142" s="21"/>
    </row>
    <row r="143" spans="1:9" x14ac:dyDescent="0.25">
      <c r="A143" s="1" t="s">
        <v>361</v>
      </c>
      <c r="B143" s="2">
        <v>0.85</v>
      </c>
      <c r="C143" s="3"/>
      <c r="D143" s="4"/>
      <c r="E143" s="4"/>
      <c r="F143" s="4"/>
      <c r="G143" s="21"/>
    </row>
    <row r="144" spans="1:9" ht="18" x14ac:dyDescent="0.35">
      <c r="A144" s="1" t="s">
        <v>362</v>
      </c>
      <c r="B144" s="189">
        <f>B18</f>
        <v>0</v>
      </c>
      <c r="C144" s="3" t="s">
        <v>2</v>
      </c>
      <c r="D144" s="4"/>
      <c r="E144" s="4"/>
      <c r="F144" s="4"/>
      <c r="G144" s="21"/>
    </row>
    <row r="145" spans="1:14" ht="18" x14ac:dyDescent="0.35">
      <c r="A145" s="1" t="s">
        <v>363</v>
      </c>
      <c r="B145" s="10">
        <f>B143*B144</f>
        <v>0</v>
      </c>
      <c r="C145" s="3" t="s">
        <v>2</v>
      </c>
      <c r="D145" s="4"/>
      <c r="E145" s="4"/>
      <c r="F145" s="4"/>
      <c r="G145" s="21"/>
    </row>
    <row r="146" spans="1:14" ht="18" x14ac:dyDescent="0.35">
      <c r="A146" s="1" t="s">
        <v>364</v>
      </c>
      <c r="B146" s="28" t="s">
        <v>97</v>
      </c>
      <c r="C146" s="46"/>
      <c r="D146" s="94"/>
      <c r="E146" s="29" t="str">
        <f>IF(B142&lt;=B145,"OK","Ikke OK")</f>
        <v>OK</v>
      </c>
      <c r="F146" s="48"/>
      <c r="G146" s="61"/>
    </row>
    <row r="147" spans="1:14" ht="18" x14ac:dyDescent="0.35">
      <c r="A147" s="1" t="s">
        <v>230</v>
      </c>
      <c r="B147" s="227">
        <f>B16</f>
        <v>0</v>
      </c>
      <c r="C147" s="80" t="s">
        <v>2</v>
      </c>
      <c r="D147" s="95"/>
      <c r="E147" s="26"/>
      <c r="F147" s="26"/>
      <c r="G147" s="27"/>
    </row>
    <row r="148" spans="1:14" ht="18" x14ac:dyDescent="0.35">
      <c r="A148" s="54" t="s">
        <v>439</v>
      </c>
      <c r="B148" s="184" t="e">
        <f>B118</f>
        <v>#N/A</v>
      </c>
      <c r="C148" s="3" t="s">
        <v>80</v>
      </c>
      <c r="D148" s="4"/>
      <c r="E148" s="4"/>
      <c r="F148" s="4"/>
      <c r="G148" s="21"/>
    </row>
    <row r="149" spans="1:14" ht="18" x14ac:dyDescent="0.35">
      <c r="A149" s="1" t="s">
        <v>461</v>
      </c>
      <c r="B149" s="85" t="e">
        <f>B124</f>
        <v>#N/A</v>
      </c>
      <c r="C149" s="121" t="s">
        <v>80</v>
      </c>
      <c r="D149" s="122"/>
      <c r="E149" s="127"/>
      <c r="F149" s="122"/>
      <c r="G149" s="123"/>
    </row>
    <row r="150" spans="1:14" ht="18" x14ac:dyDescent="0.35">
      <c r="A150" s="23" t="s">
        <v>232</v>
      </c>
      <c r="B150" s="107" t="e">
        <f>(B124*B147)*10^-3</f>
        <v>#N/A</v>
      </c>
      <c r="C150" s="80"/>
      <c r="D150" s="95"/>
      <c r="E150" s="133"/>
      <c r="F150" s="26"/>
      <c r="G150" s="27"/>
    </row>
    <row r="151" spans="1:14" ht="18" x14ac:dyDescent="0.35">
      <c r="A151" s="3" t="s">
        <v>462</v>
      </c>
      <c r="B151" s="28" t="s">
        <v>97</v>
      </c>
      <c r="C151" s="46"/>
      <c r="D151" s="46"/>
      <c r="E151" s="29" t="e">
        <f>IF(B148&gt;B150,"OK","Ikke OK")</f>
        <v>#N/A</v>
      </c>
      <c r="F151" s="3"/>
      <c r="G151" s="21"/>
    </row>
    <row r="153" spans="1:14" x14ac:dyDescent="0.25">
      <c r="K153" s="66" t="s">
        <v>270</v>
      </c>
    </row>
    <row r="154" spans="1:14" x14ac:dyDescent="0.25">
      <c r="A154" s="71" t="s">
        <v>260</v>
      </c>
      <c r="B154" s="72" t="s">
        <v>261</v>
      </c>
      <c r="C154" s="78" t="str">
        <f>C8</f>
        <v>W1.1</v>
      </c>
      <c r="D154" s="72"/>
      <c r="E154" s="72"/>
      <c r="F154" s="72"/>
      <c r="G154" s="73"/>
      <c r="K154" t="s">
        <v>269</v>
      </c>
    </row>
    <row r="155" spans="1:14" ht="18" x14ac:dyDescent="0.35">
      <c r="A155" s="1" t="s">
        <v>272</v>
      </c>
      <c r="B155" s="2">
        <f>80*10^-3</f>
        <v>0.08</v>
      </c>
      <c r="C155" s="4" t="s">
        <v>19</v>
      </c>
      <c r="D155" s="4"/>
      <c r="E155" s="4"/>
      <c r="F155" s="4"/>
      <c r="G155" s="21"/>
    </row>
    <row r="156" spans="1:14" ht="18" x14ac:dyDescent="0.35">
      <c r="A156" s="1" t="s">
        <v>262</v>
      </c>
      <c r="B156" s="15">
        <f>IF(J156=1,M156+N156,M157+N157)</f>
        <v>0.4</v>
      </c>
      <c r="C156" s="3" t="s">
        <v>19</v>
      </c>
      <c r="D156" s="4" t="s">
        <v>445</v>
      </c>
      <c r="E156" s="4"/>
      <c r="F156" s="4"/>
      <c r="G156" s="21"/>
      <c r="I156" t="s">
        <v>267</v>
      </c>
      <c r="J156">
        <f>IF(B5="TT",1,0)</f>
        <v>0</v>
      </c>
      <c r="K156" s="86">
        <v>0</v>
      </c>
      <c r="L156">
        <f>IF(K156=1,63,32)</f>
        <v>32</v>
      </c>
      <c r="M156">
        <f>IF(B16&lt;=L156,0.2,0)</f>
        <v>0.2</v>
      </c>
      <c r="N156">
        <f>IF(B16&gt;L156,1,0)</f>
        <v>0</v>
      </c>
    </row>
    <row r="157" spans="1:14" ht="18" x14ac:dyDescent="0.35">
      <c r="A157" s="1" t="s">
        <v>263</v>
      </c>
      <c r="B157" s="28" t="s">
        <v>260</v>
      </c>
      <c r="C157" s="46"/>
      <c r="D157" s="29" t="str">
        <f>IF(B155&lt;=B156,"OK","Ikke OK")</f>
        <v>OK</v>
      </c>
      <c r="E157" s="4"/>
      <c r="F157" s="4"/>
      <c r="G157" s="21"/>
      <c r="I157" t="s">
        <v>268</v>
      </c>
      <c r="J157">
        <f>IF(B5="TT",0,1)</f>
        <v>1</v>
      </c>
      <c r="K157" s="86">
        <v>0</v>
      </c>
      <c r="L157">
        <f>IF(K157=1,63,32)</f>
        <v>32</v>
      </c>
      <c r="M157">
        <f>IF(B16&lt;=L157,0.4,0)</f>
        <v>0.4</v>
      </c>
      <c r="N157">
        <f>IF(B16&gt;L157,5,0)</f>
        <v>0</v>
      </c>
    </row>
    <row r="160" spans="1:14" x14ac:dyDescent="0.25">
      <c r="A160" s="71" t="s">
        <v>441</v>
      </c>
      <c r="B160" s="72" t="s">
        <v>5</v>
      </c>
      <c r="C160" s="72" t="str">
        <f>C154</f>
        <v>W1.1</v>
      </c>
      <c r="D160" s="72"/>
      <c r="E160" s="72"/>
      <c r="F160" s="72"/>
      <c r="G160" s="73"/>
    </row>
    <row r="161" spans="1:7" ht="18" x14ac:dyDescent="0.35">
      <c r="A161" s="54" t="s">
        <v>91</v>
      </c>
      <c r="B161" s="188">
        <f>B16</f>
        <v>0</v>
      </c>
      <c r="C161" s="43" t="s">
        <v>2</v>
      </c>
      <c r="D161" s="48"/>
      <c r="E161" s="48"/>
      <c r="F161" s="48"/>
      <c r="G161" s="61"/>
    </row>
    <row r="162" spans="1:7" ht="18" x14ac:dyDescent="0.35">
      <c r="A162" s="1" t="s">
        <v>442</v>
      </c>
      <c r="B162" s="15">
        <v>32</v>
      </c>
      <c r="C162" s="3" t="s">
        <v>2</v>
      </c>
      <c r="D162" s="4" t="s">
        <v>443</v>
      </c>
      <c r="E162" s="4"/>
      <c r="F162" s="4"/>
      <c r="G162" s="21"/>
    </row>
    <row r="163" spans="1:7" ht="18" x14ac:dyDescent="0.35">
      <c r="A163" s="1" t="s">
        <v>463</v>
      </c>
      <c r="B163" s="14" t="str">
        <f>IF(B161&gt;B162,"Ikke RCD","RCD")</f>
        <v>RCD</v>
      </c>
      <c r="C163" s="3"/>
      <c r="D163" s="4"/>
      <c r="E163" s="4"/>
      <c r="F163" s="4"/>
      <c r="G163" s="21"/>
    </row>
  </sheetData>
  <mergeCells count="4">
    <mergeCell ref="C9:D9"/>
    <mergeCell ref="C10:D10"/>
    <mergeCell ref="C11:D11"/>
    <mergeCell ref="C14:D14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85"/>
  <sheetViews>
    <sheetView tabSelected="1" zoomScaleNormal="100" workbookViewId="0">
      <selection activeCell="H150" sqref="H150:J152"/>
    </sheetView>
  </sheetViews>
  <sheetFormatPr defaultRowHeight="15" x14ac:dyDescent="0.25"/>
  <cols>
    <col min="1" max="1" width="34.85546875" customWidth="1"/>
    <col min="2" max="6" width="10.7109375" customWidth="1"/>
    <col min="7" max="7" width="5.7109375" customWidth="1"/>
  </cols>
  <sheetData>
    <row r="3" spans="1:10" x14ac:dyDescent="0.25">
      <c r="A3" s="177" t="s">
        <v>265</v>
      </c>
      <c r="B3" s="175"/>
      <c r="C3" s="176"/>
      <c r="D3" s="83"/>
      <c r="E3" s="83"/>
      <c r="F3" s="83"/>
      <c r="G3" s="84"/>
      <c r="H3" t="s">
        <v>428</v>
      </c>
    </row>
    <row r="6" spans="1:10" x14ac:dyDescent="0.25">
      <c r="A6" s="135" t="s">
        <v>88</v>
      </c>
      <c r="B6" s="136" t="s">
        <v>5</v>
      </c>
      <c r="C6" s="72"/>
      <c r="D6" s="136"/>
      <c r="E6" s="136"/>
      <c r="F6" s="136"/>
      <c r="G6" s="137"/>
    </row>
    <row r="7" spans="1:10" ht="18" x14ac:dyDescent="0.35">
      <c r="A7" s="54" t="s">
        <v>1</v>
      </c>
      <c r="B7" s="55"/>
      <c r="C7" s="251" t="s">
        <v>2</v>
      </c>
      <c r="D7" s="252"/>
      <c r="E7" s="4"/>
      <c r="F7" s="4"/>
      <c r="G7" s="21"/>
      <c r="H7" s="76"/>
      <c r="I7" s="76"/>
      <c r="J7" s="76"/>
    </row>
    <row r="8" spans="1:10" ht="15.6" customHeight="1" x14ac:dyDescent="0.25">
      <c r="A8" s="3" t="s">
        <v>3</v>
      </c>
      <c r="B8" s="50">
        <v>1</v>
      </c>
      <c r="C8" s="94" t="s">
        <v>151</v>
      </c>
      <c r="D8" s="94" t="s">
        <v>333</v>
      </c>
      <c r="E8" s="94" t="s">
        <v>387</v>
      </c>
      <c r="F8" s="138" t="s">
        <v>95</v>
      </c>
      <c r="G8" s="23"/>
    </row>
    <row r="9" spans="1:10" ht="18" x14ac:dyDescent="0.35">
      <c r="A9" s="1" t="s">
        <v>177</v>
      </c>
      <c r="B9" s="87"/>
      <c r="C9" s="249" t="s">
        <v>2</v>
      </c>
      <c r="D9" s="250"/>
      <c r="E9" s="26"/>
      <c r="F9" s="26"/>
      <c r="G9" s="27"/>
    </row>
    <row r="10" spans="1:10" ht="18" x14ac:dyDescent="0.35">
      <c r="A10" s="1" t="s">
        <v>224</v>
      </c>
      <c r="B10" s="97" t="str">
        <f>IF(B7&lt;=B9,"OK","Ikke OK")</f>
        <v>OK</v>
      </c>
      <c r="C10" s="80"/>
      <c r="D10" s="95"/>
      <c r="E10" s="26"/>
      <c r="F10" s="26"/>
      <c r="G10" s="27"/>
    </row>
    <row r="11" spans="1:10" ht="18" x14ac:dyDescent="0.35">
      <c r="A11" s="1" t="s">
        <v>81</v>
      </c>
      <c r="B11" s="38"/>
      <c r="C11" s="25" t="s">
        <v>80</v>
      </c>
      <c r="D11" s="26"/>
      <c r="E11" s="26"/>
      <c r="F11" s="26"/>
      <c r="G11" s="27"/>
    </row>
    <row r="12" spans="1:10" ht="18" x14ac:dyDescent="0.35">
      <c r="A12" s="1" t="s">
        <v>339</v>
      </c>
      <c r="B12" s="139"/>
      <c r="C12" s="3" t="s">
        <v>80</v>
      </c>
      <c r="D12" s="4"/>
      <c r="E12" s="26"/>
      <c r="F12" s="26"/>
      <c r="G12" s="27"/>
    </row>
    <row r="13" spans="1:10" ht="18" x14ac:dyDescent="0.35">
      <c r="A13" s="3" t="s">
        <v>446</v>
      </c>
      <c r="B13" s="28" t="s">
        <v>223</v>
      </c>
      <c r="C13" s="118"/>
      <c r="D13" s="140" t="str">
        <f>IF(B11&gt;=B12,"OK","Ikke OK")</f>
        <v>OK</v>
      </c>
      <c r="E13" s="9"/>
      <c r="F13" s="22"/>
      <c r="G13" s="21"/>
    </row>
    <row r="14" spans="1:10" x14ac:dyDescent="0.25">
      <c r="H14" s="66"/>
    </row>
    <row r="16" spans="1:10" x14ac:dyDescent="0.25">
      <c r="A16" s="71" t="s">
        <v>38</v>
      </c>
      <c r="B16" s="78" t="s">
        <v>5</v>
      </c>
      <c r="C16" s="78">
        <f>C6</f>
        <v>0</v>
      </c>
      <c r="D16" s="78"/>
      <c r="E16" s="78"/>
      <c r="F16" s="72"/>
      <c r="G16" s="73"/>
      <c r="I16" t="s">
        <v>90</v>
      </c>
    </row>
    <row r="17" spans="1:9" x14ac:dyDescent="0.25">
      <c r="A17" s="109" t="s">
        <v>39</v>
      </c>
      <c r="B17" s="30"/>
      <c r="C17" s="30">
        <v>90</v>
      </c>
      <c r="D17" s="20" t="s">
        <v>8</v>
      </c>
      <c r="E17" s="48"/>
      <c r="F17" s="48"/>
      <c r="G17" s="61"/>
    </row>
    <row r="18" spans="1:9" ht="18" x14ac:dyDescent="0.35">
      <c r="A18" s="1" t="s">
        <v>40</v>
      </c>
      <c r="B18" s="1" t="s">
        <v>41</v>
      </c>
      <c r="C18" s="30" t="s">
        <v>42</v>
      </c>
      <c r="D18" s="31" t="s">
        <v>43</v>
      </c>
      <c r="E18" s="32"/>
      <c r="F18" s="31" t="s">
        <v>44</v>
      </c>
      <c r="G18" s="32"/>
    </row>
    <row r="19" spans="1:9" x14ac:dyDescent="0.25">
      <c r="A19" s="1" t="s">
        <v>45</v>
      </c>
      <c r="B19" s="1" t="s">
        <v>41</v>
      </c>
      <c r="C19" s="30" t="s">
        <v>46</v>
      </c>
      <c r="D19" s="3"/>
      <c r="E19" s="4"/>
      <c r="F19" s="4"/>
      <c r="G19" s="21"/>
    </row>
    <row r="20" spans="1:9" x14ac:dyDescent="0.25">
      <c r="A20" s="1" t="s">
        <v>47</v>
      </c>
      <c r="B20" s="1" t="s">
        <v>41</v>
      </c>
      <c r="C20" s="5" t="s">
        <v>102</v>
      </c>
      <c r="D20" s="3"/>
      <c r="E20" s="4"/>
      <c r="F20" s="4"/>
      <c r="G20" s="21"/>
      <c r="I20" t="s">
        <v>48</v>
      </c>
    </row>
    <row r="21" spans="1:9" ht="18" x14ac:dyDescent="0.35">
      <c r="A21" s="1" t="s">
        <v>49</v>
      </c>
      <c r="B21" s="1" t="s">
        <v>41</v>
      </c>
      <c r="C21" s="33" t="s">
        <v>102</v>
      </c>
      <c r="D21" s="15">
        <v>1</v>
      </c>
      <c r="E21" s="4"/>
      <c r="F21" s="4"/>
      <c r="G21" s="21"/>
    </row>
    <row r="22" spans="1:9" x14ac:dyDescent="0.25">
      <c r="A22" s="1" t="s">
        <v>50</v>
      </c>
      <c r="B22" s="1" t="s">
        <v>41</v>
      </c>
      <c r="C22" s="33" t="s">
        <v>102</v>
      </c>
      <c r="D22" s="15">
        <v>1</v>
      </c>
      <c r="E22" s="4"/>
      <c r="F22" s="4"/>
      <c r="G22" s="21"/>
      <c r="I22" t="s">
        <v>256</v>
      </c>
    </row>
    <row r="23" spans="1:9" ht="18" x14ac:dyDescent="0.35">
      <c r="A23" s="1" t="s">
        <v>411</v>
      </c>
      <c r="B23" s="1" t="s">
        <v>41</v>
      </c>
      <c r="C23" s="33" t="s">
        <v>102</v>
      </c>
      <c r="D23" s="15">
        <v>1</v>
      </c>
      <c r="E23" s="4"/>
      <c r="F23" s="4"/>
      <c r="G23" s="21"/>
    </row>
    <row r="24" spans="1:9" ht="18" x14ac:dyDescent="0.35">
      <c r="A24" s="1" t="s">
        <v>51</v>
      </c>
      <c r="B24" s="1" t="s">
        <v>41</v>
      </c>
      <c r="C24" s="34" t="s">
        <v>102</v>
      </c>
      <c r="D24" s="15">
        <v>1</v>
      </c>
      <c r="E24" s="4"/>
      <c r="F24" s="4"/>
      <c r="G24" s="21"/>
    </row>
    <row r="25" spans="1:9" ht="18" x14ac:dyDescent="0.35">
      <c r="A25" s="1" t="s">
        <v>53</v>
      </c>
      <c r="B25" s="3" t="s">
        <v>41</v>
      </c>
      <c r="C25" s="33" t="s">
        <v>102</v>
      </c>
      <c r="D25" s="15">
        <v>1</v>
      </c>
      <c r="E25" s="26"/>
      <c r="F25" s="26"/>
      <c r="G25" s="27"/>
    </row>
    <row r="26" spans="1:9" ht="18" x14ac:dyDescent="0.35">
      <c r="A26" s="1" t="s">
        <v>54</v>
      </c>
      <c r="B26" s="3" t="s">
        <v>41</v>
      </c>
      <c r="C26" s="2" t="s">
        <v>102</v>
      </c>
      <c r="D26" s="15">
        <v>1</v>
      </c>
      <c r="E26" s="26"/>
      <c r="F26" s="26"/>
      <c r="G26" s="27"/>
    </row>
    <row r="27" spans="1:9" ht="18" x14ac:dyDescent="0.35">
      <c r="A27" s="1" t="s">
        <v>1</v>
      </c>
      <c r="B27" s="227">
        <f>B7</f>
        <v>0</v>
      </c>
      <c r="C27" s="3" t="s">
        <v>2</v>
      </c>
      <c r="D27" s="4"/>
      <c r="E27" s="4"/>
      <c r="F27" s="4"/>
      <c r="G27" s="21"/>
    </row>
    <row r="28" spans="1:9" ht="18" x14ac:dyDescent="0.35">
      <c r="A28" s="1" t="s">
        <v>177</v>
      </c>
      <c r="B28" s="228">
        <f>B9</f>
        <v>0</v>
      </c>
      <c r="C28" s="3" t="s">
        <v>2</v>
      </c>
      <c r="D28" s="4"/>
      <c r="E28" s="4"/>
      <c r="F28" s="4"/>
      <c r="G28" s="21"/>
    </row>
    <row r="29" spans="1:9" ht="18" x14ac:dyDescent="0.35">
      <c r="A29" s="36" t="s">
        <v>414</v>
      </c>
      <c r="B29" s="37">
        <f>B28/(D22*D21*D23*D24*D25*D26)</f>
        <v>0</v>
      </c>
      <c r="C29" s="3" t="s">
        <v>2</v>
      </c>
      <c r="D29" s="4"/>
      <c r="E29" s="4"/>
      <c r="F29" s="4"/>
      <c r="G29" s="21"/>
    </row>
    <row r="30" spans="1:9" x14ac:dyDescent="0.25">
      <c r="A30" s="36" t="s">
        <v>415</v>
      </c>
      <c r="B30" s="35">
        <v>1</v>
      </c>
      <c r="C30" s="3"/>
      <c r="D30" s="4"/>
      <c r="E30" s="4"/>
      <c r="F30" s="4"/>
      <c r="G30" s="21"/>
      <c r="I30" t="s">
        <v>172</v>
      </c>
    </row>
    <row r="31" spans="1:9" ht="18" x14ac:dyDescent="0.35">
      <c r="A31" s="1" t="s">
        <v>416</v>
      </c>
      <c r="B31" s="88">
        <f>B29/B30</f>
        <v>0</v>
      </c>
      <c r="C31" s="3" t="s">
        <v>2</v>
      </c>
      <c r="D31" s="4"/>
      <c r="E31" s="4"/>
      <c r="F31" s="4"/>
      <c r="G31" s="21"/>
    </row>
    <row r="32" spans="1:9" ht="18.75" x14ac:dyDescent="0.35">
      <c r="A32" s="1" t="s">
        <v>417</v>
      </c>
      <c r="B32" s="218"/>
      <c r="C32" s="25" t="s">
        <v>2</v>
      </c>
      <c r="D32" s="15"/>
      <c r="E32" s="3" t="s">
        <v>21</v>
      </c>
      <c r="F32" s="19" t="e">
        <f>B29/B32</f>
        <v>#DIV/0!</v>
      </c>
      <c r="G32" s="21" t="s">
        <v>151</v>
      </c>
    </row>
    <row r="33" spans="1:10" x14ac:dyDescent="0.25">
      <c r="A33" s="1" t="s">
        <v>304</v>
      </c>
      <c r="B33" s="50">
        <f>B30</f>
        <v>1</v>
      </c>
      <c r="C33" s="46" t="s">
        <v>151</v>
      </c>
      <c r="D33" s="46"/>
      <c r="E33" s="46"/>
      <c r="F33" s="235">
        <f>B32</f>
        <v>0</v>
      </c>
      <c r="G33" s="52" t="s">
        <v>2</v>
      </c>
      <c r="H33">
        <f>B33*F33</f>
        <v>0</v>
      </c>
      <c r="I33" s="53">
        <f>IF(B27&lt;=B28,1,0)</f>
        <v>1</v>
      </c>
      <c r="J33" s="53" t="str">
        <f>IF(B28&lt;=H33,"1","0")</f>
        <v>1</v>
      </c>
    </row>
    <row r="34" spans="1:10" ht="18" x14ac:dyDescent="0.35">
      <c r="A34" s="3" t="s">
        <v>420</v>
      </c>
      <c r="B34" s="108" t="s">
        <v>222</v>
      </c>
      <c r="C34" s="46"/>
      <c r="D34" s="29" t="str">
        <f>IF(I33+J33=2,"OK","Ikke OK")</f>
        <v>OK</v>
      </c>
      <c r="E34" s="51"/>
      <c r="F34" s="4"/>
      <c r="G34" s="21"/>
    </row>
    <row r="35" spans="1:10" ht="18" hidden="1" x14ac:dyDescent="0.35">
      <c r="A35" s="31" t="s">
        <v>233</v>
      </c>
      <c r="B35" s="110">
        <f>$B$9/(B33*D21)</f>
        <v>0</v>
      </c>
      <c r="C35" s="111">
        <f>B35</f>
        <v>0</v>
      </c>
      <c r="D35" s="112"/>
      <c r="E35" s="26"/>
      <c r="F35" s="26"/>
      <c r="G35" s="27"/>
      <c r="I35" t="s">
        <v>170</v>
      </c>
    </row>
    <row r="36" spans="1:10" x14ac:dyDescent="0.25">
      <c r="A36" s="77" t="s">
        <v>55</v>
      </c>
      <c r="B36" s="78" t="s">
        <v>5</v>
      </c>
      <c r="C36" s="78">
        <f>C16</f>
        <v>0</v>
      </c>
      <c r="D36" s="78"/>
      <c r="E36" s="78"/>
      <c r="F36" s="72"/>
      <c r="G36" s="73"/>
      <c r="I36" t="s">
        <v>171</v>
      </c>
    </row>
    <row r="37" spans="1:10" x14ac:dyDescent="0.25">
      <c r="A37" s="92" t="s">
        <v>56</v>
      </c>
      <c r="B37" s="113" t="s">
        <v>41</v>
      </c>
      <c r="C37" s="114" t="s">
        <v>57</v>
      </c>
      <c r="D37" s="92"/>
      <c r="E37" s="93"/>
      <c r="F37" s="48"/>
      <c r="G37" s="61"/>
      <c r="I37" t="s">
        <v>219</v>
      </c>
    </row>
    <row r="38" spans="1:10" ht="17.25" x14ac:dyDescent="0.25">
      <c r="A38" s="40" t="s">
        <v>58</v>
      </c>
      <c r="B38" s="229">
        <f>D32</f>
        <v>0</v>
      </c>
      <c r="C38" s="39" t="s">
        <v>21</v>
      </c>
      <c r="D38" s="41"/>
      <c r="E38" s="41"/>
      <c r="F38" s="4"/>
      <c r="G38" s="21"/>
      <c r="I38">
        <f>IF(B39=B40,1,0)</f>
        <v>1</v>
      </c>
    </row>
    <row r="39" spans="1:10" x14ac:dyDescent="0.25">
      <c r="A39" s="40" t="s">
        <v>59</v>
      </c>
      <c r="B39" s="229">
        <f>B17</f>
        <v>0</v>
      </c>
      <c r="C39" s="39"/>
      <c r="D39" s="41"/>
      <c r="E39" s="41"/>
      <c r="F39" s="4"/>
      <c r="G39" s="21"/>
    </row>
    <row r="40" spans="1:10" x14ac:dyDescent="0.25">
      <c r="A40" s="153" t="s">
        <v>60</v>
      </c>
      <c r="B40" s="152"/>
      <c r="C40" s="80"/>
      <c r="D40" s="95"/>
      <c r="E40" s="95"/>
      <c r="F40" s="26"/>
      <c r="G40" s="27"/>
    </row>
    <row r="41" spans="1:10" x14ac:dyDescent="0.25">
      <c r="A41" s="101" t="s">
        <v>61</v>
      </c>
      <c r="B41" s="102" t="str">
        <f>IF(B39=B40,"Ja","Nej")</f>
        <v>Ja</v>
      </c>
      <c r="C41" s="102"/>
      <c r="D41" s="102"/>
      <c r="E41" s="102"/>
      <c r="F41" s="103"/>
      <c r="G41" s="104"/>
      <c r="I41" t="s">
        <v>63</v>
      </c>
    </row>
    <row r="42" spans="1:10" x14ac:dyDescent="0.25">
      <c r="A42" s="54" t="s">
        <v>62</v>
      </c>
      <c r="B42" s="30">
        <v>1</v>
      </c>
      <c r="C42" s="43"/>
      <c r="D42" s="48"/>
      <c r="E42" s="48"/>
      <c r="F42" s="48"/>
      <c r="G42" s="61"/>
    </row>
    <row r="43" spans="1:10" ht="17.25" x14ac:dyDescent="0.25">
      <c r="A43" s="1" t="s">
        <v>64</v>
      </c>
      <c r="B43" s="10" t="str">
        <f>IF(I43=1,"Ja","Nej")</f>
        <v>Ja</v>
      </c>
      <c r="C43" s="43" t="s">
        <v>20</v>
      </c>
      <c r="D43" s="10">
        <f>B38</f>
        <v>0</v>
      </c>
      <c r="E43" s="3" t="s">
        <v>21</v>
      </c>
      <c r="F43" s="4"/>
      <c r="G43" s="21"/>
      <c r="I43">
        <f>IF(B38&lt;=15,1,0)</f>
        <v>1</v>
      </c>
    </row>
    <row r="44" spans="1:10" ht="17.25" x14ac:dyDescent="0.25">
      <c r="A44" s="1" t="s">
        <v>65</v>
      </c>
      <c r="B44" s="44" t="str">
        <f>IF(I44+J44=2,"Ja","Nej")</f>
        <v>Nej</v>
      </c>
      <c r="C44" s="3" t="s">
        <v>66</v>
      </c>
      <c r="D44" s="10">
        <f>16^B42</f>
        <v>16</v>
      </c>
      <c r="E44" s="3" t="s">
        <v>21</v>
      </c>
      <c r="F44" s="4"/>
      <c r="G44" s="21"/>
      <c r="I44" t="str">
        <f>IF(16&lt;B38,"1","0")</f>
        <v>0</v>
      </c>
      <c r="J44" t="str">
        <f>IF(B38&lt;=35,"1","0")</f>
        <v>1</v>
      </c>
    </row>
    <row r="45" spans="1:10" ht="17.25" x14ac:dyDescent="0.25">
      <c r="A45" s="23" t="s">
        <v>67</v>
      </c>
      <c r="B45" s="24" t="str">
        <f>IF(I45+I38=2,"Ja","Nej")</f>
        <v>Nej</v>
      </c>
      <c r="C45" s="25" t="s">
        <v>68</v>
      </c>
      <c r="D45" s="24">
        <f>(B38/2)^B42</f>
        <v>0</v>
      </c>
      <c r="E45" s="25" t="s">
        <v>21</v>
      </c>
      <c r="F45" s="26"/>
      <c r="G45" s="27"/>
      <c r="I45" t="str">
        <f>IF(B38&gt;35,"1","0")</f>
        <v>0</v>
      </c>
    </row>
    <row r="46" spans="1:10" x14ac:dyDescent="0.25">
      <c r="A46" s="105" t="s">
        <v>69</v>
      </c>
      <c r="B46" s="103" t="str">
        <f>IF(I39=0,"Ja","Nej")</f>
        <v>Ja</v>
      </c>
      <c r="C46" s="103"/>
      <c r="D46" s="103"/>
      <c r="E46" s="103"/>
      <c r="F46" s="103"/>
      <c r="G46" s="104"/>
      <c r="I46" t="s">
        <v>72</v>
      </c>
    </row>
    <row r="47" spans="1:10" ht="18" x14ac:dyDescent="0.35">
      <c r="A47" s="54" t="s">
        <v>70</v>
      </c>
      <c r="B47" s="43" t="s">
        <v>41</v>
      </c>
      <c r="C47" s="30" t="s">
        <v>71</v>
      </c>
      <c r="D47" s="81">
        <v>143</v>
      </c>
      <c r="E47" s="48"/>
      <c r="F47" s="48"/>
      <c r="G47" s="61"/>
      <c r="I47" t="s">
        <v>74</v>
      </c>
    </row>
    <row r="48" spans="1:10" ht="18" x14ac:dyDescent="0.35">
      <c r="A48" s="1" t="s">
        <v>73</v>
      </c>
      <c r="B48" s="3" t="s">
        <v>41</v>
      </c>
      <c r="C48" s="34" t="s">
        <v>71</v>
      </c>
      <c r="D48" s="15">
        <v>94</v>
      </c>
      <c r="E48" s="4"/>
      <c r="F48" s="4"/>
      <c r="G48" s="21"/>
    </row>
    <row r="49" spans="1:10" ht="18.75" x14ac:dyDescent="0.35">
      <c r="A49" s="1" t="s">
        <v>64</v>
      </c>
      <c r="B49" s="10" t="str">
        <f>IF(I49=1,"Ja","Nej")</f>
        <v>Ja</v>
      </c>
      <c r="C49" s="1" t="s">
        <v>75</v>
      </c>
      <c r="D49" s="45">
        <f>(D48/D47)*B38</f>
        <v>0</v>
      </c>
      <c r="E49" s="3" t="s">
        <v>21</v>
      </c>
      <c r="F49" s="4"/>
      <c r="G49" s="21"/>
      <c r="I49">
        <f>IF(B38&lt;=15,1,0)</f>
        <v>1</v>
      </c>
    </row>
    <row r="50" spans="1:10" ht="18.75" x14ac:dyDescent="0.35">
      <c r="A50" s="1" t="s">
        <v>65</v>
      </c>
      <c r="B50" s="44" t="str">
        <f>IF(I50+J50=2,"Ja","Nej")</f>
        <v>Nej</v>
      </c>
      <c r="C50" s="1" t="s">
        <v>76</v>
      </c>
      <c r="D50" s="45">
        <f>(D48/D47)*16</f>
        <v>10.517482517482517</v>
      </c>
      <c r="E50" s="3" t="s">
        <v>21</v>
      </c>
      <c r="F50" s="4"/>
      <c r="G50" s="21"/>
      <c r="I50" t="str">
        <f>IF(16&lt;B38,"1","0")</f>
        <v>0</v>
      </c>
      <c r="J50" t="str">
        <f>IF(B38&lt;=35,"1","0")</f>
        <v>1</v>
      </c>
    </row>
    <row r="51" spans="1:10" ht="18.75" x14ac:dyDescent="0.35">
      <c r="A51" s="1" t="s">
        <v>67</v>
      </c>
      <c r="B51" s="10" t="str">
        <f>IF(I51=1,"Ja","Nej")</f>
        <v>Nej</v>
      </c>
      <c r="C51" s="1" t="s">
        <v>77</v>
      </c>
      <c r="D51" s="45">
        <f>(D48/D47)*(B38/2)</f>
        <v>0</v>
      </c>
      <c r="E51" s="3" t="s">
        <v>21</v>
      </c>
      <c r="F51" s="4"/>
      <c r="G51" s="21"/>
      <c r="I51">
        <f>IF(B38&gt;35,1,0)</f>
        <v>0</v>
      </c>
    </row>
    <row r="52" spans="1:10" x14ac:dyDescent="0.25">
      <c r="A52" s="1" t="s">
        <v>78</v>
      </c>
      <c r="B52" s="28">
        <f>B33</f>
        <v>1</v>
      </c>
      <c r="C52" s="46" t="s">
        <v>151</v>
      </c>
      <c r="D52" s="46"/>
      <c r="E52" s="46"/>
      <c r="F52" s="46"/>
      <c r="G52" s="29"/>
    </row>
    <row r="53" spans="1:10" x14ac:dyDescent="0.25">
      <c r="A53" s="32" t="s">
        <v>141</v>
      </c>
    </row>
    <row r="54" spans="1:10" x14ac:dyDescent="0.25">
      <c r="A54" t="s">
        <v>448</v>
      </c>
    </row>
    <row r="55" spans="1:10" ht="18" x14ac:dyDescent="0.35">
      <c r="A55" s="71" t="s">
        <v>366</v>
      </c>
      <c r="B55" s="72" t="s">
        <v>261</v>
      </c>
      <c r="C55" s="72">
        <f>C36</f>
        <v>0</v>
      </c>
      <c r="D55" s="72"/>
      <c r="E55" s="72"/>
      <c r="F55" s="72"/>
      <c r="G55" s="116"/>
      <c r="H55" t="s">
        <v>345</v>
      </c>
      <c r="I55" t="s">
        <v>220</v>
      </c>
      <c r="J55" t="s">
        <v>346</v>
      </c>
    </row>
    <row r="56" spans="1:10" x14ac:dyDescent="0.25">
      <c r="A56" s="54" t="s">
        <v>185</v>
      </c>
      <c r="B56" s="49"/>
      <c r="C56" s="3" t="s">
        <v>184</v>
      </c>
      <c r="D56" s="4"/>
      <c r="E56" s="4"/>
      <c r="F56" s="4"/>
      <c r="G56" s="21"/>
      <c r="H56" s="56">
        <f>RADIANS(E62)</f>
        <v>0</v>
      </c>
      <c r="I56">
        <f>B62*COS(H56)</f>
        <v>0</v>
      </c>
      <c r="J56">
        <f>B62*SIN(H56)</f>
        <v>0</v>
      </c>
    </row>
    <row r="57" spans="1:10" x14ac:dyDescent="0.25">
      <c r="A57" s="54" t="s">
        <v>376</v>
      </c>
      <c r="B57" s="236">
        <f>B33</f>
        <v>1</v>
      </c>
      <c r="C57" s="3" t="s">
        <v>130</v>
      </c>
      <c r="D57" s="4"/>
      <c r="E57" s="4"/>
      <c r="F57" s="4"/>
      <c r="G57" s="21"/>
      <c r="H57" s="56">
        <f>RADIANS(E63)</f>
        <v>1.5707963267948966</v>
      </c>
      <c r="I57">
        <f>B63*COS(H57)</f>
        <v>0</v>
      </c>
      <c r="J57">
        <f>B63*SIN(H57)</f>
        <v>0</v>
      </c>
    </row>
    <row r="58" spans="1:10" x14ac:dyDescent="0.25">
      <c r="A58" s="54" t="s">
        <v>55</v>
      </c>
      <c r="B58" s="49">
        <v>1</v>
      </c>
      <c r="C58" s="3"/>
      <c r="D58" s="4"/>
      <c r="E58" s="4"/>
      <c r="F58" s="4"/>
      <c r="G58" s="21"/>
      <c r="H58" s="56"/>
    </row>
    <row r="59" spans="1:10" x14ac:dyDescent="0.25">
      <c r="A59" s="69" t="s">
        <v>278</v>
      </c>
      <c r="B59" s="81">
        <f>IF(H60=1,1.8,1.5)</f>
        <v>1.8</v>
      </c>
      <c r="C59" s="3"/>
      <c r="D59" s="4"/>
      <c r="E59" s="4"/>
      <c r="F59" s="4"/>
      <c r="G59" s="21"/>
      <c r="H59" s="56"/>
      <c r="I59">
        <f>I56+I57</f>
        <v>0</v>
      </c>
      <c r="J59">
        <f>J56+J57</f>
        <v>0</v>
      </c>
    </row>
    <row r="60" spans="1:10" x14ac:dyDescent="0.25">
      <c r="A60" s="1" t="s">
        <v>238</v>
      </c>
      <c r="B60" s="15"/>
      <c r="C60" s="3" t="s">
        <v>279</v>
      </c>
      <c r="D60" s="4"/>
      <c r="E60" s="4"/>
      <c r="F60" s="4"/>
      <c r="G60" s="21"/>
      <c r="H60">
        <f>IF(C17=90,1,0)</f>
        <v>1</v>
      </c>
    </row>
    <row r="61" spans="1:10" x14ac:dyDescent="0.25">
      <c r="A61" s="1" t="s">
        <v>239</v>
      </c>
      <c r="B61" s="225"/>
      <c r="C61" s="3" t="s">
        <v>279</v>
      </c>
      <c r="D61" s="4"/>
      <c r="E61" s="160"/>
      <c r="F61" s="160"/>
      <c r="G61" s="21"/>
      <c r="H61" t="s">
        <v>345</v>
      </c>
      <c r="I61" t="s">
        <v>220</v>
      </c>
      <c r="J61" t="s">
        <v>346</v>
      </c>
    </row>
    <row r="62" spans="1:10" x14ac:dyDescent="0.25">
      <c r="A62" s="1" t="s">
        <v>355</v>
      </c>
      <c r="B62" s="10">
        <f>B56*B60</f>
        <v>0</v>
      </c>
      <c r="C62" s="54" t="s">
        <v>237</v>
      </c>
      <c r="D62" s="54" t="s">
        <v>7</v>
      </c>
      <c r="E62" s="49">
        <v>0</v>
      </c>
      <c r="F62" s="9" t="s">
        <v>8</v>
      </c>
      <c r="G62" s="21"/>
      <c r="H62" s="56">
        <f>RADIANS(E62)</f>
        <v>0</v>
      </c>
      <c r="I62">
        <f>B59*(B62*COS(H62))</f>
        <v>0</v>
      </c>
      <c r="J62">
        <f>B62*SIN(H62)</f>
        <v>0</v>
      </c>
    </row>
    <row r="63" spans="1:10" x14ac:dyDescent="0.25">
      <c r="A63" s="1" t="s">
        <v>356</v>
      </c>
      <c r="B63" s="10">
        <f>B56*B61</f>
        <v>0</v>
      </c>
      <c r="C63" s="1" t="s">
        <v>237</v>
      </c>
      <c r="D63" s="54" t="s">
        <v>7</v>
      </c>
      <c r="E63" s="2">
        <v>90</v>
      </c>
      <c r="F63" s="9" t="s">
        <v>8</v>
      </c>
      <c r="G63" s="21"/>
      <c r="H63" s="56">
        <f>RADIANS(E63)</f>
        <v>1.5707963267948966</v>
      </c>
      <c r="I63">
        <f>B63*COS(H63)</f>
        <v>0</v>
      </c>
      <c r="J63">
        <f>B63*SIN(H63)</f>
        <v>0</v>
      </c>
    </row>
    <row r="64" spans="1:10" ht="18" x14ac:dyDescent="0.35">
      <c r="A64" s="1" t="s">
        <v>377</v>
      </c>
      <c r="B64" s="205">
        <f>SQRT(I59^2+J59^2)</f>
        <v>0</v>
      </c>
      <c r="C64" s="1" t="s">
        <v>237</v>
      </c>
      <c r="D64" s="54" t="s">
        <v>7</v>
      </c>
      <c r="E64" s="19" t="e">
        <f>DEGREES(ATAN2(I59,J59))</f>
        <v>#DIV/0!</v>
      </c>
      <c r="F64" s="9" t="s">
        <v>8</v>
      </c>
      <c r="G64" s="21"/>
      <c r="H64" s="56"/>
      <c r="I64">
        <f>I62+I63</f>
        <v>0</v>
      </c>
      <c r="J64">
        <f>J62+J63</f>
        <v>0</v>
      </c>
    </row>
    <row r="65" spans="1:10" ht="18" x14ac:dyDescent="0.35">
      <c r="A65" s="1" t="s">
        <v>399</v>
      </c>
      <c r="B65" s="205">
        <f>B57*(B58*(SQRT(I64^2+J64^2)))</f>
        <v>0</v>
      </c>
      <c r="C65" s="1" t="s">
        <v>237</v>
      </c>
      <c r="D65" s="1" t="s">
        <v>7</v>
      </c>
      <c r="E65" s="19" t="e">
        <f>DEGREES(ATAN2(I64,J64))</f>
        <v>#DIV/0!</v>
      </c>
      <c r="F65" s="9" t="s">
        <v>8</v>
      </c>
      <c r="G65" s="21"/>
    </row>
    <row r="66" spans="1:10" x14ac:dyDescent="0.25">
      <c r="A66" t="s">
        <v>9</v>
      </c>
      <c r="B66">
        <v>0.08</v>
      </c>
    </row>
    <row r="67" spans="1:10" x14ac:dyDescent="0.25">
      <c r="A67" t="s">
        <v>10</v>
      </c>
      <c r="B67">
        <v>0.15</v>
      </c>
    </row>
    <row r="68" spans="1:10" ht="18" x14ac:dyDescent="0.35">
      <c r="A68" s="71" t="s">
        <v>398</v>
      </c>
      <c r="B68" s="72" t="s">
        <v>261</v>
      </c>
      <c r="C68" s="72">
        <f>C55</f>
        <v>0</v>
      </c>
      <c r="D68" s="72" t="s">
        <v>425</v>
      </c>
      <c r="E68" s="72"/>
      <c r="F68" s="72"/>
      <c r="G68" s="116"/>
      <c r="H68" t="s">
        <v>345</v>
      </c>
      <c r="I68" t="s">
        <v>220</v>
      </c>
      <c r="J68" t="s">
        <v>346</v>
      </c>
    </row>
    <row r="69" spans="1:10" x14ac:dyDescent="0.25">
      <c r="A69" s="54" t="s">
        <v>185</v>
      </c>
      <c r="B69" s="49">
        <f>B56</f>
        <v>0</v>
      </c>
      <c r="C69" s="3" t="s">
        <v>184</v>
      </c>
      <c r="D69" s="4"/>
      <c r="E69" s="4"/>
      <c r="F69" s="4"/>
      <c r="G69" s="21"/>
      <c r="H69" s="56">
        <f>RADIANS(E74)</f>
        <v>0</v>
      </c>
      <c r="I69">
        <f>B74*COS(H69)</f>
        <v>0</v>
      </c>
      <c r="J69">
        <f>B74*SIN(H69)</f>
        <v>0</v>
      </c>
    </row>
    <row r="70" spans="1:10" x14ac:dyDescent="0.25">
      <c r="A70" s="54" t="s">
        <v>376</v>
      </c>
      <c r="B70" s="226">
        <f>B52</f>
        <v>1</v>
      </c>
      <c r="C70" s="3" t="s">
        <v>130</v>
      </c>
      <c r="D70" s="4"/>
      <c r="E70" s="4"/>
      <c r="F70" s="4"/>
      <c r="G70" s="21"/>
      <c r="H70" s="56">
        <f>RADIANS(E75)</f>
        <v>1.5707963267948966</v>
      </c>
      <c r="I70">
        <f>B75*COS(H70)</f>
        <v>0</v>
      </c>
      <c r="J70">
        <f>B75*SIN(H70)</f>
        <v>0</v>
      </c>
    </row>
    <row r="71" spans="1:10" x14ac:dyDescent="0.25">
      <c r="A71" s="69" t="s">
        <v>278</v>
      </c>
      <c r="B71" s="81">
        <f>B59</f>
        <v>1.8</v>
      </c>
      <c r="C71" s="3"/>
      <c r="D71" s="4"/>
      <c r="E71" s="4"/>
      <c r="F71" s="4"/>
      <c r="G71" s="21"/>
      <c r="H71" s="56"/>
      <c r="I71">
        <f>I69+I70</f>
        <v>0</v>
      </c>
      <c r="J71">
        <f>J69+J70</f>
        <v>0</v>
      </c>
    </row>
    <row r="72" spans="1:10" x14ac:dyDescent="0.25">
      <c r="A72" s="1" t="s">
        <v>238</v>
      </c>
      <c r="B72" s="15"/>
      <c r="C72" s="3" t="s">
        <v>279</v>
      </c>
      <c r="D72" s="4"/>
      <c r="E72" s="4"/>
      <c r="F72" s="4"/>
      <c r="G72" s="21"/>
      <c r="H72">
        <f>IF(B39="AL",1,0)</f>
        <v>0</v>
      </c>
    </row>
    <row r="73" spans="1:10" x14ac:dyDescent="0.25">
      <c r="A73" s="1" t="s">
        <v>239</v>
      </c>
      <c r="B73" s="225"/>
      <c r="C73" s="3" t="s">
        <v>279</v>
      </c>
      <c r="D73" s="4"/>
      <c r="E73" s="160"/>
      <c r="F73" s="160"/>
      <c r="G73" s="21"/>
      <c r="H73" t="s">
        <v>345</v>
      </c>
      <c r="I73" t="s">
        <v>220</v>
      </c>
      <c r="J73" t="s">
        <v>346</v>
      </c>
    </row>
    <row r="74" spans="1:10" x14ac:dyDescent="0.25">
      <c r="A74" s="1" t="s">
        <v>355</v>
      </c>
      <c r="B74" s="10">
        <f>B69*B72</f>
        <v>0</v>
      </c>
      <c r="C74" s="54" t="s">
        <v>237</v>
      </c>
      <c r="D74" s="54" t="s">
        <v>7</v>
      </c>
      <c r="E74" s="49">
        <v>0</v>
      </c>
      <c r="F74" s="9" t="s">
        <v>8</v>
      </c>
      <c r="G74" s="21"/>
      <c r="H74" s="56">
        <f>RADIANS(E74)</f>
        <v>0</v>
      </c>
      <c r="I74">
        <f>B71*(B74*COS(H74))</f>
        <v>0</v>
      </c>
      <c r="J74">
        <f>B74*SIN(H74)</f>
        <v>0</v>
      </c>
    </row>
    <row r="75" spans="1:10" x14ac:dyDescent="0.25">
      <c r="A75" s="1" t="s">
        <v>356</v>
      </c>
      <c r="B75" s="10">
        <f>B69*B73</f>
        <v>0</v>
      </c>
      <c r="C75" s="1" t="s">
        <v>237</v>
      </c>
      <c r="D75" s="54" t="s">
        <v>7</v>
      </c>
      <c r="E75" s="2">
        <v>90</v>
      </c>
      <c r="F75" s="9" t="s">
        <v>8</v>
      </c>
      <c r="G75" s="21"/>
      <c r="H75" s="56">
        <f>RADIANS(E75)</f>
        <v>1.5707963267948966</v>
      </c>
      <c r="I75">
        <f>B75*COS(H75)</f>
        <v>0</v>
      </c>
      <c r="J75">
        <f>B75*SIN(H75)</f>
        <v>0</v>
      </c>
    </row>
    <row r="76" spans="1:10" ht="18" x14ac:dyDescent="0.35">
      <c r="A76" s="1" t="s">
        <v>377</v>
      </c>
      <c r="B76" s="205">
        <f>SQRT(I71^2+J71^2)</f>
        <v>0</v>
      </c>
      <c r="C76" s="1" t="s">
        <v>237</v>
      </c>
      <c r="D76" s="54" t="s">
        <v>7</v>
      </c>
      <c r="E76" s="19" t="e">
        <f>DEGREES(ATAN2(I71,J71))</f>
        <v>#DIV/0!</v>
      </c>
      <c r="F76" s="9" t="s">
        <v>8</v>
      </c>
      <c r="G76" s="21"/>
      <c r="H76" s="56"/>
      <c r="I76">
        <f>I74+I75</f>
        <v>0</v>
      </c>
      <c r="J76">
        <f>J74+J75</f>
        <v>0</v>
      </c>
    </row>
    <row r="77" spans="1:10" ht="18" x14ac:dyDescent="0.35">
      <c r="A77" s="1" t="s">
        <v>390</v>
      </c>
      <c r="B77" s="205">
        <f>B70*(SQRT(I76^2+J76^2))</f>
        <v>0</v>
      </c>
      <c r="C77" s="1" t="s">
        <v>237</v>
      </c>
      <c r="D77" s="1" t="s">
        <v>7</v>
      </c>
      <c r="E77" s="19" t="e">
        <f>DEGREES(ATAN2(I76,J76))</f>
        <v>#DIV/0!</v>
      </c>
      <c r="F77" s="9" t="s">
        <v>8</v>
      </c>
      <c r="G77" s="21"/>
    </row>
    <row r="80" spans="1:10" ht="18" x14ac:dyDescent="0.35">
      <c r="A80" s="71" t="s">
        <v>379</v>
      </c>
      <c r="B80" s="72" t="s">
        <v>5</v>
      </c>
      <c r="C80" s="72">
        <f>C55</f>
        <v>0</v>
      </c>
      <c r="D80" s="72"/>
      <c r="E80" s="72"/>
      <c r="F80" s="72"/>
      <c r="G80" s="73"/>
      <c r="H80" t="s">
        <v>345</v>
      </c>
      <c r="I80" t="s">
        <v>220</v>
      </c>
      <c r="J80" t="s">
        <v>346</v>
      </c>
    </row>
    <row r="81" spans="1:11" ht="18" x14ac:dyDescent="0.35">
      <c r="A81" s="54" t="s">
        <v>347</v>
      </c>
      <c r="B81" s="197" t="e">
        <f>IM!$B$33</f>
        <v>#N/A</v>
      </c>
      <c r="C81" s="69" t="s">
        <v>237</v>
      </c>
      <c r="D81" s="54" t="s">
        <v>7</v>
      </c>
      <c r="E81" s="184" t="e">
        <f>IM!$E$33</f>
        <v>#N/A</v>
      </c>
      <c r="F81" s="20" t="s">
        <v>8</v>
      </c>
      <c r="G81" s="61"/>
      <c r="H81" s="56" t="e">
        <f>RADIANS(E81)</f>
        <v>#N/A</v>
      </c>
      <c r="I81" t="e">
        <f>B81*COS(H81)</f>
        <v>#N/A</v>
      </c>
      <c r="J81" t="e">
        <f>B81*SIN(H81)</f>
        <v>#N/A</v>
      </c>
    </row>
    <row r="82" spans="1:11" ht="18" x14ac:dyDescent="0.35">
      <c r="A82" s="31" t="s">
        <v>348</v>
      </c>
      <c r="B82" s="198" t="e">
        <f>IM!$B$54</f>
        <v>#DIV/0!</v>
      </c>
      <c r="C82" s="199" t="s">
        <v>237</v>
      </c>
      <c r="D82" s="31" t="s">
        <v>7</v>
      </c>
      <c r="E82" s="200" t="e">
        <f>IM!$E$54</f>
        <v>#DIV/0!</v>
      </c>
      <c r="F82" s="201" t="s">
        <v>8</v>
      </c>
      <c r="G82" s="173"/>
      <c r="H82" s="56" t="e">
        <f>RADIANS(E82)</f>
        <v>#DIV/0!</v>
      </c>
      <c r="I82" t="e">
        <f>B82*COS(H82)</f>
        <v>#DIV/0!</v>
      </c>
      <c r="J82" t="e">
        <f>B82*SIN(H82)</f>
        <v>#DIV/0!</v>
      </c>
      <c r="K82" t="s">
        <v>173</v>
      </c>
    </row>
    <row r="83" spans="1:11" ht="18" x14ac:dyDescent="0.35">
      <c r="A83" s="105" t="s">
        <v>383</v>
      </c>
      <c r="B83" s="202"/>
      <c r="C83" s="203"/>
      <c r="D83" s="103"/>
      <c r="E83" s="202"/>
      <c r="F83" s="203"/>
      <c r="G83" s="104"/>
      <c r="H83" s="56"/>
    </row>
    <row r="84" spans="1:11" x14ac:dyDescent="0.25">
      <c r="A84" s="54" t="s">
        <v>303</v>
      </c>
      <c r="B84" s="197"/>
      <c r="C84" s="69" t="s">
        <v>237</v>
      </c>
      <c r="D84" s="54" t="s">
        <v>7</v>
      </c>
      <c r="E84" s="197"/>
      <c r="F84" s="20" t="s">
        <v>8</v>
      </c>
      <c r="G84" s="61"/>
      <c r="H84" s="56">
        <f>RADIANS(E84)</f>
        <v>0</v>
      </c>
      <c r="I84">
        <f>B84*COS(H84)</f>
        <v>0</v>
      </c>
      <c r="J84">
        <f>B84*SIN(H84)</f>
        <v>0</v>
      </c>
    </row>
    <row r="85" spans="1:11" x14ac:dyDescent="0.25">
      <c r="A85" s="1" t="s">
        <v>175</v>
      </c>
      <c r="B85" s="204"/>
      <c r="C85" s="69" t="s">
        <v>237</v>
      </c>
      <c r="D85" s="54" t="s">
        <v>7</v>
      </c>
      <c r="E85" s="204"/>
      <c r="F85" s="20" t="s">
        <v>8</v>
      </c>
      <c r="G85" s="61"/>
      <c r="H85" s="56">
        <f t="shared" ref="H85:H88" si="0">RADIANS(E85)</f>
        <v>0</v>
      </c>
      <c r="I85">
        <f t="shared" ref="I85:I88" si="1">B85*COS(H85)</f>
        <v>0</v>
      </c>
      <c r="J85">
        <f t="shared" ref="J85:J88" si="2">B85*SIN(H85)</f>
        <v>0</v>
      </c>
    </row>
    <row r="86" spans="1:11" x14ac:dyDescent="0.25">
      <c r="A86" s="1" t="s">
        <v>335</v>
      </c>
      <c r="B86" s="204"/>
      <c r="C86" s="69" t="s">
        <v>237</v>
      </c>
      <c r="D86" s="54" t="s">
        <v>7</v>
      </c>
      <c r="E86" s="204"/>
      <c r="F86" s="20" t="s">
        <v>8</v>
      </c>
      <c r="G86" s="61"/>
      <c r="H86" s="56">
        <f t="shared" si="0"/>
        <v>0</v>
      </c>
      <c r="I86">
        <f t="shared" si="1"/>
        <v>0</v>
      </c>
      <c r="J86">
        <f t="shared" si="2"/>
        <v>0</v>
      </c>
    </row>
    <row r="87" spans="1:11" x14ac:dyDescent="0.25">
      <c r="A87" s="1" t="s">
        <v>336</v>
      </c>
      <c r="B87" s="204"/>
      <c r="C87" s="69" t="s">
        <v>237</v>
      </c>
      <c r="D87" s="54" t="s">
        <v>7</v>
      </c>
      <c r="E87" s="204"/>
      <c r="F87" s="20" t="s">
        <v>8</v>
      </c>
      <c r="G87" s="61"/>
      <c r="H87" s="56">
        <f t="shared" si="0"/>
        <v>0</v>
      </c>
      <c r="I87">
        <f t="shared" si="1"/>
        <v>0</v>
      </c>
      <c r="J87">
        <f t="shared" si="2"/>
        <v>0</v>
      </c>
    </row>
    <row r="88" spans="1:11" x14ac:dyDescent="0.25">
      <c r="A88" s="1" t="s">
        <v>337</v>
      </c>
      <c r="B88" s="204"/>
      <c r="C88" s="69" t="s">
        <v>237</v>
      </c>
      <c r="D88" s="54" t="s">
        <v>7</v>
      </c>
      <c r="E88" s="204"/>
      <c r="F88" s="20" t="s">
        <v>8</v>
      </c>
      <c r="G88" s="61"/>
      <c r="H88" s="56">
        <f t="shared" si="0"/>
        <v>0</v>
      </c>
      <c r="I88">
        <f t="shared" si="1"/>
        <v>0</v>
      </c>
      <c r="J88">
        <f t="shared" si="2"/>
        <v>0</v>
      </c>
    </row>
    <row r="89" spans="1:11" ht="18" x14ac:dyDescent="0.35">
      <c r="A89" s="1" t="s">
        <v>381</v>
      </c>
      <c r="B89" s="205" t="e">
        <f>SQRT(I89^2+J89^2)</f>
        <v>#N/A</v>
      </c>
      <c r="C89" s="69" t="s">
        <v>237</v>
      </c>
      <c r="D89" s="54" t="s">
        <v>7</v>
      </c>
      <c r="E89" s="19" t="e">
        <f>DEGREES(ATAN2(I89,J89))</f>
        <v>#N/A</v>
      </c>
      <c r="F89" s="20" t="s">
        <v>8</v>
      </c>
      <c r="G89" s="61"/>
      <c r="I89" t="e">
        <f>I81+I82+I84+I85+I86+I87+I88</f>
        <v>#N/A</v>
      </c>
      <c r="J89" t="e">
        <f>J81+J82+J84+J85+J86+J87+J88</f>
        <v>#N/A</v>
      </c>
    </row>
    <row r="92" spans="1:11" ht="18" x14ac:dyDescent="0.35">
      <c r="A92" s="71" t="s">
        <v>380</v>
      </c>
      <c r="B92" s="72" t="s">
        <v>5</v>
      </c>
      <c r="C92" s="72">
        <f>C80</f>
        <v>0</v>
      </c>
      <c r="D92" s="72"/>
      <c r="E92" s="72"/>
      <c r="F92" s="72"/>
      <c r="G92" s="73"/>
      <c r="H92" t="s">
        <v>345</v>
      </c>
      <c r="I92" t="s">
        <v>220</v>
      </c>
      <c r="J92" t="s">
        <v>346</v>
      </c>
    </row>
    <row r="93" spans="1:11" ht="18" x14ac:dyDescent="0.35">
      <c r="A93" s="54" t="s">
        <v>353</v>
      </c>
      <c r="B93" s="197" t="e">
        <f>IM!$B$34</f>
        <v>#N/A</v>
      </c>
      <c r="C93" s="69" t="s">
        <v>237</v>
      </c>
      <c r="D93" s="54" t="s">
        <v>7</v>
      </c>
      <c r="E93" s="184" t="e">
        <f>IM!$E$34</f>
        <v>#N/A</v>
      </c>
      <c r="F93" s="20" t="s">
        <v>8</v>
      </c>
      <c r="G93" s="61"/>
      <c r="H93" s="56" t="e">
        <f>RADIANS(E93)</f>
        <v>#N/A</v>
      </c>
      <c r="I93" t="e">
        <f>B93*COS(H93)</f>
        <v>#N/A</v>
      </c>
      <c r="J93" t="e">
        <f>B93*SIN(H93)</f>
        <v>#N/A</v>
      </c>
    </row>
    <row r="94" spans="1:11" ht="18" x14ac:dyDescent="0.35">
      <c r="A94" s="31" t="s">
        <v>348</v>
      </c>
      <c r="B94" s="198" t="e">
        <f>B82</f>
        <v>#DIV/0!</v>
      </c>
      <c r="C94" s="199" t="s">
        <v>237</v>
      </c>
      <c r="D94" s="31" t="s">
        <v>7</v>
      </c>
      <c r="E94" s="200" t="e">
        <f>E82</f>
        <v>#DIV/0!</v>
      </c>
      <c r="F94" s="201" t="s">
        <v>8</v>
      </c>
      <c r="G94" s="173"/>
      <c r="H94" s="56" t="e">
        <f>RADIANS(E94)</f>
        <v>#DIV/0!</v>
      </c>
      <c r="I94" t="e">
        <f>B94*COS(H94)</f>
        <v>#DIV/0!</v>
      </c>
      <c r="J94" t="e">
        <f>B94*SIN(H94)</f>
        <v>#DIV/0!</v>
      </c>
    </row>
    <row r="95" spans="1:11" ht="18" x14ac:dyDescent="0.35">
      <c r="A95" s="105" t="s">
        <v>384</v>
      </c>
      <c r="B95" s="202"/>
      <c r="C95" s="203"/>
      <c r="D95" s="103"/>
      <c r="E95" s="202"/>
      <c r="F95" s="203"/>
      <c r="G95" s="104"/>
      <c r="H95" s="56"/>
    </row>
    <row r="96" spans="1:11" x14ac:dyDescent="0.25">
      <c r="A96" s="1" t="str">
        <f>A84</f>
        <v>W1</v>
      </c>
      <c r="B96" s="204"/>
      <c r="C96" s="69" t="s">
        <v>237</v>
      </c>
      <c r="D96" s="54" t="s">
        <v>7</v>
      </c>
      <c r="E96" s="204"/>
      <c r="F96" s="20" t="s">
        <v>8</v>
      </c>
      <c r="G96" s="61"/>
      <c r="H96" s="56">
        <f>RADIANS(E96)</f>
        <v>0</v>
      </c>
      <c r="I96">
        <f>B96*COS(H96)</f>
        <v>0</v>
      </c>
      <c r="J96">
        <f>B96*SIN(H96)</f>
        <v>0</v>
      </c>
    </row>
    <row r="97" spans="1:10" x14ac:dyDescent="0.25">
      <c r="A97" s="1" t="str">
        <f t="shared" ref="A97:A100" si="3">A85</f>
        <v>W2</v>
      </c>
      <c r="B97" s="204"/>
      <c r="C97" s="69" t="s">
        <v>237</v>
      </c>
      <c r="D97" s="54" t="s">
        <v>7</v>
      </c>
      <c r="E97" s="204"/>
      <c r="F97" s="20" t="s">
        <v>8</v>
      </c>
      <c r="G97" s="61"/>
      <c r="H97" s="56">
        <f>RADIANS(E97)</f>
        <v>0</v>
      </c>
      <c r="I97">
        <f t="shared" ref="I97:I100" si="4">B97*COS(H97)</f>
        <v>0</v>
      </c>
      <c r="J97">
        <f t="shared" ref="J97:J100" si="5">B97*SIN(H97)</f>
        <v>0</v>
      </c>
    </row>
    <row r="98" spans="1:10" x14ac:dyDescent="0.25">
      <c r="A98" s="1" t="str">
        <f t="shared" si="3"/>
        <v>W3</v>
      </c>
      <c r="B98" s="204"/>
      <c r="C98" s="69" t="s">
        <v>237</v>
      </c>
      <c r="D98" s="54" t="s">
        <v>7</v>
      </c>
      <c r="E98" s="204"/>
      <c r="F98" s="20" t="s">
        <v>8</v>
      </c>
      <c r="G98" s="61"/>
      <c r="H98" s="56">
        <f t="shared" ref="H98:H100" si="6">RADIANS(E98)</f>
        <v>0</v>
      </c>
      <c r="I98">
        <f t="shared" si="4"/>
        <v>0</v>
      </c>
      <c r="J98">
        <f t="shared" si="5"/>
        <v>0</v>
      </c>
    </row>
    <row r="99" spans="1:10" x14ac:dyDescent="0.25">
      <c r="A99" s="1" t="str">
        <f t="shared" si="3"/>
        <v>W4</v>
      </c>
      <c r="B99" s="204"/>
      <c r="C99" s="69" t="s">
        <v>237</v>
      </c>
      <c r="D99" s="54" t="s">
        <v>7</v>
      </c>
      <c r="E99" s="204"/>
      <c r="F99" s="20" t="s">
        <v>8</v>
      </c>
      <c r="G99" s="61"/>
      <c r="H99" s="56">
        <f t="shared" si="6"/>
        <v>0</v>
      </c>
      <c r="I99">
        <f t="shared" si="4"/>
        <v>0</v>
      </c>
      <c r="J99">
        <f t="shared" si="5"/>
        <v>0</v>
      </c>
    </row>
    <row r="100" spans="1:10" x14ac:dyDescent="0.25">
      <c r="A100" s="1" t="str">
        <f t="shared" si="3"/>
        <v>W5</v>
      </c>
      <c r="B100" s="204"/>
      <c r="C100" s="69" t="s">
        <v>237</v>
      </c>
      <c r="D100" s="54" t="s">
        <v>7</v>
      </c>
      <c r="E100" s="204"/>
      <c r="F100" s="20" t="s">
        <v>8</v>
      </c>
      <c r="G100" s="61"/>
      <c r="H100" s="56">
        <f t="shared" si="6"/>
        <v>0</v>
      </c>
      <c r="I100">
        <f t="shared" si="4"/>
        <v>0</v>
      </c>
      <c r="J100">
        <f t="shared" si="5"/>
        <v>0</v>
      </c>
    </row>
    <row r="101" spans="1:10" ht="18" x14ac:dyDescent="0.35">
      <c r="A101" s="1" t="s">
        <v>382</v>
      </c>
      <c r="B101" s="205" t="e">
        <f>SQRT(I101^2+J101^2)</f>
        <v>#N/A</v>
      </c>
      <c r="C101" s="69" t="s">
        <v>237</v>
      </c>
      <c r="D101" s="54" t="s">
        <v>7</v>
      </c>
      <c r="E101" s="19" t="e">
        <f>DEGREES(ATAN2(I101,J101))</f>
        <v>#N/A</v>
      </c>
      <c r="F101" s="20" t="s">
        <v>8</v>
      </c>
      <c r="G101" s="61"/>
      <c r="I101" t="e">
        <f>I93+I94+I96+I97+I98+I99+I100</f>
        <v>#N/A</v>
      </c>
      <c r="J101" t="e">
        <f>J93+J94+J96+J97+J98+J99+J100</f>
        <v>#N/A</v>
      </c>
    </row>
    <row r="104" spans="1:10" ht="18" x14ac:dyDescent="0.35">
      <c r="A104" s="71" t="s">
        <v>236</v>
      </c>
      <c r="B104" s="82" t="s">
        <v>5</v>
      </c>
      <c r="C104" s="78">
        <f>C6</f>
        <v>0</v>
      </c>
      <c r="D104" s="78"/>
      <c r="E104" s="72"/>
      <c r="F104" s="74"/>
      <c r="G104" s="117"/>
    </row>
    <row r="105" spans="1:10" ht="18" x14ac:dyDescent="0.35">
      <c r="A105" s="1" t="s">
        <v>166</v>
      </c>
      <c r="B105" s="34">
        <v>400</v>
      </c>
      <c r="C105" s="3" t="s">
        <v>12</v>
      </c>
      <c r="D105" s="4"/>
      <c r="E105" s="4"/>
      <c r="F105" s="26"/>
      <c r="G105" s="27"/>
    </row>
    <row r="106" spans="1:10" ht="18" x14ac:dyDescent="0.35">
      <c r="A106" s="3" t="s">
        <v>432</v>
      </c>
      <c r="B106" s="204" t="e">
        <f>B89</f>
        <v>#N/A</v>
      </c>
      <c r="C106" s="69" t="s">
        <v>237</v>
      </c>
      <c r="D106" s="54" t="s">
        <v>7</v>
      </c>
      <c r="E106" s="184">
        <f>E97</f>
        <v>0</v>
      </c>
      <c r="F106" s="9" t="s">
        <v>8</v>
      </c>
      <c r="G106" s="21"/>
    </row>
    <row r="107" spans="1:10" ht="18" x14ac:dyDescent="0.35">
      <c r="A107" s="54" t="s">
        <v>434</v>
      </c>
      <c r="B107" s="91" t="e">
        <f>B105/(SQRT(3)*B106)</f>
        <v>#N/A</v>
      </c>
      <c r="C107" s="1" t="s">
        <v>80</v>
      </c>
      <c r="D107" s="1" t="s">
        <v>7</v>
      </c>
      <c r="E107" s="208" t="e">
        <f>E89</f>
        <v>#N/A</v>
      </c>
      <c r="F107" s="9" t="s">
        <v>8</v>
      </c>
      <c r="G107" s="21"/>
    </row>
    <row r="110" spans="1:10" ht="18" x14ac:dyDescent="0.35">
      <c r="A110" s="71" t="s">
        <v>438</v>
      </c>
      <c r="B110" s="82" t="s">
        <v>5</v>
      </c>
      <c r="C110" s="78">
        <f>C104</f>
        <v>0</v>
      </c>
      <c r="D110" s="78"/>
      <c r="E110" s="72"/>
      <c r="F110" s="74"/>
      <c r="G110" s="117"/>
    </row>
    <row r="111" spans="1:10" ht="18" x14ac:dyDescent="0.35">
      <c r="A111" s="1" t="s">
        <v>166</v>
      </c>
      <c r="B111" s="34">
        <v>400</v>
      </c>
      <c r="C111" s="121" t="s">
        <v>12</v>
      </c>
      <c r="D111" s="122"/>
      <c r="E111" s="122"/>
      <c r="F111" s="124"/>
      <c r="G111" s="125"/>
    </row>
    <row r="112" spans="1:10" ht="18" x14ac:dyDescent="0.35">
      <c r="A112" s="3" t="s">
        <v>433</v>
      </c>
      <c r="B112" s="204" t="e">
        <f>B101</f>
        <v>#N/A</v>
      </c>
      <c r="C112" s="69" t="s">
        <v>237</v>
      </c>
      <c r="D112" s="54" t="s">
        <v>7</v>
      </c>
      <c r="E112" s="184" t="e">
        <f>E101</f>
        <v>#N/A</v>
      </c>
      <c r="F112" s="9" t="s">
        <v>8</v>
      </c>
      <c r="G112" s="21"/>
    </row>
    <row r="113" spans="1:10" ht="18" x14ac:dyDescent="0.35">
      <c r="A113" s="54" t="s">
        <v>437</v>
      </c>
      <c r="B113" s="91" t="e">
        <f>B111/(SQRT(3)*B112)</f>
        <v>#N/A</v>
      </c>
      <c r="C113" s="1" t="s">
        <v>80</v>
      </c>
      <c r="D113" s="1" t="s">
        <v>7</v>
      </c>
      <c r="E113" s="186" t="e">
        <f>-E112</f>
        <v>#N/A</v>
      </c>
      <c r="F113" s="9" t="s">
        <v>8</v>
      </c>
      <c r="G113" s="21"/>
    </row>
    <row r="116" spans="1:10" x14ac:dyDescent="0.25">
      <c r="A116" s="71" t="s">
        <v>4</v>
      </c>
      <c r="B116" s="72" t="s">
        <v>5</v>
      </c>
      <c r="C116" s="74">
        <f>C6</f>
        <v>0</v>
      </c>
      <c r="D116" s="74"/>
      <c r="E116" s="74"/>
      <c r="F116" s="74"/>
      <c r="G116" s="117"/>
      <c r="I116">
        <f>IF(B17="CU",1,0)</f>
        <v>0</v>
      </c>
      <c r="J116">
        <f>IF(B17="AL",1,0)</f>
        <v>0</v>
      </c>
    </row>
    <row r="117" spans="1:10" x14ac:dyDescent="0.25">
      <c r="A117" s="54" t="s">
        <v>23</v>
      </c>
      <c r="B117" s="134">
        <f>I117+J117</f>
        <v>0</v>
      </c>
      <c r="C117" s="3"/>
      <c r="D117" s="4" t="s">
        <v>447</v>
      </c>
      <c r="E117" s="4"/>
      <c r="F117" s="4"/>
      <c r="G117" s="21"/>
      <c r="I117">
        <f>IF(I116=1,143,0)</f>
        <v>0</v>
      </c>
      <c r="J117">
        <f>IF(J116=1,94,0)</f>
        <v>0</v>
      </c>
    </row>
    <row r="118" spans="1:10" ht="17.25" x14ac:dyDescent="0.25">
      <c r="A118" s="1" t="s">
        <v>20</v>
      </c>
      <c r="B118" s="219">
        <f>D32</f>
        <v>0</v>
      </c>
      <c r="C118" s="43" t="s">
        <v>21</v>
      </c>
      <c r="D118" s="51"/>
      <c r="E118" s="51"/>
      <c r="F118" s="51"/>
      <c r="G118" s="173"/>
    </row>
    <row r="119" spans="1:10" ht="18" x14ac:dyDescent="0.35">
      <c r="A119" s="1" t="s">
        <v>339</v>
      </c>
      <c r="B119" s="227">
        <f>B12</f>
        <v>0</v>
      </c>
      <c r="C119" s="25" t="s">
        <v>80</v>
      </c>
      <c r="D119" s="26"/>
      <c r="E119" s="26"/>
      <c r="F119" s="26"/>
      <c r="G119" s="27"/>
    </row>
    <row r="120" spans="1:10" ht="17.25" x14ac:dyDescent="0.25">
      <c r="A120" s="1" t="s">
        <v>245</v>
      </c>
      <c r="B120" s="38"/>
      <c r="C120" s="3" t="s">
        <v>32</v>
      </c>
      <c r="D120" s="4" t="s">
        <v>240</v>
      </c>
      <c r="E120" s="4"/>
      <c r="F120" s="4"/>
      <c r="G120" s="21"/>
    </row>
    <row r="121" spans="1:10" ht="17.25" x14ac:dyDescent="0.25">
      <c r="A121" s="1" t="s">
        <v>93</v>
      </c>
      <c r="B121" s="141">
        <f>(B117*B118)^2</f>
        <v>0</v>
      </c>
      <c r="C121" s="43" t="s">
        <v>32</v>
      </c>
      <c r="D121" s="48"/>
      <c r="E121" s="51"/>
      <c r="F121" s="51"/>
      <c r="G121" s="173"/>
    </row>
    <row r="122" spans="1:10" ht="17.25" x14ac:dyDescent="0.25">
      <c r="A122" s="3" t="s">
        <v>246</v>
      </c>
      <c r="B122" s="28" t="s">
        <v>195</v>
      </c>
      <c r="C122" s="118"/>
      <c r="D122" s="118" t="str">
        <f>IF(B120&lt;=B121,"OK","Ikke OK")</f>
        <v>OK</v>
      </c>
      <c r="E122" s="3"/>
      <c r="F122" s="4"/>
      <c r="G122" s="21"/>
    </row>
    <row r="124" spans="1:10" x14ac:dyDescent="0.25">
      <c r="A124" t="s">
        <v>450</v>
      </c>
    </row>
    <row r="125" spans="1:10" x14ac:dyDescent="0.25">
      <c r="A125" s="71" t="s">
        <v>97</v>
      </c>
      <c r="B125" s="72" t="s">
        <v>5</v>
      </c>
      <c r="C125" s="72">
        <f>C116</f>
        <v>0</v>
      </c>
      <c r="D125" s="72"/>
      <c r="E125" s="72"/>
      <c r="F125" s="72"/>
      <c r="G125" s="116"/>
    </row>
    <row r="126" spans="1:10" x14ac:dyDescent="0.25">
      <c r="A126" s="105" t="s">
        <v>96</v>
      </c>
      <c r="B126" s="238" t="s">
        <v>452</v>
      </c>
      <c r="C126" s="103"/>
      <c r="D126" s="103"/>
      <c r="E126" s="103"/>
      <c r="F126" s="103"/>
      <c r="G126" s="104"/>
      <c r="H126" t="s">
        <v>453</v>
      </c>
    </row>
    <row r="127" spans="1:10" ht="18" x14ac:dyDescent="0.35">
      <c r="A127" s="1" t="s">
        <v>177</v>
      </c>
      <c r="B127" s="187">
        <f>B9</f>
        <v>0</v>
      </c>
      <c r="C127" s="251" t="s">
        <v>2</v>
      </c>
      <c r="D127" s="252"/>
      <c r="E127" s="4"/>
      <c r="F127" s="4"/>
      <c r="G127" s="21"/>
    </row>
    <row r="128" spans="1:10" ht="18" x14ac:dyDescent="0.35">
      <c r="A128" s="1" t="s">
        <v>99</v>
      </c>
      <c r="B128" s="2"/>
      <c r="C128" s="3" t="s">
        <v>2</v>
      </c>
      <c r="D128" s="4"/>
      <c r="E128" s="4"/>
      <c r="F128" s="4"/>
      <c r="G128" s="21"/>
      <c r="H128" t="s">
        <v>482</v>
      </c>
    </row>
    <row r="129" spans="1:10" ht="18" x14ac:dyDescent="0.35">
      <c r="A129" s="1" t="s">
        <v>451</v>
      </c>
      <c r="B129" s="2"/>
      <c r="C129" s="3" t="s">
        <v>2</v>
      </c>
      <c r="D129" s="4"/>
      <c r="E129" s="4"/>
      <c r="F129" s="4"/>
      <c r="G129" s="21"/>
      <c r="H129" t="s">
        <v>483</v>
      </c>
    </row>
    <row r="130" spans="1:10" ht="18" x14ac:dyDescent="0.35">
      <c r="A130" s="1" t="s">
        <v>454</v>
      </c>
      <c r="B130" s="24">
        <f>4*0.8*B127</f>
        <v>0</v>
      </c>
      <c r="C130" s="25" t="s">
        <v>2</v>
      </c>
      <c r="D130" s="26"/>
      <c r="E130" s="4"/>
      <c r="F130" s="4"/>
      <c r="G130" s="21"/>
      <c r="H130" s="246" t="s">
        <v>486</v>
      </c>
      <c r="I130" s="246"/>
      <c r="J130" s="246"/>
    </row>
    <row r="131" spans="1:10" ht="18" x14ac:dyDescent="0.35">
      <c r="A131" s="3" t="s">
        <v>455</v>
      </c>
      <c r="B131" s="28" t="s">
        <v>97</v>
      </c>
      <c r="C131" s="46"/>
      <c r="D131" s="46"/>
      <c r="E131" s="239" t="str">
        <f>IF(B130&gt;=B128,"OK","Ikke OK")</f>
        <v>OK</v>
      </c>
      <c r="F131" s="4"/>
      <c r="G131" s="21"/>
      <c r="H131" s="246" t="s">
        <v>486</v>
      </c>
      <c r="I131" s="246"/>
      <c r="J131" s="246"/>
    </row>
    <row r="132" spans="1:10" ht="18" x14ac:dyDescent="0.35">
      <c r="A132" s="9" t="s">
        <v>456</v>
      </c>
      <c r="B132" s="28" t="s">
        <v>97</v>
      </c>
      <c r="C132" s="46"/>
      <c r="D132" s="46"/>
      <c r="E132" s="240" t="str">
        <f>IF(B130&gt;=B129,"OK","Ikke OK")</f>
        <v>OK</v>
      </c>
      <c r="F132" s="4"/>
      <c r="G132" s="21"/>
      <c r="H132" s="246" t="s">
        <v>486</v>
      </c>
      <c r="I132" s="246"/>
      <c r="J132" s="246"/>
    </row>
    <row r="133" spans="1:10" ht="18" x14ac:dyDescent="0.35">
      <c r="A133" s="1" t="s">
        <v>439</v>
      </c>
      <c r="B133" s="204" t="e">
        <f>B113*10^3</f>
        <v>#N/A</v>
      </c>
      <c r="C133" s="3" t="s">
        <v>2</v>
      </c>
      <c r="D133" s="194"/>
      <c r="E133" s="4"/>
      <c r="F133" s="4"/>
      <c r="G133" s="21"/>
    </row>
    <row r="134" spans="1:10" ht="18" x14ac:dyDescent="0.35">
      <c r="A134" s="3" t="s">
        <v>457</v>
      </c>
      <c r="B134" s="10">
        <f>4*1.2*B127</f>
        <v>0</v>
      </c>
      <c r="C134" s="48" t="s">
        <v>2</v>
      </c>
      <c r="D134" s="241"/>
      <c r="E134" s="4"/>
      <c r="F134" s="4"/>
      <c r="G134" s="21"/>
    </row>
    <row r="135" spans="1:10" ht="18" x14ac:dyDescent="0.35">
      <c r="A135" s="3" t="s">
        <v>458</v>
      </c>
      <c r="B135" s="28" t="s">
        <v>97</v>
      </c>
      <c r="C135" s="46"/>
      <c r="D135" s="46"/>
      <c r="E135" s="239" t="e">
        <f>IF(B134&lt;=B133,"OK","Ikke OK")</f>
        <v>#N/A</v>
      </c>
      <c r="F135" s="4"/>
      <c r="G135" s="21"/>
    </row>
    <row r="136" spans="1:10" x14ac:dyDescent="0.25">
      <c r="A136" s="105" t="s">
        <v>95</v>
      </c>
      <c r="B136" s="238" t="s">
        <v>452</v>
      </c>
      <c r="C136" s="238"/>
      <c r="D136" s="103"/>
      <c r="E136" s="103"/>
      <c r="F136" s="103"/>
      <c r="G136" s="104"/>
    </row>
    <row r="137" spans="1:10" ht="18" x14ac:dyDescent="0.35">
      <c r="A137" s="1" t="s">
        <v>177</v>
      </c>
      <c r="B137" s="187">
        <f>B127</f>
        <v>0</v>
      </c>
      <c r="C137" s="251" t="s">
        <v>2</v>
      </c>
      <c r="D137" s="252"/>
      <c r="E137" s="4"/>
      <c r="F137" s="4"/>
      <c r="G137" s="21"/>
    </row>
    <row r="138" spans="1:10" ht="18" x14ac:dyDescent="0.35">
      <c r="A138" s="1" t="s">
        <v>99</v>
      </c>
      <c r="B138" s="2">
        <f>B128</f>
        <v>0</v>
      </c>
      <c r="C138" s="3" t="s">
        <v>2</v>
      </c>
      <c r="D138" s="4"/>
      <c r="E138" s="4"/>
      <c r="F138" s="4"/>
      <c r="G138" s="21"/>
    </row>
    <row r="139" spans="1:10" ht="18" x14ac:dyDescent="0.35">
      <c r="A139" s="1" t="s">
        <v>451</v>
      </c>
      <c r="B139" s="2">
        <f>B129</f>
        <v>0</v>
      </c>
      <c r="C139" s="3" t="s">
        <v>2</v>
      </c>
      <c r="D139" s="4"/>
      <c r="E139" s="4"/>
      <c r="F139" s="4"/>
      <c r="G139" s="21"/>
    </row>
    <row r="140" spans="1:10" ht="18" x14ac:dyDescent="0.35">
      <c r="A140" s="1" t="s">
        <v>484</v>
      </c>
      <c r="B140" s="10">
        <f>8*0.8*B137</f>
        <v>0</v>
      </c>
      <c r="C140" s="3" t="s">
        <v>2</v>
      </c>
      <c r="D140" s="4"/>
      <c r="E140" s="4"/>
      <c r="F140" s="4"/>
      <c r="G140" s="21"/>
      <c r="H140" s="246" t="s">
        <v>486</v>
      </c>
      <c r="I140" s="246"/>
      <c r="J140" s="246"/>
    </row>
    <row r="141" spans="1:10" ht="18" x14ac:dyDescent="0.35">
      <c r="A141" s="3" t="s">
        <v>455</v>
      </c>
      <c r="B141" s="28" t="s">
        <v>97</v>
      </c>
      <c r="C141" s="46"/>
      <c r="D141" s="46"/>
      <c r="E141" s="239" t="str">
        <f>IF(B140&gt;=B138,"OK","Ikke OK")</f>
        <v>OK</v>
      </c>
      <c r="F141" s="4"/>
      <c r="G141" s="21"/>
      <c r="H141" s="246" t="s">
        <v>486</v>
      </c>
      <c r="I141" s="246"/>
      <c r="J141" s="246"/>
    </row>
    <row r="142" spans="1:10" ht="18" x14ac:dyDescent="0.35">
      <c r="A142" s="9" t="s">
        <v>456</v>
      </c>
      <c r="B142" s="28" t="s">
        <v>97</v>
      </c>
      <c r="C142" s="46"/>
      <c r="D142" s="46"/>
      <c r="E142" s="239" t="str">
        <f>IF(B140&gt;=B139,"OK","Ikke OK")</f>
        <v>OK</v>
      </c>
      <c r="F142" s="4"/>
      <c r="G142" s="21"/>
      <c r="H142" s="246" t="s">
        <v>486</v>
      </c>
      <c r="I142" s="246"/>
      <c r="J142" s="246"/>
    </row>
    <row r="143" spans="1:10" ht="18" x14ac:dyDescent="0.35">
      <c r="A143" s="1" t="s">
        <v>439</v>
      </c>
      <c r="B143" s="204" t="e">
        <f>B133</f>
        <v>#N/A</v>
      </c>
      <c r="C143" s="3" t="s">
        <v>2</v>
      </c>
      <c r="D143" s="194"/>
      <c r="E143" s="4"/>
      <c r="F143" s="4"/>
      <c r="G143" s="21"/>
    </row>
    <row r="144" spans="1:10" ht="18" x14ac:dyDescent="0.35">
      <c r="A144" s="3" t="s">
        <v>459</v>
      </c>
      <c r="B144" s="10">
        <f>8*1.2*B137</f>
        <v>0</v>
      </c>
      <c r="C144" s="48" t="s">
        <v>2</v>
      </c>
      <c r="D144" s="241"/>
      <c r="E144" s="4"/>
      <c r="F144" s="4"/>
      <c r="G144" s="21"/>
    </row>
    <row r="145" spans="1:10" ht="18" x14ac:dyDescent="0.35">
      <c r="A145" s="3" t="s">
        <v>458</v>
      </c>
      <c r="B145" s="28" t="s">
        <v>97</v>
      </c>
      <c r="C145" s="46"/>
      <c r="D145" s="46"/>
      <c r="E145" s="239" t="e">
        <f>IF(B144&lt;=B143,"OK","Ikke OK")</f>
        <v>#N/A</v>
      </c>
      <c r="F145" s="4"/>
      <c r="G145" s="21"/>
    </row>
    <row r="146" spans="1:10" x14ac:dyDescent="0.25">
      <c r="A146" s="105" t="s">
        <v>467</v>
      </c>
      <c r="B146" s="238" t="s">
        <v>452</v>
      </c>
      <c r="C146" s="238"/>
      <c r="D146" s="103"/>
      <c r="E146" s="103"/>
      <c r="F146" s="103"/>
      <c r="G146" s="104"/>
    </row>
    <row r="147" spans="1:10" ht="18" x14ac:dyDescent="0.35">
      <c r="A147" s="1" t="s">
        <v>177</v>
      </c>
      <c r="B147" s="187">
        <f>B127</f>
        <v>0</v>
      </c>
      <c r="C147" s="251" t="s">
        <v>2</v>
      </c>
      <c r="D147" s="252"/>
      <c r="E147" s="4"/>
      <c r="F147" s="4"/>
      <c r="G147" s="21"/>
    </row>
    <row r="148" spans="1:10" ht="18" x14ac:dyDescent="0.35">
      <c r="A148" s="1" t="s">
        <v>99</v>
      </c>
      <c r="B148" s="2">
        <f>B128</f>
        <v>0</v>
      </c>
      <c r="C148" s="3" t="s">
        <v>2</v>
      </c>
      <c r="D148" s="4"/>
      <c r="E148" s="4"/>
      <c r="F148" s="4"/>
      <c r="G148" s="21"/>
    </row>
    <row r="149" spans="1:10" ht="18" x14ac:dyDescent="0.35">
      <c r="A149" s="1" t="s">
        <v>451</v>
      </c>
      <c r="B149" s="2">
        <f>B129</f>
        <v>0</v>
      </c>
      <c r="C149" s="3" t="s">
        <v>2</v>
      </c>
      <c r="D149" s="4"/>
      <c r="E149" s="4"/>
      <c r="F149" s="4"/>
      <c r="G149" s="21"/>
    </row>
    <row r="150" spans="1:10" ht="18" x14ac:dyDescent="0.35">
      <c r="A150" s="1" t="s">
        <v>485</v>
      </c>
      <c r="B150" s="10">
        <f>12*0.8*B147</f>
        <v>0</v>
      </c>
      <c r="C150" s="3" t="s">
        <v>2</v>
      </c>
      <c r="D150" s="4"/>
      <c r="E150" s="4"/>
      <c r="F150" s="4"/>
      <c r="G150" s="21"/>
      <c r="H150" s="246" t="s">
        <v>486</v>
      </c>
      <c r="I150" s="246"/>
      <c r="J150" s="246"/>
    </row>
    <row r="151" spans="1:10" ht="18" x14ac:dyDescent="0.35">
      <c r="A151" s="3" t="s">
        <v>455</v>
      </c>
      <c r="B151" s="28" t="s">
        <v>97</v>
      </c>
      <c r="C151" s="46"/>
      <c r="D151" s="46"/>
      <c r="E151" s="239" t="str">
        <f>IF(B150&gt;=B148,"OK","Ikke OK")</f>
        <v>OK</v>
      </c>
      <c r="F151" s="4"/>
      <c r="G151" s="21"/>
      <c r="H151" s="246" t="s">
        <v>486</v>
      </c>
      <c r="I151" s="246"/>
      <c r="J151" s="246"/>
    </row>
    <row r="152" spans="1:10" ht="18" x14ac:dyDescent="0.35">
      <c r="A152" s="9" t="s">
        <v>456</v>
      </c>
      <c r="B152" s="97" t="s">
        <v>97</v>
      </c>
      <c r="C152" s="118"/>
      <c r="D152" s="94"/>
      <c r="E152" s="240" t="str">
        <f>IF(B150&gt;=B149,"OK","Ikke OK")</f>
        <v>OK</v>
      </c>
      <c r="F152" s="4"/>
      <c r="G152" s="21"/>
      <c r="H152" s="246" t="s">
        <v>486</v>
      </c>
      <c r="I152" s="246"/>
      <c r="J152" s="246"/>
    </row>
    <row r="153" spans="1:10" ht="18" x14ac:dyDescent="0.35">
      <c r="A153" s="1" t="s">
        <v>439</v>
      </c>
      <c r="B153" s="204" t="e">
        <f>B143</f>
        <v>#N/A</v>
      </c>
      <c r="C153" s="3" t="s">
        <v>2</v>
      </c>
      <c r="D153" s="194"/>
      <c r="E153" s="4"/>
      <c r="F153" s="4"/>
      <c r="G153" s="21"/>
    </row>
    <row r="154" spans="1:10" ht="18" x14ac:dyDescent="0.35">
      <c r="A154" s="3" t="s">
        <v>460</v>
      </c>
      <c r="B154" s="10">
        <f>12*1.2*B147</f>
        <v>0</v>
      </c>
      <c r="C154" s="48" t="s">
        <v>2</v>
      </c>
      <c r="D154" s="241"/>
      <c r="E154" s="4"/>
      <c r="F154" s="4"/>
      <c r="G154" s="21"/>
    </row>
    <row r="155" spans="1:10" ht="18" x14ac:dyDescent="0.35">
      <c r="A155" s="3" t="s">
        <v>458</v>
      </c>
      <c r="B155" s="28" t="s">
        <v>97</v>
      </c>
      <c r="C155" s="46"/>
      <c r="D155" s="46"/>
      <c r="E155" s="239" t="e">
        <f>IF(B154&lt;=B153,"OK","Ikke OK")</f>
        <v>#N/A</v>
      </c>
      <c r="F155" s="4"/>
      <c r="G155" s="21"/>
    </row>
    <row r="157" spans="1:10" x14ac:dyDescent="0.25">
      <c r="A157" t="s">
        <v>449</v>
      </c>
      <c r="H157" s="76"/>
      <c r="I157" s="76"/>
      <c r="J157" s="76"/>
    </row>
    <row r="158" spans="1:10" x14ac:dyDescent="0.25">
      <c r="A158" s="71" t="s">
        <v>97</v>
      </c>
      <c r="B158" s="72" t="s">
        <v>5</v>
      </c>
      <c r="C158" s="72">
        <f>C125</f>
        <v>0</v>
      </c>
      <c r="D158" s="72"/>
      <c r="E158" s="72"/>
      <c r="F158" s="72"/>
      <c r="G158" s="116"/>
    </row>
    <row r="159" spans="1:10" x14ac:dyDescent="0.25">
      <c r="A159" s="105" t="s">
        <v>96</v>
      </c>
      <c r="B159" s="238" t="s">
        <v>470</v>
      </c>
      <c r="C159" s="103"/>
      <c r="D159" s="103"/>
      <c r="E159" s="103"/>
      <c r="F159" s="103"/>
      <c r="G159" s="104"/>
    </row>
    <row r="160" spans="1:10" ht="18" x14ac:dyDescent="0.35">
      <c r="A160" s="1" t="s">
        <v>177</v>
      </c>
      <c r="B160" s="187">
        <f>B9</f>
        <v>0</v>
      </c>
      <c r="C160" s="251" t="s">
        <v>2</v>
      </c>
      <c r="D160" s="252"/>
      <c r="E160" s="4"/>
      <c r="F160" s="4"/>
      <c r="G160" s="21"/>
    </row>
    <row r="161" spans="1:11" ht="18" x14ac:dyDescent="0.35">
      <c r="A161" s="1" t="s">
        <v>439</v>
      </c>
      <c r="B161" s="204" t="e">
        <f>B113</f>
        <v>#N/A</v>
      </c>
      <c r="C161" s="3" t="s">
        <v>2</v>
      </c>
      <c r="D161" s="194"/>
      <c r="E161" s="4"/>
      <c r="F161" s="4"/>
      <c r="G161" s="21"/>
    </row>
    <row r="162" spans="1:11" ht="18" x14ac:dyDescent="0.35">
      <c r="A162" s="3" t="s">
        <v>468</v>
      </c>
      <c r="B162" s="10">
        <f>5*B160</f>
        <v>0</v>
      </c>
      <c r="C162" s="48" t="s">
        <v>2</v>
      </c>
      <c r="D162" s="241"/>
      <c r="E162" s="4"/>
      <c r="F162" s="4"/>
      <c r="G162" s="21"/>
    </row>
    <row r="163" spans="1:11" ht="18" x14ac:dyDescent="0.35">
      <c r="A163" s="3" t="s">
        <v>458</v>
      </c>
      <c r="B163" s="28" t="s">
        <v>97</v>
      </c>
      <c r="C163" s="46"/>
      <c r="D163" s="46"/>
      <c r="E163" s="239" t="e">
        <f>IF(B162&lt;=B161,"OK","Ikke OK")</f>
        <v>#N/A</v>
      </c>
      <c r="F163" s="4"/>
      <c r="G163" s="21"/>
    </row>
    <row r="164" spans="1:11" x14ac:dyDescent="0.25">
      <c r="A164" s="105" t="s">
        <v>95</v>
      </c>
      <c r="B164" s="238" t="s">
        <v>470</v>
      </c>
      <c r="C164" s="238"/>
      <c r="D164" s="103"/>
      <c r="E164" s="103"/>
      <c r="F164" s="103"/>
      <c r="G164" s="104"/>
    </row>
    <row r="165" spans="1:11" ht="18" x14ac:dyDescent="0.35">
      <c r="A165" s="1" t="s">
        <v>177</v>
      </c>
      <c r="B165" s="187">
        <f>B160</f>
        <v>0</v>
      </c>
      <c r="C165" s="251" t="s">
        <v>2</v>
      </c>
      <c r="D165" s="252"/>
      <c r="E165" s="4"/>
      <c r="F165" s="4"/>
      <c r="G165" s="21"/>
    </row>
    <row r="166" spans="1:11" ht="18" x14ac:dyDescent="0.35">
      <c r="A166" s="1" t="s">
        <v>439</v>
      </c>
      <c r="B166" s="204" t="e">
        <f>B161</f>
        <v>#N/A</v>
      </c>
      <c r="C166" s="3" t="s">
        <v>2</v>
      </c>
      <c r="D166" s="194"/>
      <c r="E166" s="4"/>
      <c r="F166" s="4"/>
      <c r="G166" s="21"/>
    </row>
    <row r="167" spans="1:11" ht="18" x14ac:dyDescent="0.35">
      <c r="A167" s="3" t="s">
        <v>469</v>
      </c>
      <c r="B167" s="10">
        <f>10*B165</f>
        <v>0</v>
      </c>
      <c r="C167" s="48" t="s">
        <v>2</v>
      </c>
      <c r="D167" s="241"/>
      <c r="E167" s="4"/>
      <c r="F167" s="4"/>
      <c r="G167" s="21"/>
    </row>
    <row r="168" spans="1:11" ht="18" x14ac:dyDescent="0.35">
      <c r="A168" s="3" t="s">
        <v>458</v>
      </c>
      <c r="B168" s="28" t="s">
        <v>97</v>
      </c>
      <c r="C168" s="46"/>
      <c r="D168" s="46"/>
      <c r="E168" s="239" t="e">
        <f>IF(B167&lt;=B166,"OK","Ikke OK")</f>
        <v>#N/A</v>
      </c>
      <c r="F168" s="4"/>
      <c r="G168" s="21"/>
    </row>
    <row r="169" spans="1:11" x14ac:dyDescent="0.25">
      <c r="A169" s="105" t="s">
        <v>467</v>
      </c>
      <c r="B169" s="238" t="s">
        <v>470</v>
      </c>
      <c r="C169" s="238"/>
      <c r="D169" s="103"/>
      <c r="E169" s="103"/>
      <c r="F169" s="103"/>
      <c r="G169" s="104"/>
    </row>
    <row r="170" spans="1:11" ht="18" x14ac:dyDescent="0.35">
      <c r="A170" s="1" t="s">
        <v>177</v>
      </c>
      <c r="B170" s="187">
        <f>B165</f>
        <v>0</v>
      </c>
      <c r="C170" s="251" t="s">
        <v>2</v>
      </c>
      <c r="D170" s="252"/>
      <c r="E170" s="4"/>
      <c r="F170" s="4"/>
      <c r="G170" s="21"/>
    </row>
    <row r="171" spans="1:11" ht="18" x14ac:dyDescent="0.35">
      <c r="A171" s="1" t="s">
        <v>439</v>
      </c>
      <c r="B171" s="204" t="e">
        <f>B166</f>
        <v>#N/A</v>
      </c>
      <c r="C171" s="3" t="s">
        <v>2</v>
      </c>
      <c r="D171" s="194"/>
      <c r="E171" s="4"/>
      <c r="F171" s="4"/>
      <c r="G171" s="21"/>
    </row>
    <row r="172" spans="1:11" ht="18" x14ac:dyDescent="0.35">
      <c r="A172" s="3" t="s">
        <v>471</v>
      </c>
      <c r="B172" s="10">
        <f>14*B170</f>
        <v>0</v>
      </c>
      <c r="C172" s="48" t="s">
        <v>2</v>
      </c>
      <c r="D172" s="241"/>
      <c r="E172" s="4"/>
      <c r="F172" s="4"/>
      <c r="G172" s="21"/>
    </row>
    <row r="173" spans="1:11" ht="18" x14ac:dyDescent="0.35">
      <c r="A173" s="3" t="s">
        <v>458</v>
      </c>
      <c r="B173" s="28" t="s">
        <v>97</v>
      </c>
      <c r="C173" s="46"/>
      <c r="D173" s="46"/>
      <c r="E173" s="239" t="e">
        <f>IF(B172&lt;=B171,"OK","Ikke OK")</f>
        <v>#N/A</v>
      </c>
      <c r="F173" s="4"/>
      <c r="G173" s="21"/>
    </row>
    <row r="175" spans="1:11" x14ac:dyDescent="0.25">
      <c r="K175" s="66" t="s">
        <v>270</v>
      </c>
    </row>
    <row r="176" spans="1:11" x14ac:dyDescent="0.25">
      <c r="A176" s="71" t="s">
        <v>260</v>
      </c>
      <c r="B176" s="72" t="s">
        <v>261</v>
      </c>
      <c r="C176" s="72">
        <f>C158</f>
        <v>0</v>
      </c>
      <c r="D176" s="72"/>
      <c r="E176" s="72"/>
      <c r="F176" s="72"/>
      <c r="G176" s="73"/>
      <c r="K176" t="s">
        <v>269</v>
      </c>
    </row>
    <row r="177" spans="1:14" ht="18" x14ac:dyDescent="0.35">
      <c r="A177" s="1" t="s">
        <v>271</v>
      </c>
      <c r="B177" s="178"/>
      <c r="C177" s="3" t="s">
        <v>19</v>
      </c>
      <c r="D177" s="4"/>
      <c r="E177" s="4"/>
      <c r="F177" s="4"/>
      <c r="G177" s="21"/>
    </row>
    <row r="178" spans="1:14" ht="18" x14ac:dyDescent="0.35">
      <c r="A178" s="1" t="s">
        <v>262</v>
      </c>
      <c r="B178" s="15">
        <f>IF(J178=1,M178+N178,M179+N179)</f>
        <v>0.4</v>
      </c>
      <c r="C178" s="3" t="s">
        <v>19</v>
      </c>
      <c r="D178" s="4" t="s">
        <v>445</v>
      </c>
      <c r="E178" s="4"/>
      <c r="F178" s="4"/>
      <c r="G178" s="21"/>
      <c r="I178" t="s">
        <v>267</v>
      </c>
      <c r="J178">
        <f>IF(B3="TT",1,0)</f>
        <v>0</v>
      </c>
      <c r="K178" s="86">
        <v>0</v>
      </c>
      <c r="L178">
        <f>IF(K178=1,63,32)</f>
        <v>32</v>
      </c>
      <c r="M178">
        <f>IF(B9&lt;=L178,0.2,0)</f>
        <v>0.2</v>
      </c>
      <c r="N178">
        <f>IF(B9&gt;L178,1,0)</f>
        <v>0</v>
      </c>
    </row>
    <row r="179" spans="1:14" ht="18" x14ac:dyDescent="0.35">
      <c r="A179" s="1" t="s">
        <v>365</v>
      </c>
      <c r="B179" s="28" t="s">
        <v>260</v>
      </c>
      <c r="C179" s="46"/>
      <c r="D179" s="29" t="str">
        <f>IF(B177&lt;=B178,"OK","Ikke OK")</f>
        <v>OK</v>
      </c>
      <c r="E179" s="4"/>
      <c r="F179" s="4"/>
      <c r="G179" s="21"/>
      <c r="I179" t="s">
        <v>268</v>
      </c>
      <c r="J179">
        <f>IF(B3="TT",0,1)</f>
        <v>1</v>
      </c>
      <c r="K179" s="86">
        <v>0</v>
      </c>
      <c r="L179">
        <f>IF(K179=1,63,32)</f>
        <v>32</v>
      </c>
      <c r="M179">
        <f>IF(B9&lt;=L179,0.4,0)</f>
        <v>0.4</v>
      </c>
      <c r="N179">
        <f>IF(B9&gt;L179,5,0)</f>
        <v>0</v>
      </c>
    </row>
    <row r="182" spans="1:14" x14ac:dyDescent="0.25">
      <c r="A182" s="71" t="s">
        <v>441</v>
      </c>
      <c r="B182" s="72" t="s">
        <v>5</v>
      </c>
      <c r="C182" s="72">
        <f>C176</f>
        <v>0</v>
      </c>
      <c r="D182" s="72"/>
      <c r="E182" s="72"/>
      <c r="F182" s="72"/>
      <c r="G182" s="73"/>
    </row>
    <row r="183" spans="1:14" ht="18" x14ac:dyDescent="0.35">
      <c r="A183" s="54" t="s">
        <v>177</v>
      </c>
      <c r="B183" s="187">
        <f>B9</f>
        <v>0</v>
      </c>
      <c r="C183" s="43" t="s">
        <v>2</v>
      </c>
      <c r="D183" s="48"/>
      <c r="E183" s="48"/>
      <c r="F183" s="48"/>
      <c r="G183" s="61"/>
    </row>
    <row r="184" spans="1:14" ht="18" x14ac:dyDescent="0.35">
      <c r="A184" s="1" t="s">
        <v>442</v>
      </c>
      <c r="B184" s="15">
        <v>32</v>
      </c>
      <c r="C184" s="3" t="s">
        <v>2</v>
      </c>
      <c r="D184" s="4" t="s">
        <v>443</v>
      </c>
      <c r="E184" s="4"/>
      <c r="F184" s="4"/>
      <c r="G184" s="21"/>
    </row>
    <row r="185" spans="1:14" ht="18" x14ac:dyDescent="0.35">
      <c r="A185" s="1" t="s">
        <v>444</v>
      </c>
      <c r="B185" s="14" t="str">
        <f>IF(B183&gt;B184,"Ikke RCD","RCD")</f>
        <v>RCD</v>
      </c>
      <c r="C185" s="3"/>
      <c r="D185" s="4"/>
      <c r="E185" s="4"/>
      <c r="F185" s="4"/>
      <c r="G185" s="21"/>
    </row>
  </sheetData>
  <mergeCells count="8">
    <mergeCell ref="C165:D165"/>
    <mergeCell ref="C170:D170"/>
    <mergeCell ref="C7:D7"/>
    <mergeCell ref="C9:D9"/>
    <mergeCell ref="C127:D127"/>
    <mergeCell ref="C137:D137"/>
    <mergeCell ref="C147:D147"/>
    <mergeCell ref="C160:D16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71"/>
  <sheetViews>
    <sheetView workbookViewId="0">
      <selection activeCell="H135" sqref="H135"/>
    </sheetView>
  </sheetViews>
  <sheetFormatPr defaultRowHeight="15" x14ac:dyDescent="0.25"/>
  <cols>
    <col min="1" max="1" width="34.85546875" customWidth="1"/>
    <col min="2" max="6" width="10.7109375" customWidth="1"/>
    <col min="7" max="7" width="5.7109375" customWidth="1"/>
  </cols>
  <sheetData>
    <row r="3" spans="1:8" x14ac:dyDescent="0.25">
      <c r="A3" s="177" t="s">
        <v>265</v>
      </c>
      <c r="B3" s="175"/>
      <c r="C3" s="176"/>
      <c r="D3" s="83"/>
      <c r="E3" s="83"/>
      <c r="F3" s="83"/>
      <c r="G3" s="84"/>
      <c r="H3" t="s">
        <v>493</v>
      </c>
    </row>
    <row r="6" spans="1:8" x14ac:dyDescent="0.25">
      <c r="A6" s="71" t="s">
        <v>0</v>
      </c>
      <c r="B6" s="72" t="s">
        <v>89</v>
      </c>
      <c r="C6" s="79" t="s">
        <v>303</v>
      </c>
      <c r="D6" s="74"/>
      <c r="E6" s="74"/>
      <c r="F6" s="74"/>
      <c r="G6" s="117"/>
    </row>
    <row r="7" spans="1:8" ht="18" x14ac:dyDescent="0.35">
      <c r="A7" s="54" t="s">
        <v>1</v>
      </c>
      <c r="B7" s="149"/>
      <c r="C7" s="3" t="s">
        <v>2</v>
      </c>
      <c r="D7" s="4"/>
      <c r="E7" s="4"/>
      <c r="F7" s="4"/>
      <c r="G7" s="21"/>
    </row>
    <row r="8" spans="1:8" x14ac:dyDescent="0.25">
      <c r="A8" s="54" t="s">
        <v>301</v>
      </c>
      <c r="B8" s="30">
        <v>1</v>
      </c>
      <c r="C8" s="3"/>
      <c r="D8" s="4"/>
      <c r="E8" s="4"/>
      <c r="F8" s="4"/>
      <c r="G8" s="21"/>
      <c r="H8" t="s">
        <v>338</v>
      </c>
    </row>
    <row r="9" spans="1:8" ht="18" x14ac:dyDescent="0.35">
      <c r="A9" s="54" t="s">
        <v>302</v>
      </c>
      <c r="B9" s="149">
        <f>B7/B8</f>
        <v>0</v>
      </c>
      <c r="C9" s="3"/>
      <c r="D9" s="4"/>
      <c r="E9" s="4"/>
      <c r="F9" s="4"/>
      <c r="G9" s="21"/>
    </row>
    <row r="10" spans="1:8" x14ac:dyDescent="0.25">
      <c r="A10" s="1" t="s">
        <v>3</v>
      </c>
      <c r="B10" s="28">
        <f>B8*3</f>
        <v>3</v>
      </c>
      <c r="C10" s="94" t="s">
        <v>151</v>
      </c>
      <c r="D10" s="94" t="s">
        <v>388</v>
      </c>
      <c r="E10" s="94"/>
      <c r="F10" s="138"/>
      <c r="G10" s="31"/>
    </row>
    <row r="11" spans="1:8" ht="18" x14ac:dyDescent="0.35">
      <c r="A11" s="1" t="s">
        <v>177</v>
      </c>
      <c r="B11" s="87"/>
      <c r="C11" s="3" t="s">
        <v>2</v>
      </c>
      <c r="D11" s="4"/>
      <c r="E11" s="4"/>
      <c r="F11" s="4"/>
      <c r="G11" s="21"/>
    </row>
    <row r="13" spans="1:8" x14ac:dyDescent="0.25">
      <c r="A13" s="71" t="s">
        <v>214</v>
      </c>
      <c r="B13" s="90" t="s">
        <v>5</v>
      </c>
      <c r="C13" s="79" t="str">
        <f>C6</f>
        <v>W1</v>
      </c>
      <c r="D13" s="74"/>
      <c r="E13" s="143"/>
      <c r="F13" s="143"/>
      <c r="G13" s="117"/>
    </row>
    <row r="14" spans="1:8" ht="18" x14ac:dyDescent="0.35">
      <c r="A14" s="1" t="s">
        <v>177</v>
      </c>
      <c r="B14" s="187">
        <f>B11</f>
        <v>0</v>
      </c>
      <c r="C14" s="3" t="s">
        <v>2</v>
      </c>
      <c r="D14" s="4"/>
      <c r="E14" s="4"/>
      <c r="F14" s="4"/>
      <c r="G14" s="21"/>
      <c r="H14" t="s">
        <v>494</v>
      </c>
    </row>
    <row r="15" spans="1:8" ht="18" x14ac:dyDescent="0.35">
      <c r="A15" s="54" t="s">
        <v>215</v>
      </c>
      <c r="B15" s="174">
        <v>400</v>
      </c>
      <c r="C15" s="25" t="s">
        <v>2</v>
      </c>
      <c r="D15" s="26"/>
      <c r="E15" s="133"/>
      <c r="F15" s="133"/>
      <c r="G15" s="27"/>
    </row>
    <row r="16" spans="1:8" ht="18" x14ac:dyDescent="0.35">
      <c r="A16" s="1" t="s">
        <v>216</v>
      </c>
      <c r="B16" s="89" t="str">
        <f>IF(B15&gt;=B9,"OK","Ikke OK")</f>
        <v>OK</v>
      </c>
      <c r="C16" s="3"/>
      <c r="D16" s="4"/>
      <c r="E16" s="22"/>
      <c r="F16" s="22"/>
      <c r="G16" s="21"/>
    </row>
    <row r="17" spans="1:12" x14ac:dyDescent="0.25">
      <c r="A17" s="1" t="s">
        <v>3</v>
      </c>
      <c r="B17" s="50">
        <f>B10/3</f>
        <v>1</v>
      </c>
      <c r="C17" s="94" t="s">
        <v>151</v>
      </c>
      <c r="D17" s="94" t="s">
        <v>502</v>
      </c>
      <c r="E17" s="145"/>
      <c r="F17" s="146"/>
      <c r="G17" s="23"/>
    </row>
    <row r="18" spans="1:12" ht="18" x14ac:dyDescent="0.35">
      <c r="A18" s="1" t="s">
        <v>217</v>
      </c>
      <c r="B18" s="144"/>
      <c r="C18" s="25" t="s">
        <v>80</v>
      </c>
      <c r="D18" s="26"/>
      <c r="E18" s="133"/>
      <c r="F18" s="133"/>
      <c r="G18" s="27"/>
      <c r="H18" t="s">
        <v>495</v>
      </c>
    </row>
    <row r="19" spans="1:12" ht="18" x14ac:dyDescent="0.35">
      <c r="A19" s="1" t="s">
        <v>226</v>
      </c>
      <c r="B19" s="147"/>
      <c r="C19" s="3" t="s">
        <v>80</v>
      </c>
      <c r="D19" s="26"/>
      <c r="E19" s="133"/>
      <c r="F19" s="133"/>
      <c r="G19" s="27"/>
    </row>
    <row r="20" spans="1:12" ht="18" x14ac:dyDescent="0.35">
      <c r="A20" s="1" t="s">
        <v>430</v>
      </c>
      <c r="B20" s="89" t="s">
        <v>94</v>
      </c>
      <c r="C20" s="118" t="str">
        <f>IF(B18&gt;=B19,"OK","Ikke OK")</f>
        <v>OK</v>
      </c>
      <c r="D20" s="3"/>
      <c r="E20" s="22"/>
      <c r="F20" s="22"/>
      <c r="G20" s="21"/>
    </row>
    <row r="21" spans="1:12" x14ac:dyDescent="0.25">
      <c r="B21" s="56"/>
      <c r="E21" s="57"/>
      <c r="F21" s="57"/>
    </row>
    <row r="22" spans="1:12" x14ac:dyDescent="0.25">
      <c r="B22" s="56"/>
      <c r="E22" s="57"/>
      <c r="F22" s="57"/>
    </row>
    <row r="23" spans="1:12" x14ac:dyDescent="0.25">
      <c r="A23" s="71" t="s">
        <v>38</v>
      </c>
      <c r="B23" s="78" t="s">
        <v>5</v>
      </c>
      <c r="C23" s="78" t="str">
        <f>C13</f>
        <v>W1</v>
      </c>
      <c r="D23" s="78"/>
      <c r="E23" s="78"/>
      <c r="F23" s="72"/>
      <c r="G23" s="73"/>
      <c r="I23" t="s">
        <v>90</v>
      </c>
    </row>
    <row r="24" spans="1:12" x14ac:dyDescent="0.25">
      <c r="A24" s="109" t="s">
        <v>39</v>
      </c>
      <c r="B24" s="30"/>
      <c r="C24" s="30">
        <v>90</v>
      </c>
      <c r="D24" s="20" t="s">
        <v>8</v>
      </c>
      <c r="E24" s="48"/>
      <c r="F24" s="48"/>
      <c r="G24" s="61"/>
      <c r="H24" t="s">
        <v>496</v>
      </c>
    </row>
    <row r="25" spans="1:12" ht="18" x14ac:dyDescent="0.35">
      <c r="A25" s="1" t="s">
        <v>40</v>
      </c>
      <c r="B25" s="1" t="s">
        <v>41</v>
      </c>
      <c r="C25" s="30" t="s">
        <v>42</v>
      </c>
      <c r="D25" s="31" t="s">
        <v>43</v>
      </c>
      <c r="E25" s="32"/>
      <c r="F25" s="31" t="s">
        <v>44</v>
      </c>
      <c r="G25" s="32"/>
    </row>
    <row r="26" spans="1:12" x14ac:dyDescent="0.25">
      <c r="A26" s="1" t="s">
        <v>45</v>
      </c>
      <c r="B26" s="1" t="s">
        <v>41</v>
      </c>
      <c r="C26" s="30" t="s">
        <v>46</v>
      </c>
      <c r="D26" s="3"/>
      <c r="E26" s="4"/>
      <c r="F26" s="4"/>
      <c r="G26" s="21"/>
    </row>
    <row r="27" spans="1:12" x14ac:dyDescent="0.25">
      <c r="A27" s="1" t="s">
        <v>47</v>
      </c>
      <c r="B27" s="1" t="s">
        <v>41</v>
      </c>
      <c r="C27" s="5" t="s">
        <v>102</v>
      </c>
      <c r="D27" s="3"/>
      <c r="E27" s="4"/>
      <c r="F27" s="4"/>
      <c r="G27" s="21"/>
      <c r="I27" t="s">
        <v>48</v>
      </c>
    </row>
    <row r="28" spans="1:12" ht="18" x14ac:dyDescent="0.35">
      <c r="A28" s="1" t="s">
        <v>49</v>
      </c>
      <c r="B28" s="1" t="s">
        <v>41</v>
      </c>
      <c r="C28" s="33" t="s">
        <v>102</v>
      </c>
      <c r="D28" s="15">
        <v>1</v>
      </c>
      <c r="E28" s="4"/>
      <c r="F28" s="4"/>
      <c r="G28" s="21"/>
    </row>
    <row r="29" spans="1:12" x14ac:dyDescent="0.25">
      <c r="A29" s="1" t="s">
        <v>50</v>
      </c>
      <c r="B29" s="1" t="s">
        <v>41</v>
      </c>
      <c r="C29" s="33" t="s">
        <v>102</v>
      </c>
      <c r="D29" s="15">
        <v>1</v>
      </c>
      <c r="E29" s="4"/>
      <c r="F29" s="4"/>
      <c r="G29" s="21"/>
    </row>
    <row r="30" spans="1:12" ht="18" x14ac:dyDescent="0.35">
      <c r="A30" s="1" t="s">
        <v>411</v>
      </c>
      <c r="B30" s="1" t="s">
        <v>41</v>
      </c>
      <c r="C30" s="33" t="s">
        <v>102</v>
      </c>
      <c r="D30" s="15">
        <v>1</v>
      </c>
      <c r="E30" s="4"/>
      <c r="F30" s="4"/>
      <c r="G30" s="21"/>
    </row>
    <row r="31" spans="1:12" ht="18" x14ac:dyDescent="0.35">
      <c r="A31" s="1" t="s">
        <v>51</v>
      </c>
      <c r="B31" s="1" t="s">
        <v>41</v>
      </c>
      <c r="C31" s="34" t="s">
        <v>102</v>
      </c>
      <c r="D31" s="15">
        <v>1</v>
      </c>
      <c r="E31" s="4"/>
      <c r="F31" s="4"/>
      <c r="G31" s="21"/>
      <c r="H31" t="s">
        <v>497</v>
      </c>
    </row>
    <row r="32" spans="1:12" ht="18" x14ac:dyDescent="0.35">
      <c r="A32" s="1" t="s">
        <v>53</v>
      </c>
      <c r="B32" s="3" t="s">
        <v>41</v>
      </c>
      <c r="C32" s="33" t="s">
        <v>102</v>
      </c>
      <c r="D32" s="15">
        <v>1</v>
      </c>
      <c r="E32" s="26"/>
      <c r="F32" s="26"/>
      <c r="G32" s="27"/>
      <c r="I32" t="s">
        <v>264</v>
      </c>
      <c r="L32" t="s">
        <v>266</v>
      </c>
    </row>
    <row r="33" spans="1:10" ht="18" x14ac:dyDescent="0.35">
      <c r="A33" s="1" t="s">
        <v>54</v>
      </c>
      <c r="B33" s="3" t="s">
        <v>41</v>
      </c>
      <c r="C33" s="2" t="s">
        <v>102</v>
      </c>
      <c r="D33" s="15">
        <v>1</v>
      </c>
      <c r="E33" s="26"/>
      <c r="F33" s="26"/>
      <c r="G33" s="27"/>
      <c r="I33">
        <f>IF(B8&lt;=32,1,0)</f>
        <v>1</v>
      </c>
      <c r="J33">
        <f>IF(B8&gt;32,1,0)</f>
        <v>0</v>
      </c>
    </row>
    <row r="34" spans="1:10" ht="18" x14ac:dyDescent="0.35">
      <c r="A34" s="1" t="s">
        <v>1</v>
      </c>
      <c r="B34" s="227">
        <f>B7</f>
        <v>0</v>
      </c>
      <c r="C34" s="3" t="s">
        <v>2</v>
      </c>
      <c r="D34" s="4"/>
      <c r="E34" s="4"/>
      <c r="F34" s="4"/>
      <c r="G34" s="21"/>
      <c r="I34">
        <f>IF(I33=1,0.4,0)</f>
        <v>0.4</v>
      </c>
      <c r="J34">
        <f>IF(J33=1,0.5,0)</f>
        <v>0</v>
      </c>
    </row>
    <row r="35" spans="1:10" ht="18" x14ac:dyDescent="0.35">
      <c r="A35" s="1" t="s">
        <v>177</v>
      </c>
      <c r="B35" s="228">
        <f>B11</f>
        <v>0</v>
      </c>
      <c r="C35" s="3" t="s">
        <v>2</v>
      </c>
      <c r="D35" s="4"/>
      <c r="E35" s="4"/>
      <c r="F35" s="4"/>
      <c r="G35" s="21"/>
    </row>
    <row r="36" spans="1:10" ht="18" x14ac:dyDescent="0.35">
      <c r="A36" s="36" t="s">
        <v>414</v>
      </c>
      <c r="B36" s="37">
        <f>B35/(D29*D28*D30*D31*D32*D33)</f>
        <v>0</v>
      </c>
      <c r="C36" s="3" t="s">
        <v>2</v>
      </c>
      <c r="D36" s="4"/>
      <c r="E36" s="4"/>
      <c r="F36" s="4"/>
      <c r="G36" s="21"/>
      <c r="I36" t="s">
        <v>172</v>
      </c>
    </row>
    <row r="37" spans="1:10" x14ac:dyDescent="0.25">
      <c r="A37" s="36" t="s">
        <v>415</v>
      </c>
      <c r="B37" s="35">
        <v>1</v>
      </c>
      <c r="C37" s="3"/>
      <c r="D37" s="4"/>
      <c r="E37" s="4"/>
      <c r="F37" s="4"/>
      <c r="G37" s="21"/>
    </row>
    <row r="38" spans="1:10" ht="18" x14ac:dyDescent="0.35">
      <c r="A38" s="1" t="s">
        <v>416</v>
      </c>
      <c r="B38" s="37">
        <f>B36/B37</f>
        <v>0</v>
      </c>
      <c r="C38" s="3" t="s">
        <v>2</v>
      </c>
      <c r="D38" s="4"/>
      <c r="E38" s="4"/>
      <c r="F38" s="4"/>
      <c r="G38" s="21"/>
    </row>
    <row r="39" spans="1:10" ht="18.75" x14ac:dyDescent="0.35">
      <c r="A39" s="1" t="s">
        <v>417</v>
      </c>
      <c r="B39" s="218"/>
      <c r="C39" s="25" t="s">
        <v>2</v>
      </c>
      <c r="D39" s="15"/>
      <c r="E39" s="3" t="s">
        <v>21</v>
      </c>
      <c r="F39" s="19" t="e">
        <f>B36/B39</f>
        <v>#DIV/0!</v>
      </c>
      <c r="G39" s="21" t="s">
        <v>151</v>
      </c>
    </row>
    <row r="40" spans="1:10" x14ac:dyDescent="0.25">
      <c r="A40" s="1" t="s">
        <v>304</v>
      </c>
      <c r="B40" s="50">
        <v>1</v>
      </c>
      <c r="C40" s="46" t="s">
        <v>151</v>
      </c>
      <c r="D40" s="46"/>
      <c r="E40" s="46"/>
      <c r="F40" s="235">
        <f>B39</f>
        <v>0</v>
      </c>
      <c r="G40" s="52" t="s">
        <v>2</v>
      </c>
      <c r="H40">
        <f>B40*F40</f>
        <v>0</v>
      </c>
      <c r="I40" s="53">
        <f>IF(B34&lt;=B35,1,0)</f>
        <v>1</v>
      </c>
      <c r="J40" s="53" t="str">
        <f>IF(B35&lt;=H40,"1","0")</f>
        <v>1</v>
      </c>
    </row>
    <row r="41" spans="1:10" ht="18" x14ac:dyDescent="0.35">
      <c r="A41" s="3" t="s">
        <v>420</v>
      </c>
      <c r="B41" s="108" t="s">
        <v>222</v>
      </c>
      <c r="C41" s="46"/>
      <c r="D41" s="29" t="str">
        <f>IF(I40+J40=2,"OK","Ikke OK")</f>
        <v>OK</v>
      </c>
      <c r="E41" s="51"/>
      <c r="F41" s="4"/>
      <c r="G41" s="21"/>
    </row>
    <row r="42" spans="1:10" ht="18" hidden="1" x14ac:dyDescent="0.35">
      <c r="A42" s="31" t="s">
        <v>233</v>
      </c>
      <c r="B42" s="110">
        <f>$B$9/(B40*D28)</f>
        <v>0</v>
      </c>
      <c r="C42" s="111">
        <f>B42</f>
        <v>0</v>
      </c>
      <c r="D42" s="112"/>
      <c r="E42" s="26"/>
      <c r="F42" s="26"/>
      <c r="G42" s="27"/>
      <c r="I42" t="s">
        <v>170</v>
      </c>
    </row>
    <row r="43" spans="1:10" x14ac:dyDescent="0.25">
      <c r="A43" s="77" t="s">
        <v>55</v>
      </c>
      <c r="B43" s="78" t="s">
        <v>5</v>
      </c>
      <c r="C43" s="78" t="str">
        <f>C23</f>
        <v>W1</v>
      </c>
      <c r="D43" s="78"/>
      <c r="E43" s="78"/>
      <c r="F43" s="72"/>
      <c r="G43" s="73"/>
      <c r="I43" t="s">
        <v>171</v>
      </c>
    </row>
    <row r="44" spans="1:10" x14ac:dyDescent="0.25">
      <c r="A44" s="92" t="s">
        <v>56</v>
      </c>
      <c r="B44" s="113" t="s">
        <v>41</v>
      </c>
      <c r="C44" s="114" t="s">
        <v>57</v>
      </c>
      <c r="D44" s="92"/>
      <c r="E44" s="93"/>
      <c r="F44" s="48"/>
      <c r="G44" s="61"/>
      <c r="I44" t="s">
        <v>219</v>
      </c>
    </row>
    <row r="45" spans="1:10" ht="17.25" x14ac:dyDescent="0.25">
      <c r="A45" s="40" t="s">
        <v>58</v>
      </c>
      <c r="B45" s="229">
        <f>D39</f>
        <v>0</v>
      </c>
      <c r="C45" s="39" t="s">
        <v>21</v>
      </c>
      <c r="D45" s="41"/>
      <c r="E45" s="41"/>
      <c r="F45" s="4"/>
      <c r="G45" s="21"/>
      <c r="I45">
        <f>IF(B46=B47,1,0)</f>
        <v>1</v>
      </c>
    </row>
    <row r="46" spans="1:10" x14ac:dyDescent="0.25">
      <c r="A46" s="40" t="s">
        <v>59</v>
      </c>
      <c r="B46" s="229">
        <f>B24</f>
        <v>0</v>
      </c>
      <c r="C46" s="39"/>
      <c r="D46" s="41"/>
      <c r="E46" s="41"/>
      <c r="F46" s="4"/>
      <c r="G46" s="21"/>
    </row>
    <row r="47" spans="1:10" x14ac:dyDescent="0.25">
      <c r="A47" s="153" t="s">
        <v>60</v>
      </c>
      <c r="B47" s="152"/>
      <c r="C47" s="80"/>
      <c r="D47" s="95"/>
      <c r="E47" s="95"/>
      <c r="F47" s="26"/>
      <c r="G47" s="27"/>
    </row>
    <row r="48" spans="1:10" hidden="1" x14ac:dyDescent="0.25">
      <c r="A48" s="101" t="s">
        <v>61</v>
      </c>
      <c r="B48" s="102" t="str">
        <f>IF(B46=B47,"Ja","Nej")</f>
        <v>Ja</v>
      </c>
      <c r="C48" s="102"/>
      <c r="D48" s="102"/>
      <c r="E48" s="102"/>
      <c r="F48" s="103"/>
      <c r="G48" s="104"/>
      <c r="I48" t="s">
        <v>63</v>
      </c>
    </row>
    <row r="49" spans="1:10" hidden="1" x14ac:dyDescent="0.25">
      <c r="A49" s="54" t="s">
        <v>62</v>
      </c>
      <c r="B49" s="30">
        <v>1</v>
      </c>
      <c r="C49" s="43"/>
      <c r="D49" s="48"/>
      <c r="E49" s="48"/>
      <c r="F49" s="48"/>
      <c r="G49" s="61"/>
    </row>
    <row r="50" spans="1:10" ht="17.25" hidden="1" x14ac:dyDescent="0.25">
      <c r="A50" s="1" t="s">
        <v>64</v>
      </c>
      <c r="B50" s="10" t="str">
        <f>IF(I50=1,"Ja","Nej")</f>
        <v>Ja</v>
      </c>
      <c r="C50" s="43" t="s">
        <v>20</v>
      </c>
      <c r="D50" s="10">
        <f>B45</f>
        <v>0</v>
      </c>
      <c r="E50" s="3" t="s">
        <v>21</v>
      </c>
      <c r="F50" s="4"/>
      <c r="G50" s="21"/>
      <c r="I50">
        <f>IF(B45&lt;=16,1,0)</f>
        <v>1</v>
      </c>
    </row>
    <row r="51" spans="1:10" ht="17.25" hidden="1" x14ac:dyDescent="0.25">
      <c r="A51" s="1" t="s">
        <v>65</v>
      </c>
      <c r="B51" s="44" t="str">
        <f>IF(I51+J51=2,"Ja","Nej")</f>
        <v>Nej</v>
      </c>
      <c r="C51" s="3" t="s">
        <v>66</v>
      </c>
      <c r="D51" s="10">
        <f>16^B49</f>
        <v>16</v>
      </c>
      <c r="E51" s="3" t="s">
        <v>21</v>
      </c>
      <c r="F51" s="4"/>
      <c r="G51" s="21"/>
      <c r="I51" t="str">
        <f>IF(16&lt;B45,"1","0")</f>
        <v>0</v>
      </c>
      <c r="J51" t="str">
        <f>IF(B45&lt;=35,"1","0")</f>
        <v>1</v>
      </c>
    </row>
    <row r="52" spans="1:10" ht="17.25" hidden="1" x14ac:dyDescent="0.25">
      <c r="A52" s="23" t="s">
        <v>67</v>
      </c>
      <c r="B52" s="24" t="str">
        <f>IF(I45+I52=2,"Ja","Nej")</f>
        <v>Nej</v>
      </c>
      <c r="C52" s="25" t="s">
        <v>68</v>
      </c>
      <c r="D52" s="24">
        <f>(B45/2)^B49</f>
        <v>0</v>
      </c>
      <c r="E52" s="25" t="s">
        <v>21</v>
      </c>
      <c r="F52" s="26"/>
      <c r="G52" s="27"/>
      <c r="I52" t="str">
        <f>IF(B45&gt;35,"1","0")</f>
        <v>0</v>
      </c>
    </row>
    <row r="53" spans="1:10" x14ac:dyDescent="0.25">
      <c r="A53" s="105" t="s">
        <v>69</v>
      </c>
      <c r="B53" s="103" t="str">
        <f>IF(I46=0,"Ja","Nej")</f>
        <v>Ja</v>
      </c>
      <c r="C53" s="103"/>
      <c r="D53" s="103"/>
      <c r="E53" s="103"/>
      <c r="F53" s="103"/>
      <c r="G53" s="104"/>
      <c r="I53" t="s">
        <v>72</v>
      </c>
    </row>
    <row r="54" spans="1:10" ht="18" x14ac:dyDescent="0.35">
      <c r="A54" s="54" t="s">
        <v>70</v>
      </c>
      <c r="B54" s="43" t="s">
        <v>41</v>
      </c>
      <c r="C54" s="30" t="s">
        <v>71</v>
      </c>
      <c r="D54" s="81">
        <v>143</v>
      </c>
      <c r="E54" s="48"/>
      <c r="F54" s="48"/>
      <c r="G54" s="61"/>
      <c r="I54" t="s">
        <v>74</v>
      </c>
    </row>
    <row r="55" spans="1:10" ht="18" x14ac:dyDescent="0.35">
      <c r="A55" s="1" t="s">
        <v>73</v>
      </c>
      <c r="B55" s="3" t="s">
        <v>41</v>
      </c>
      <c r="C55" s="34" t="s">
        <v>71</v>
      </c>
      <c r="D55" s="15">
        <v>94</v>
      </c>
      <c r="E55" s="4"/>
      <c r="F55" s="4"/>
      <c r="G55" s="21"/>
    </row>
    <row r="56" spans="1:10" ht="18.75" x14ac:dyDescent="0.35">
      <c r="A56" s="1" t="s">
        <v>64</v>
      </c>
      <c r="B56" s="10" t="str">
        <f>IF(I56=1,"Ja","Nej")</f>
        <v>Ja</v>
      </c>
      <c r="C56" s="1" t="s">
        <v>75</v>
      </c>
      <c r="D56" s="45">
        <f>(D55/D54)*B45</f>
        <v>0</v>
      </c>
      <c r="E56" s="3" t="s">
        <v>21</v>
      </c>
      <c r="F56" s="4"/>
      <c r="G56" s="21"/>
      <c r="I56">
        <f>IF(B45&lt;=15,1,0)</f>
        <v>1</v>
      </c>
    </row>
    <row r="57" spans="1:10" ht="18.75" x14ac:dyDescent="0.35">
      <c r="A57" s="1" t="s">
        <v>65</v>
      </c>
      <c r="B57" s="44" t="str">
        <f>IF(I57+J57=2,"Ja","Nej")</f>
        <v>Nej</v>
      </c>
      <c r="C57" s="1" t="s">
        <v>76</v>
      </c>
      <c r="D57" s="45">
        <f>(D55/D54)*16</f>
        <v>10.517482517482517</v>
      </c>
      <c r="E57" s="3" t="s">
        <v>21</v>
      </c>
      <c r="F57" s="4"/>
      <c r="G57" s="21"/>
      <c r="I57" t="str">
        <f>IF(16&lt;B45,"1","0")</f>
        <v>0</v>
      </c>
      <c r="J57" t="str">
        <f>IF(B45&lt;=35,"1","0")</f>
        <v>1</v>
      </c>
    </row>
    <row r="58" spans="1:10" ht="18.75" x14ac:dyDescent="0.35">
      <c r="A58" s="1" t="s">
        <v>67</v>
      </c>
      <c r="B58" s="10" t="str">
        <f>IF(B45&gt;35,"Ja","Nej")</f>
        <v>Nej</v>
      </c>
      <c r="C58" s="1" t="s">
        <v>77</v>
      </c>
      <c r="D58" s="45">
        <f>(D55/D54)*(B45/2)</f>
        <v>0</v>
      </c>
      <c r="E58" s="3" t="s">
        <v>21</v>
      </c>
      <c r="F58" s="4"/>
      <c r="G58" s="21"/>
    </row>
    <row r="59" spans="1:10" x14ac:dyDescent="0.25">
      <c r="A59" s="1" t="s">
        <v>78</v>
      </c>
      <c r="B59" s="28">
        <f>B40</f>
        <v>1</v>
      </c>
      <c r="C59" s="46" t="s">
        <v>151</v>
      </c>
      <c r="D59" s="46"/>
      <c r="E59" s="46"/>
      <c r="F59" s="46"/>
      <c r="G59" s="29"/>
    </row>
    <row r="60" spans="1:10" x14ac:dyDescent="0.25">
      <c r="A60" s="32" t="s">
        <v>141</v>
      </c>
    </row>
    <row r="62" spans="1:10" ht="18" x14ac:dyDescent="0.35">
      <c r="A62" s="71" t="s">
        <v>366</v>
      </c>
      <c r="B62" s="72" t="s">
        <v>261</v>
      </c>
      <c r="C62" s="72" t="str">
        <f>C43</f>
        <v>W1</v>
      </c>
      <c r="D62" s="72"/>
      <c r="E62" s="72"/>
      <c r="F62" s="72"/>
      <c r="G62" s="116"/>
      <c r="H62" t="s">
        <v>345</v>
      </c>
      <c r="I62" t="s">
        <v>220</v>
      </c>
      <c r="J62" t="s">
        <v>346</v>
      </c>
    </row>
    <row r="63" spans="1:10" x14ac:dyDescent="0.25">
      <c r="A63" s="54" t="s">
        <v>185</v>
      </c>
      <c r="B63" s="49"/>
      <c r="C63" s="3" t="s">
        <v>184</v>
      </c>
      <c r="D63" s="4"/>
      <c r="E63" s="4"/>
      <c r="F63" s="4"/>
      <c r="G63" s="21"/>
      <c r="H63" s="56">
        <f>RADIANS(E69)</f>
        <v>0</v>
      </c>
      <c r="I63">
        <f>B69*COS(H63)</f>
        <v>0</v>
      </c>
      <c r="J63">
        <f>B69*SIN(H63)</f>
        <v>0</v>
      </c>
    </row>
    <row r="64" spans="1:10" x14ac:dyDescent="0.25">
      <c r="A64" s="54" t="s">
        <v>376</v>
      </c>
      <c r="B64" s="236">
        <f>B40</f>
        <v>1</v>
      </c>
      <c r="C64" s="3" t="s">
        <v>130</v>
      </c>
      <c r="D64" s="4"/>
      <c r="E64" s="4"/>
      <c r="F64" s="4"/>
      <c r="G64" s="21"/>
      <c r="H64" s="56">
        <f>RADIANS(E70)</f>
        <v>1.5707963267948966</v>
      </c>
      <c r="I64">
        <f>B70*COS(H64)</f>
        <v>0</v>
      </c>
      <c r="J64">
        <f>B70*SIN(H64)</f>
        <v>0</v>
      </c>
    </row>
    <row r="65" spans="1:10" x14ac:dyDescent="0.25">
      <c r="A65" s="54" t="s">
        <v>55</v>
      </c>
      <c r="B65" s="49">
        <v>1</v>
      </c>
      <c r="C65" s="3"/>
      <c r="D65" s="4"/>
      <c r="E65" s="4"/>
      <c r="F65" s="4"/>
      <c r="G65" s="21"/>
      <c r="H65" s="56"/>
    </row>
    <row r="66" spans="1:10" x14ac:dyDescent="0.25">
      <c r="A66" s="69" t="s">
        <v>278</v>
      </c>
      <c r="B66" s="81">
        <f>IF(H67=1,1.8,1.5)</f>
        <v>1.8</v>
      </c>
      <c r="C66" s="3"/>
      <c r="D66" s="4"/>
      <c r="E66" s="4"/>
      <c r="F66" s="4"/>
      <c r="G66" s="21"/>
      <c r="H66" s="56"/>
      <c r="I66">
        <f>I63+I64</f>
        <v>0</v>
      </c>
      <c r="J66">
        <f>J63+J64</f>
        <v>0</v>
      </c>
    </row>
    <row r="67" spans="1:10" x14ac:dyDescent="0.25">
      <c r="A67" s="1" t="s">
        <v>238</v>
      </c>
      <c r="B67" s="15"/>
      <c r="C67" s="3" t="s">
        <v>279</v>
      </c>
      <c r="D67" s="4"/>
      <c r="E67" s="4"/>
      <c r="F67" s="4"/>
      <c r="G67" s="21"/>
      <c r="H67">
        <f>IF(C24=90,1,0)</f>
        <v>1</v>
      </c>
    </row>
    <row r="68" spans="1:10" x14ac:dyDescent="0.25">
      <c r="A68" s="1" t="s">
        <v>239</v>
      </c>
      <c r="B68" s="225"/>
      <c r="C68" s="3" t="s">
        <v>279</v>
      </c>
      <c r="D68" s="4"/>
      <c r="E68" s="160"/>
      <c r="F68" s="160"/>
      <c r="G68" s="21"/>
      <c r="H68" t="s">
        <v>345</v>
      </c>
      <c r="I68" t="s">
        <v>220</v>
      </c>
      <c r="J68" t="s">
        <v>346</v>
      </c>
    </row>
    <row r="69" spans="1:10" x14ac:dyDescent="0.25">
      <c r="A69" s="1" t="s">
        <v>355</v>
      </c>
      <c r="B69" s="10">
        <f>B63*B67</f>
        <v>0</v>
      </c>
      <c r="C69" s="54" t="s">
        <v>237</v>
      </c>
      <c r="D69" s="54" t="s">
        <v>7</v>
      </c>
      <c r="E69" s="49">
        <v>0</v>
      </c>
      <c r="F69" s="9" t="s">
        <v>8</v>
      </c>
      <c r="G69" s="21"/>
      <c r="H69" s="56">
        <f>RADIANS(E69)</f>
        <v>0</v>
      </c>
      <c r="I69">
        <f>B66*(B69*COS(H69))</f>
        <v>0</v>
      </c>
      <c r="J69">
        <f>B69*SIN(H69)</f>
        <v>0</v>
      </c>
    </row>
    <row r="70" spans="1:10" x14ac:dyDescent="0.25">
      <c r="A70" s="1" t="s">
        <v>356</v>
      </c>
      <c r="B70" s="10">
        <f>B63*B68</f>
        <v>0</v>
      </c>
      <c r="C70" s="1" t="s">
        <v>237</v>
      </c>
      <c r="D70" s="54" t="s">
        <v>7</v>
      </c>
      <c r="E70" s="2">
        <v>90</v>
      </c>
      <c r="F70" s="9" t="s">
        <v>8</v>
      </c>
      <c r="G70" s="21"/>
      <c r="H70" s="56">
        <f>RADIANS(E70)</f>
        <v>1.5707963267948966</v>
      </c>
      <c r="I70">
        <f>B70*COS(H70)</f>
        <v>0</v>
      </c>
      <c r="J70">
        <f>B70*SIN(H70)</f>
        <v>0</v>
      </c>
    </row>
    <row r="71" spans="1:10" ht="18" x14ac:dyDescent="0.35">
      <c r="A71" s="1" t="s">
        <v>377</v>
      </c>
      <c r="B71" s="205">
        <f>SQRT(I66^2+J66^2)</f>
        <v>0</v>
      </c>
      <c r="C71" s="1" t="s">
        <v>237</v>
      </c>
      <c r="D71" s="54" t="s">
        <v>7</v>
      </c>
      <c r="E71" s="19" t="e">
        <f>DEGREES(ATAN2(I66,J66))</f>
        <v>#DIV/0!</v>
      </c>
      <c r="F71" s="9" t="s">
        <v>8</v>
      </c>
      <c r="G71" s="21"/>
      <c r="H71" s="56"/>
      <c r="I71">
        <f>I69+I70</f>
        <v>0</v>
      </c>
      <c r="J71">
        <f>J69+J70</f>
        <v>0</v>
      </c>
    </row>
    <row r="72" spans="1:10" ht="18" x14ac:dyDescent="0.35">
      <c r="A72" s="1" t="s">
        <v>399</v>
      </c>
      <c r="B72" s="205">
        <f>B64*(B65*(SQRT(I71^2+J71^2)))</f>
        <v>0</v>
      </c>
      <c r="C72" s="1" t="s">
        <v>237</v>
      </c>
      <c r="D72" s="1" t="s">
        <v>7</v>
      </c>
      <c r="E72" s="19" t="e">
        <f>DEGREES(ATAN2(I71,J71))</f>
        <v>#DIV/0!</v>
      </c>
      <c r="F72" s="9" t="s">
        <v>8</v>
      </c>
      <c r="G72" s="21"/>
    </row>
    <row r="73" spans="1:10" x14ac:dyDescent="0.25">
      <c r="A73" t="s">
        <v>9</v>
      </c>
      <c r="B73">
        <v>0.08</v>
      </c>
    </row>
    <row r="74" spans="1:10" x14ac:dyDescent="0.25">
      <c r="A74" t="s">
        <v>10</v>
      </c>
      <c r="B74">
        <v>0.15</v>
      </c>
    </row>
    <row r="75" spans="1:10" ht="18" x14ac:dyDescent="0.35">
      <c r="A75" s="71" t="s">
        <v>398</v>
      </c>
      <c r="B75" s="72" t="s">
        <v>261</v>
      </c>
      <c r="C75" s="72" t="str">
        <f>C62</f>
        <v>W1</v>
      </c>
      <c r="D75" s="72" t="s">
        <v>425</v>
      </c>
      <c r="E75" s="72"/>
      <c r="F75" s="72"/>
      <c r="G75" s="116"/>
      <c r="H75" t="s">
        <v>345</v>
      </c>
      <c r="I75" t="s">
        <v>220</v>
      </c>
      <c r="J75" t="s">
        <v>346</v>
      </c>
    </row>
    <row r="76" spans="1:10" x14ac:dyDescent="0.25">
      <c r="A76" s="54" t="s">
        <v>185</v>
      </c>
      <c r="B76" s="49">
        <f>B63</f>
        <v>0</v>
      </c>
      <c r="C76" s="3" t="s">
        <v>184</v>
      </c>
      <c r="D76" s="4"/>
      <c r="E76" s="4"/>
      <c r="F76" s="4"/>
      <c r="G76" s="21"/>
      <c r="H76" s="56">
        <f>RADIANS(E81)</f>
        <v>0</v>
      </c>
      <c r="I76">
        <f>B81*COS(H76)</f>
        <v>0</v>
      </c>
      <c r="J76">
        <f>B81*SIN(H76)</f>
        <v>0</v>
      </c>
    </row>
    <row r="77" spans="1:10" x14ac:dyDescent="0.25">
      <c r="A77" s="54" t="s">
        <v>376</v>
      </c>
      <c r="B77" s="226">
        <f>B59</f>
        <v>1</v>
      </c>
      <c r="C77" s="3" t="s">
        <v>130</v>
      </c>
      <c r="D77" s="4"/>
      <c r="E77" s="4"/>
      <c r="F77" s="4"/>
      <c r="G77" s="21"/>
      <c r="H77" s="56">
        <f>RADIANS(E82)</f>
        <v>1.5707963267948966</v>
      </c>
      <c r="I77">
        <f>B82*COS(H77)</f>
        <v>0</v>
      </c>
      <c r="J77">
        <f>B82*SIN(H77)</f>
        <v>0</v>
      </c>
    </row>
    <row r="78" spans="1:10" x14ac:dyDescent="0.25">
      <c r="A78" s="69" t="s">
        <v>278</v>
      </c>
      <c r="B78" s="81">
        <f>B66</f>
        <v>1.8</v>
      </c>
      <c r="C78" s="3"/>
      <c r="D78" s="4"/>
      <c r="E78" s="4"/>
      <c r="F78" s="4"/>
      <c r="G78" s="21"/>
      <c r="H78" s="56"/>
      <c r="I78">
        <f>I76+I77</f>
        <v>0</v>
      </c>
      <c r="J78">
        <f>J76+J77</f>
        <v>0</v>
      </c>
    </row>
    <row r="79" spans="1:10" x14ac:dyDescent="0.25">
      <c r="A79" s="1" t="s">
        <v>238</v>
      </c>
      <c r="B79" s="15"/>
      <c r="C79" s="3" t="s">
        <v>279</v>
      </c>
      <c r="D79" s="4"/>
      <c r="E79" s="4"/>
      <c r="F79" s="4"/>
      <c r="G79" s="21"/>
      <c r="H79">
        <f>IF(B46="AL",1,0)</f>
        <v>0</v>
      </c>
    </row>
    <row r="80" spans="1:10" x14ac:dyDescent="0.25">
      <c r="A80" s="1" t="s">
        <v>239</v>
      </c>
      <c r="B80" s="225"/>
      <c r="C80" s="3" t="s">
        <v>279</v>
      </c>
      <c r="D80" s="4"/>
      <c r="E80" s="160"/>
      <c r="F80" s="160"/>
      <c r="G80" s="21"/>
      <c r="H80" t="s">
        <v>345</v>
      </c>
      <c r="I80" t="s">
        <v>220</v>
      </c>
      <c r="J80" t="s">
        <v>346</v>
      </c>
    </row>
    <row r="81" spans="1:10" x14ac:dyDescent="0.25">
      <c r="A81" s="1" t="s">
        <v>355</v>
      </c>
      <c r="B81" s="10">
        <f>B76*B79</f>
        <v>0</v>
      </c>
      <c r="C81" s="54" t="s">
        <v>237</v>
      </c>
      <c r="D81" s="54" t="s">
        <v>7</v>
      </c>
      <c r="E81" s="49">
        <v>0</v>
      </c>
      <c r="F81" s="9" t="s">
        <v>8</v>
      </c>
      <c r="G81" s="21"/>
      <c r="H81" s="56">
        <f>RADIANS(E81)</f>
        <v>0</v>
      </c>
      <c r="I81">
        <f>B78*(B81*COS(H81))</f>
        <v>0</v>
      </c>
      <c r="J81">
        <f>B81*SIN(H81)</f>
        <v>0</v>
      </c>
    </row>
    <row r="82" spans="1:10" x14ac:dyDescent="0.25">
      <c r="A82" s="1" t="s">
        <v>356</v>
      </c>
      <c r="B82" s="10">
        <f>B76*B80</f>
        <v>0</v>
      </c>
      <c r="C82" s="1" t="s">
        <v>237</v>
      </c>
      <c r="D82" s="54" t="s">
        <v>7</v>
      </c>
      <c r="E82" s="2">
        <v>90</v>
      </c>
      <c r="F82" s="9" t="s">
        <v>8</v>
      </c>
      <c r="G82" s="21"/>
      <c r="H82" s="56">
        <f>RADIANS(E82)</f>
        <v>1.5707963267948966</v>
      </c>
      <c r="I82">
        <f>B82*COS(H82)</f>
        <v>0</v>
      </c>
      <c r="J82">
        <f>B82*SIN(H82)</f>
        <v>0</v>
      </c>
    </row>
    <row r="83" spans="1:10" ht="18" x14ac:dyDescent="0.35">
      <c r="A83" s="1" t="s">
        <v>377</v>
      </c>
      <c r="B83" s="205">
        <f>SQRT(I78^2+J78^2)</f>
        <v>0</v>
      </c>
      <c r="C83" s="1" t="s">
        <v>237</v>
      </c>
      <c r="D83" s="54" t="s">
        <v>7</v>
      </c>
      <c r="E83" s="19" t="e">
        <f>DEGREES(ATAN2(I78,J78))</f>
        <v>#DIV/0!</v>
      </c>
      <c r="F83" s="9" t="s">
        <v>8</v>
      </c>
      <c r="G83" s="21"/>
      <c r="H83" s="56"/>
      <c r="I83">
        <f>I81+I82</f>
        <v>0</v>
      </c>
      <c r="J83">
        <f>J81+J82</f>
        <v>0</v>
      </c>
    </row>
    <row r="84" spans="1:10" ht="18" x14ac:dyDescent="0.35">
      <c r="A84" s="1" t="s">
        <v>390</v>
      </c>
      <c r="B84" s="205">
        <f>B77*(SQRT(I83^2+J83^2))</f>
        <v>0</v>
      </c>
      <c r="C84" s="1" t="s">
        <v>237</v>
      </c>
      <c r="D84" s="1" t="s">
        <v>7</v>
      </c>
      <c r="E84" s="19" t="e">
        <f>DEGREES(ATAN2(I83,J83))</f>
        <v>#DIV/0!</v>
      </c>
      <c r="F84" s="9" t="s">
        <v>8</v>
      </c>
      <c r="G84" s="21"/>
    </row>
    <row r="87" spans="1:10" ht="18" x14ac:dyDescent="0.35">
      <c r="A87" s="71" t="s">
        <v>379</v>
      </c>
      <c r="B87" s="72" t="s">
        <v>5</v>
      </c>
      <c r="C87" s="72" t="str">
        <f>C62</f>
        <v>W1</v>
      </c>
      <c r="D87" s="72"/>
      <c r="E87" s="72"/>
      <c r="F87" s="72"/>
      <c r="G87" s="73"/>
      <c r="H87" t="s">
        <v>345</v>
      </c>
      <c r="I87" t="s">
        <v>220</v>
      </c>
      <c r="J87" t="s">
        <v>346</v>
      </c>
    </row>
    <row r="88" spans="1:10" ht="18" x14ac:dyDescent="0.35">
      <c r="A88" s="54" t="s">
        <v>347</v>
      </c>
      <c r="B88" s="197" t="e">
        <f>IM!$B$33</f>
        <v>#N/A</v>
      </c>
      <c r="C88" s="69" t="s">
        <v>237</v>
      </c>
      <c r="D88" s="54" t="s">
        <v>7</v>
      </c>
      <c r="E88" s="184" t="e">
        <f>IM!$E$33</f>
        <v>#N/A</v>
      </c>
      <c r="F88" s="20" t="s">
        <v>8</v>
      </c>
      <c r="G88" s="61"/>
      <c r="H88" s="56" t="e">
        <f>RADIANS(E88)</f>
        <v>#N/A</v>
      </c>
      <c r="I88" t="e">
        <f>B88*COS(H88)</f>
        <v>#N/A</v>
      </c>
      <c r="J88" t="e">
        <f>B88*SIN(H88)</f>
        <v>#N/A</v>
      </c>
    </row>
    <row r="89" spans="1:10" ht="18" x14ac:dyDescent="0.35">
      <c r="A89" s="31" t="s">
        <v>348</v>
      </c>
      <c r="B89" s="198" t="e">
        <f>IM!$B$54</f>
        <v>#DIV/0!</v>
      </c>
      <c r="C89" s="199" t="s">
        <v>237</v>
      </c>
      <c r="D89" s="31" t="s">
        <v>7</v>
      </c>
      <c r="E89" s="200" t="e">
        <f>IM!$E$54</f>
        <v>#DIV/0!</v>
      </c>
      <c r="F89" s="201" t="s">
        <v>8</v>
      </c>
      <c r="G89" s="173"/>
      <c r="H89" s="56" t="e">
        <f>RADIANS(E89)</f>
        <v>#DIV/0!</v>
      </c>
      <c r="I89" t="e">
        <f>B89*COS(H89)</f>
        <v>#DIV/0!</v>
      </c>
      <c r="J89" t="e">
        <f>B89*SIN(H89)</f>
        <v>#DIV/0!</v>
      </c>
    </row>
    <row r="90" spans="1:10" ht="18" x14ac:dyDescent="0.35">
      <c r="A90" s="105" t="s">
        <v>383</v>
      </c>
      <c r="B90" s="202"/>
      <c r="C90" s="203"/>
      <c r="D90" s="103"/>
      <c r="E90" s="202"/>
      <c r="F90" s="203"/>
      <c r="G90" s="104"/>
      <c r="H90" s="56"/>
    </row>
    <row r="91" spans="1:10" x14ac:dyDescent="0.25">
      <c r="A91" s="54" t="s">
        <v>162</v>
      </c>
      <c r="B91" s="197"/>
      <c r="C91" s="69" t="s">
        <v>237</v>
      </c>
      <c r="D91" s="54" t="s">
        <v>7</v>
      </c>
      <c r="E91" s="197"/>
      <c r="F91" s="20" t="s">
        <v>8</v>
      </c>
      <c r="G91" s="61"/>
      <c r="H91" s="56">
        <f>RADIANS(E91)</f>
        <v>0</v>
      </c>
      <c r="I91">
        <f>B91*COS(H91)</f>
        <v>0</v>
      </c>
      <c r="J91">
        <f>B91*SIN(H91)</f>
        <v>0</v>
      </c>
    </row>
    <row r="92" spans="1:10" x14ac:dyDescent="0.25">
      <c r="A92" s="1" t="s">
        <v>162</v>
      </c>
      <c r="B92" s="204"/>
      <c r="C92" s="69" t="s">
        <v>237</v>
      </c>
      <c r="D92" s="54" t="s">
        <v>7</v>
      </c>
      <c r="E92" s="204"/>
      <c r="F92" s="20" t="s">
        <v>8</v>
      </c>
      <c r="G92" s="61"/>
      <c r="H92" s="56">
        <f t="shared" ref="H92:H95" si="0">RADIANS(E92)</f>
        <v>0</v>
      </c>
      <c r="I92">
        <f t="shared" ref="I92:I95" si="1">B92*COS(H92)</f>
        <v>0</v>
      </c>
      <c r="J92">
        <f t="shared" ref="J92:J95" si="2">B92*SIN(H92)</f>
        <v>0</v>
      </c>
    </row>
    <row r="93" spans="1:10" x14ac:dyDescent="0.25">
      <c r="A93" s="1" t="s">
        <v>162</v>
      </c>
      <c r="B93" s="204"/>
      <c r="C93" s="69" t="s">
        <v>237</v>
      </c>
      <c r="D93" s="54" t="s">
        <v>7</v>
      </c>
      <c r="E93" s="204"/>
      <c r="F93" s="20" t="s">
        <v>8</v>
      </c>
      <c r="G93" s="61"/>
      <c r="H93" s="56">
        <f t="shared" si="0"/>
        <v>0</v>
      </c>
      <c r="I93">
        <f t="shared" si="1"/>
        <v>0</v>
      </c>
      <c r="J93">
        <f t="shared" si="2"/>
        <v>0</v>
      </c>
    </row>
    <row r="94" spans="1:10" x14ac:dyDescent="0.25">
      <c r="A94" s="1" t="s">
        <v>162</v>
      </c>
      <c r="B94" s="204"/>
      <c r="C94" s="69" t="s">
        <v>237</v>
      </c>
      <c r="D94" s="54" t="s">
        <v>7</v>
      </c>
      <c r="E94" s="204"/>
      <c r="F94" s="20" t="s">
        <v>8</v>
      </c>
      <c r="G94" s="61"/>
      <c r="H94" s="56">
        <f t="shared" si="0"/>
        <v>0</v>
      </c>
      <c r="I94">
        <f t="shared" si="1"/>
        <v>0</v>
      </c>
      <c r="J94">
        <f t="shared" si="2"/>
        <v>0</v>
      </c>
    </row>
    <row r="95" spans="1:10" x14ac:dyDescent="0.25">
      <c r="A95" s="1" t="s">
        <v>162</v>
      </c>
      <c r="B95" s="204"/>
      <c r="C95" s="69" t="s">
        <v>237</v>
      </c>
      <c r="D95" s="54" t="s">
        <v>7</v>
      </c>
      <c r="E95" s="204"/>
      <c r="F95" s="20" t="s">
        <v>8</v>
      </c>
      <c r="G95" s="61"/>
      <c r="H95" s="56">
        <f t="shared" si="0"/>
        <v>0</v>
      </c>
      <c r="I95">
        <f t="shared" si="1"/>
        <v>0</v>
      </c>
      <c r="J95">
        <f t="shared" si="2"/>
        <v>0</v>
      </c>
    </row>
    <row r="96" spans="1:10" ht="18" x14ac:dyDescent="0.35">
      <c r="A96" s="1" t="s">
        <v>381</v>
      </c>
      <c r="B96" s="205" t="e">
        <f>SQRT(I96^2+J96^2)</f>
        <v>#N/A</v>
      </c>
      <c r="C96" s="69" t="s">
        <v>237</v>
      </c>
      <c r="D96" s="54" t="s">
        <v>7</v>
      </c>
      <c r="E96" s="19" t="e">
        <f>DEGREES(ATAN2(I96,J96))</f>
        <v>#N/A</v>
      </c>
      <c r="F96" s="20" t="s">
        <v>8</v>
      </c>
      <c r="G96" s="61"/>
      <c r="I96" t="e">
        <f>I88+I89+I91+I92+I93+I94+I95</f>
        <v>#N/A</v>
      </c>
      <c r="J96" t="e">
        <f>J88+J89+J91+J92+J93+J94+J95</f>
        <v>#N/A</v>
      </c>
    </row>
    <row r="99" spans="1:10" ht="18" x14ac:dyDescent="0.35">
      <c r="A99" s="71" t="s">
        <v>380</v>
      </c>
      <c r="B99" s="72" t="s">
        <v>5</v>
      </c>
      <c r="C99" s="72" t="str">
        <f>C87</f>
        <v>W1</v>
      </c>
      <c r="D99" s="72"/>
      <c r="E99" s="72"/>
      <c r="F99" s="72"/>
      <c r="G99" s="73"/>
      <c r="H99" t="s">
        <v>345</v>
      </c>
      <c r="I99" t="s">
        <v>220</v>
      </c>
      <c r="J99" t="s">
        <v>346</v>
      </c>
    </row>
    <row r="100" spans="1:10" ht="18" x14ac:dyDescent="0.35">
      <c r="A100" s="54" t="s">
        <v>353</v>
      </c>
      <c r="B100" s="197" t="e">
        <f>IM!$B$34</f>
        <v>#N/A</v>
      </c>
      <c r="C100" s="69" t="s">
        <v>237</v>
      </c>
      <c r="D100" s="54" t="s">
        <v>7</v>
      </c>
      <c r="E100" s="184" t="e">
        <f>IM!$E$34</f>
        <v>#N/A</v>
      </c>
      <c r="F100" s="20" t="s">
        <v>8</v>
      </c>
      <c r="G100" s="61"/>
      <c r="H100" s="56" t="e">
        <f>RADIANS(E100)</f>
        <v>#N/A</v>
      </c>
      <c r="I100" t="e">
        <f>B100*COS(H100)</f>
        <v>#N/A</v>
      </c>
      <c r="J100" t="e">
        <f>B100*SIN(H100)</f>
        <v>#N/A</v>
      </c>
    </row>
    <row r="101" spans="1:10" ht="18" x14ac:dyDescent="0.35">
      <c r="A101" s="31" t="s">
        <v>348</v>
      </c>
      <c r="B101" s="198" t="e">
        <f>B89</f>
        <v>#DIV/0!</v>
      </c>
      <c r="C101" s="199" t="s">
        <v>237</v>
      </c>
      <c r="D101" s="31" t="s">
        <v>7</v>
      </c>
      <c r="E101" s="200" t="e">
        <f>E89</f>
        <v>#DIV/0!</v>
      </c>
      <c r="F101" s="201" t="s">
        <v>8</v>
      </c>
      <c r="G101" s="173"/>
      <c r="H101" s="56" t="e">
        <f>RADIANS(E101)</f>
        <v>#DIV/0!</v>
      </c>
      <c r="I101" t="e">
        <f>B101*COS(H101)</f>
        <v>#DIV/0!</v>
      </c>
      <c r="J101" t="e">
        <f>B101*SIN(H101)</f>
        <v>#DIV/0!</v>
      </c>
    </row>
    <row r="102" spans="1:10" ht="18" x14ac:dyDescent="0.35">
      <c r="A102" s="105" t="s">
        <v>384</v>
      </c>
      <c r="B102" s="202"/>
      <c r="C102" s="203"/>
      <c r="D102" s="103"/>
      <c r="E102" s="202"/>
      <c r="F102" s="203"/>
      <c r="G102" s="104"/>
      <c r="H102" s="56"/>
    </row>
    <row r="103" spans="1:10" x14ac:dyDescent="0.25">
      <c r="A103" s="1" t="str">
        <f>A91</f>
        <v>W</v>
      </c>
      <c r="B103" s="204"/>
      <c r="C103" s="69" t="s">
        <v>237</v>
      </c>
      <c r="D103" s="54" t="s">
        <v>7</v>
      </c>
      <c r="E103" s="204"/>
      <c r="F103" s="20" t="s">
        <v>8</v>
      </c>
      <c r="G103" s="61"/>
      <c r="H103" s="56">
        <f>RADIANS(E103)</f>
        <v>0</v>
      </c>
      <c r="I103">
        <f>B103*COS(H103)</f>
        <v>0</v>
      </c>
      <c r="J103">
        <f>B103*SIN(H103)</f>
        <v>0</v>
      </c>
    </row>
    <row r="104" spans="1:10" x14ac:dyDescent="0.25">
      <c r="A104" s="1" t="str">
        <f t="shared" ref="A104:A107" si="3">A92</f>
        <v>W</v>
      </c>
      <c r="B104" s="204"/>
      <c r="C104" s="69" t="s">
        <v>237</v>
      </c>
      <c r="D104" s="54" t="s">
        <v>7</v>
      </c>
      <c r="E104" s="204"/>
      <c r="F104" s="20" t="s">
        <v>8</v>
      </c>
      <c r="G104" s="61"/>
      <c r="H104" s="56">
        <f>RADIANS(E104)</f>
        <v>0</v>
      </c>
      <c r="I104">
        <f t="shared" ref="I104:I107" si="4">B104*COS(H104)</f>
        <v>0</v>
      </c>
      <c r="J104">
        <f t="shared" ref="J104:J107" si="5">B104*SIN(H104)</f>
        <v>0</v>
      </c>
    </row>
    <row r="105" spans="1:10" x14ac:dyDescent="0.25">
      <c r="A105" s="1" t="str">
        <f t="shared" si="3"/>
        <v>W</v>
      </c>
      <c r="B105" s="204"/>
      <c r="C105" s="69" t="s">
        <v>237</v>
      </c>
      <c r="D105" s="54" t="s">
        <v>7</v>
      </c>
      <c r="E105" s="204"/>
      <c r="F105" s="20" t="s">
        <v>8</v>
      </c>
      <c r="G105" s="61"/>
      <c r="H105" s="56">
        <f t="shared" ref="H105:H107" si="6">RADIANS(E105)</f>
        <v>0</v>
      </c>
      <c r="I105">
        <f t="shared" si="4"/>
        <v>0</v>
      </c>
      <c r="J105">
        <f t="shared" si="5"/>
        <v>0</v>
      </c>
    </row>
    <row r="106" spans="1:10" x14ac:dyDescent="0.25">
      <c r="A106" s="1" t="str">
        <f t="shared" si="3"/>
        <v>W</v>
      </c>
      <c r="B106" s="204"/>
      <c r="C106" s="69" t="s">
        <v>237</v>
      </c>
      <c r="D106" s="54" t="s">
        <v>7</v>
      </c>
      <c r="E106" s="204"/>
      <c r="F106" s="20" t="s">
        <v>8</v>
      </c>
      <c r="G106" s="61"/>
      <c r="H106" s="56">
        <f t="shared" si="6"/>
        <v>0</v>
      </c>
      <c r="I106">
        <f t="shared" si="4"/>
        <v>0</v>
      </c>
      <c r="J106">
        <f t="shared" si="5"/>
        <v>0</v>
      </c>
    </row>
    <row r="107" spans="1:10" x14ac:dyDescent="0.25">
      <c r="A107" s="1" t="str">
        <f t="shared" si="3"/>
        <v>W</v>
      </c>
      <c r="B107" s="204"/>
      <c r="C107" s="69" t="s">
        <v>237</v>
      </c>
      <c r="D107" s="54" t="s">
        <v>7</v>
      </c>
      <c r="E107" s="204"/>
      <c r="F107" s="20" t="s">
        <v>8</v>
      </c>
      <c r="G107" s="61"/>
      <c r="H107" s="56">
        <f t="shared" si="6"/>
        <v>0</v>
      </c>
      <c r="I107">
        <f t="shared" si="4"/>
        <v>0</v>
      </c>
      <c r="J107">
        <f t="shared" si="5"/>
        <v>0</v>
      </c>
    </row>
    <row r="108" spans="1:10" ht="18" x14ac:dyDescent="0.35">
      <c r="A108" s="1" t="s">
        <v>382</v>
      </c>
      <c r="B108" s="205" t="e">
        <f>SQRT(I108^2+J108^2)</f>
        <v>#N/A</v>
      </c>
      <c r="C108" s="69" t="s">
        <v>237</v>
      </c>
      <c r="D108" s="54" t="s">
        <v>7</v>
      </c>
      <c r="E108" s="19" t="e">
        <f>DEGREES(ATAN2(I108,J108))</f>
        <v>#N/A</v>
      </c>
      <c r="F108" s="20" t="s">
        <v>8</v>
      </c>
      <c r="G108" s="61"/>
      <c r="I108" t="e">
        <f>I100+I101+I103+I104+I105+I106+I107</f>
        <v>#N/A</v>
      </c>
      <c r="J108" t="e">
        <f>J100+J101+J103+J104+J105+J106+J107</f>
        <v>#N/A</v>
      </c>
    </row>
    <row r="111" spans="1:10" ht="18" x14ac:dyDescent="0.35">
      <c r="A111" s="71" t="s">
        <v>236</v>
      </c>
      <c r="B111" s="82" t="s">
        <v>5</v>
      </c>
      <c r="C111" s="78" t="str">
        <f>C13</f>
        <v>W1</v>
      </c>
      <c r="D111" s="78"/>
      <c r="E111" s="72"/>
      <c r="F111" s="74"/>
      <c r="G111" s="117"/>
    </row>
    <row r="112" spans="1:10" ht="18" x14ac:dyDescent="0.35">
      <c r="A112" s="1" t="s">
        <v>166</v>
      </c>
      <c r="B112" s="34">
        <v>400</v>
      </c>
      <c r="C112" s="3" t="s">
        <v>12</v>
      </c>
      <c r="D112" s="4"/>
      <c r="E112" s="4"/>
      <c r="F112" s="26"/>
      <c r="G112" s="27"/>
    </row>
    <row r="113" spans="1:9" ht="18" x14ac:dyDescent="0.35">
      <c r="A113" s="3" t="s">
        <v>432</v>
      </c>
      <c r="B113" s="215" t="e">
        <f>B96</f>
        <v>#N/A</v>
      </c>
      <c r="C113" s="69" t="s">
        <v>237</v>
      </c>
      <c r="D113" s="54" t="s">
        <v>7</v>
      </c>
      <c r="E113" s="215" t="e">
        <f>E96</f>
        <v>#N/A</v>
      </c>
      <c r="F113" s="9" t="s">
        <v>8</v>
      </c>
      <c r="G113" s="21"/>
    </row>
    <row r="114" spans="1:9" ht="18" x14ac:dyDescent="0.35">
      <c r="A114" s="54" t="s">
        <v>434</v>
      </c>
      <c r="B114" s="216" t="e">
        <f>B112/(SQRT(3)*B113)</f>
        <v>#N/A</v>
      </c>
      <c r="C114" s="1" t="s">
        <v>80</v>
      </c>
      <c r="D114" s="1" t="s">
        <v>7</v>
      </c>
      <c r="E114" s="214" t="e">
        <f>-E113</f>
        <v>#N/A</v>
      </c>
      <c r="F114" s="9" t="s">
        <v>8</v>
      </c>
      <c r="G114" s="21"/>
    </row>
    <row r="117" spans="1:9" ht="18" x14ac:dyDescent="0.35">
      <c r="A117" s="71" t="s">
        <v>438</v>
      </c>
      <c r="B117" s="82" t="s">
        <v>5</v>
      </c>
      <c r="C117" s="78" t="str">
        <f>C111</f>
        <v>W1</v>
      </c>
      <c r="D117" s="78"/>
      <c r="E117" s="72"/>
      <c r="F117" s="74"/>
      <c r="G117" s="117"/>
      <c r="I117" t="s">
        <v>296</v>
      </c>
    </row>
    <row r="118" spans="1:9" ht="18" x14ac:dyDescent="0.35">
      <c r="A118" s="1" t="s">
        <v>166</v>
      </c>
      <c r="B118" s="34">
        <v>400</v>
      </c>
      <c r="C118" s="121" t="s">
        <v>12</v>
      </c>
      <c r="D118" s="122"/>
      <c r="E118" s="122"/>
      <c r="F118" s="124"/>
      <c r="G118" s="125"/>
    </row>
    <row r="119" spans="1:9" ht="18" x14ac:dyDescent="0.35">
      <c r="A119" s="3" t="s">
        <v>433</v>
      </c>
      <c r="B119" s="215" t="e">
        <f>B108</f>
        <v>#N/A</v>
      </c>
      <c r="C119" s="69" t="s">
        <v>237</v>
      </c>
      <c r="D119" s="54" t="s">
        <v>7</v>
      </c>
      <c r="E119" s="215" t="e">
        <f>E108</f>
        <v>#N/A</v>
      </c>
      <c r="F119" s="9" t="s">
        <v>8</v>
      </c>
      <c r="G119" s="21"/>
    </row>
    <row r="120" spans="1:9" ht="18" x14ac:dyDescent="0.35">
      <c r="A120" s="54" t="s">
        <v>437</v>
      </c>
      <c r="B120" s="216" t="e">
        <f>B118/(SQRT(3)*B119)</f>
        <v>#N/A</v>
      </c>
      <c r="C120" s="1" t="s">
        <v>80</v>
      </c>
      <c r="D120" s="1" t="s">
        <v>7</v>
      </c>
      <c r="E120" s="214" t="e">
        <f>-E119</f>
        <v>#N/A</v>
      </c>
      <c r="F120" s="9" t="s">
        <v>8</v>
      </c>
      <c r="G120" s="21"/>
    </row>
    <row r="122" spans="1:9" x14ac:dyDescent="0.25">
      <c r="A122" s="51" t="s">
        <v>391</v>
      </c>
    </row>
    <row r="123" spans="1:9" ht="18" x14ac:dyDescent="0.35">
      <c r="A123" s="71" t="s">
        <v>295</v>
      </c>
      <c r="B123" s="82" t="s">
        <v>5</v>
      </c>
      <c r="C123" s="78" t="str">
        <f>C117</f>
        <v>W1</v>
      </c>
      <c r="D123" s="78"/>
      <c r="E123" s="72"/>
      <c r="F123" s="74"/>
      <c r="G123" s="117"/>
    </row>
    <row r="124" spans="1:9" ht="18" x14ac:dyDescent="0.35">
      <c r="A124" s="1" t="s">
        <v>166</v>
      </c>
      <c r="B124" s="34">
        <v>400</v>
      </c>
      <c r="C124" s="121" t="s">
        <v>12</v>
      </c>
      <c r="D124" s="122"/>
      <c r="E124" s="122"/>
      <c r="F124" s="124"/>
      <c r="G124" s="125"/>
      <c r="I124" t="s">
        <v>342</v>
      </c>
    </row>
    <row r="125" spans="1:9" ht="18" x14ac:dyDescent="0.35">
      <c r="A125" s="3" t="s">
        <v>341</v>
      </c>
      <c r="B125" s="34">
        <v>0.9</v>
      </c>
      <c r="C125" s="190"/>
      <c r="D125" s="191"/>
      <c r="E125" s="191"/>
      <c r="F125" s="124"/>
      <c r="G125" s="125"/>
      <c r="I125">
        <v>0.9</v>
      </c>
    </row>
    <row r="126" spans="1:9" ht="18" x14ac:dyDescent="0.35">
      <c r="A126" s="3" t="s">
        <v>433</v>
      </c>
      <c r="B126" s="204" t="e">
        <f>B119</f>
        <v>#N/A</v>
      </c>
      <c r="C126" s="69" t="s">
        <v>237</v>
      </c>
      <c r="D126" s="54" t="s">
        <v>7</v>
      </c>
      <c r="E126" s="184" t="e">
        <f>E119</f>
        <v>#N/A</v>
      </c>
      <c r="F126" s="9" t="s">
        <v>8</v>
      </c>
      <c r="G126" s="21"/>
      <c r="I126" t="s">
        <v>343</v>
      </c>
    </row>
    <row r="127" spans="1:9" ht="18" x14ac:dyDescent="0.35">
      <c r="A127" s="54" t="s">
        <v>435</v>
      </c>
      <c r="B127" s="91" t="e">
        <f>(B124*B125)/(SQRT(3)*B126)</f>
        <v>#N/A</v>
      </c>
      <c r="C127" s="1" t="s">
        <v>80</v>
      </c>
      <c r="D127" s="1" t="s">
        <v>7</v>
      </c>
      <c r="E127" s="186" t="e">
        <f>-E126</f>
        <v>#N/A</v>
      </c>
      <c r="F127" s="9" t="s">
        <v>8</v>
      </c>
      <c r="G127" s="21"/>
      <c r="I127">
        <v>1.1000000000000001</v>
      </c>
    </row>
    <row r="128" spans="1:9" ht="18" x14ac:dyDescent="0.35">
      <c r="A128" s="54" t="s">
        <v>371</v>
      </c>
      <c r="B128" s="156" t="e">
        <f>(SQRT(3)/2)*B127</f>
        <v>#N/A</v>
      </c>
      <c r="C128" s="3" t="s">
        <v>80</v>
      </c>
      <c r="D128" s="4"/>
      <c r="E128" s="22"/>
      <c r="F128" s="22"/>
      <c r="G128" s="21"/>
    </row>
    <row r="129" spans="1:13" x14ac:dyDescent="0.25">
      <c r="A129" s="1" t="s">
        <v>305</v>
      </c>
      <c r="B129" s="192">
        <v>1</v>
      </c>
      <c r="C129" s="3" t="s">
        <v>306</v>
      </c>
      <c r="D129" s="4"/>
      <c r="E129" s="22"/>
      <c r="F129" s="22"/>
      <c r="G129" s="21"/>
    </row>
    <row r="130" spans="1:13" ht="18" x14ac:dyDescent="0.35">
      <c r="A130" s="54" t="s">
        <v>431</v>
      </c>
      <c r="B130" s="19" t="e">
        <f>B128/B129</f>
        <v>#N/A</v>
      </c>
      <c r="C130" s="3" t="s">
        <v>80</v>
      </c>
      <c r="D130" s="4"/>
      <c r="E130" s="22"/>
      <c r="F130" s="22"/>
      <c r="G130" s="21"/>
    </row>
    <row r="131" spans="1:13" x14ac:dyDescent="0.25">
      <c r="B131" s="56"/>
      <c r="E131" s="57"/>
      <c r="F131" s="57"/>
    </row>
    <row r="132" spans="1:13" x14ac:dyDescent="0.25">
      <c r="B132" s="56"/>
      <c r="E132" s="57"/>
      <c r="F132" s="57"/>
    </row>
    <row r="133" spans="1:13" x14ac:dyDescent="0.25">
      <c r="A133" s="71" t="s">
        <v>4</v>
      </c>
      <c r="B133" s="72" t="s">
        <v>5</v>
      </c>
      <c r="C133" s="78" t="str">
        <f>C6</f>
        <v>W1</v>
      </c>
      <c r="D133" s="74"/>
      <c r="E133" s="74"/>
      <c r="F133" s="74"/>
      <c r="G133" s="117"/>
    </row>
    <row r="134" spans="1:13" ht="18" hidden="1" x14ac:dyDescent="0.35">
      <c r="A134" s="54" t="s">
        <v>339</v>
      </c>
      <c r="B134" s="184" t="e">
        <f>B114</f>
        <v>#N/A</v>
      </c>
      <c r="C134" s="25" t="s">
        <v>80</v>
      </c>
      <c r="D134" s="26"/>
      <c r="E134" s="133"/>
      <c r="F134" s="133"/>
      <c r="G134" s="27"/>
      <c r="H134" t="s">
        <v>436</v>
      </c>
    </row>
    <row r="135" spans="1:13" ht="18" x14ac:dyDescent="0.35">
      <c r="A135" s="54" t="s">
        <v>439</v>
      </c>
      <c r="B135" s="184" t="e">
        <f>B120</f>
        <v>#N/A</v>
      </c>
      <c r="C135" s="25" t="s">
        <v>80</v>
      </c>
      <c r="D135" s="26"/>
      <c r="E135" s="133"/>
      <c r="F135" s="133"/>
      <c r="G135" s="27"/>
    </row>
    <row r="136" spans="1:13" ht="18" x14ac:dyDescent="0.35">
      <c r="A136" s="54" t="s">
        <v>307</v>
      </c>
      <c r="B136" s="184" t="e">
        <f>B130</f>
        <v>#N/A</v>
      </c>
      <c r="C136" s="25" t="s">
        <v>80</v>
      </c>
      <c r="D136" s="26"/>
      <c r="E136" s="133"/>
      <c r="F136" s="133"/>
      <c r="G136" s="27"/>
      <c r="H136" t="s">
        <v>503</v>
      </c>
    </row>
    <row r="137" spans="1:13" ht="18" x14ac:dyDescent="0.35">
      <c r="A137" s="54" t="s">
        <v>18</v>
      </c>
      <c r="B137" s="87"/>
      <c r="C137" s="1" t="s">
        <v>19</v>
      </c>
      <c r="D137" s="4" t="s">
        <v>298</v>
      </c>
      <c r="E137" s="4"/>
      <c r="F137" s="4"/>
      <c r="G137" s="21"/>
      <c r="I137" t="s">
        <v>22</v>
      </c>
    </row>
    <row r="138" spans="1:13" ht="17.25" x14ac:dyDescent="0.25">
      <c r="A138" s="1" t="s">
        <v>20</v>
      </c>
      <c r="B138" s="217">
        <f>D39</f>
        <v>0</v>
      </c>
      <c r="C138" s="43" t="s">
        <v>21</v>
      </c>
      <c r="D138" s="48"/>
      <c r="E138" s="185"/>
      <c r="F138" s="185"/>
      <c r="G138" s="173"/>
      <c r="I138" t="s">
        <v>24</v>
      </c>
    </row>
    <row r="139" spans="1:13" x14ac:dyDescent="0.25">
      <c r="A139" s="23" t="s">
        <v>23</v>
      </c>
      <c r="B139" s="51" t="s">
        <v>41</v>
      </c>
      <c r="C139" s="5" t="s">
        <v>71</v>
      </c>
      <c r="D139" s="134">
        <f>L141+M141</f>
        <v>0</v>
      </c>
      <c r="E139" s="18"/>
      <c r="F139" s="133"/>
      <c r="G139" s="27"/>
    </row>
    <row r="140" spans="1:13" x14ac:dyDescent="0.25">
      <c r="A140" s="105" t="s">
        <v>25</v>
      </c>
      <c r="B140" s="103"/>
      <c r="C140" s="106"/>
      <c r="D140" s="106"/>
      <c r="E140" s="106"/>
      <c r="F140" s="106"/>
      <c r="G140" s="148"/>
      <c r="H140">
        <f>IF(0.1&gt;=B137,1,0)</f>
        <v>1</v>
      </c>
      <c r="I140">
        <f>IF(B137&gt;0.001,1,0)</f>
        <v>0</v>
      </c>
      <c r="J140" s="3" t="s">
        <v>30</v>
      </c>
      <c r="L140">
        <f>IF(B24="CU",1,0)</f>
        <v>0</v>
      </c>
      <c r="M140">
        <f>IF(B24="AL",1,0)</f>
        <v>0</v>
      </c>
    </row>
    <row r="141" spans="1:13" ht="18" x14ac:dyDescent="0.35">
      <c r="A141" s="54" t="s">
        <v>26</v>
      </c>
      <c r="B141" s="120" t="str">
        <f>IF(H140+I140=2,"Ja","Nej")</f>
        <v>Nej</v>
      </c>
      <c r="C141" s="25"/>
      <c r="D141" s="26"/>
      <c r="E141" s="26"/>
      <c r="F141" s="26"/>
      <c r="G141" s="27"/>
      <c r="H141">
        <f>IF(B137&lt;=0.001,1,0)</f>
        <v>1</v>
      </c>
      <c r="J141" s="3" t="s">
        <v>28</v>
      </c>
      <c r="L141">
        <f>IF(L140=1,143,0)</f>
        <v>0</v>
      </c>
      <c r="M141">
        <f>IF(M140=1,94,0)</f>
        <v>0</v>
      </c>
    </row>
    <row r="142" spans="1:13" ht="18" x14ac:dyDescent="0.35">
      <c r="A142" s="1" t="s">
        <v>27</v>
      </c>
      <c r="B142" s="88" t="str">
        <f>IF(H141=1,"Ja","Nej")</f>
        <v>Ja</v>
      </c>
      <c r="C142" s="25"/>
      <c r="D142" s="26"/>
      <c r="E142" s="26"/>
      <c r="F142" s="26"/>
      <c r="G142" s="27"/>
      <c r="H142">
        <f>IF(B137&gt;0.1,1,0)</f>
        <v>0</v>
      </c>
      <c r="J142" s="25" t="s">
        <v>30</v>
      </c>
    </row>
    <row r="143" spans="1:13" ht="18" x14ac:dyDescent="0.35">
      <c r="A143" s="23" t="s">
        <v>29</v>
      </c>
      <c r="B143" s="141" t="str">
        <f>IF(H142=1,"Ja","Nej")</f>
        <v>Nej</v>
      </c>
      <c r="C143" s="25"/>
      <c r="D143" s="26"/>
      <c r="E143" s="26"/>
      <c r="F143" s="26"/>
      <c r="G143" s="27"/>
    </row>
    <row r="144" spans="1:13" x14ac:dyDescent="0.25">
      <c r="A144" s="105" t="s">
        <v>31</v>
      </c>
      <c r="B144" s="103"/>
      <c r="C144" s="106"/>
      <c r="D144" s="106"/>
      <c r="E144" s="106"/>
      <c r="F144" s="106"/>
      <c r="G144" s="148"/>
    </row>
    <row r="145" spans="1:9" ht="17.25" x14ac:dyDescent="0.25">
      <c r="A145" s="54" t="s">
        <v>245</v>
      </c>
      <c r="B145" s="149">
        <f>5*10^5</f>
        <v>500000</v>
      </c>
      <c r="C145" s="25" t="s">
        <v>32</v>
      </c>
      <c r="D145" s="26" t="s">
        <v>298</v>
      </c>
      <c r="E145" s="26"/>
      <c r="F145" s="26"/>
      <c r="G145" s="27"/>
      <c r="I145" s="128" t="s">
        <v>241</v>
      </c>
    </row>
    <row r="146" spans="1:9" ht="17.25" x14ac:dyDescent="0.25">
      <c r="A146" s="1" t="s">
        <v>33</v>
      </c>
      <c r="B146" s="141">
        <f>(D139^2)*(B138^2)</f>
        <v>0</v>
      </c>
      <c r="C146" s="3" t="s">
        <v>32</v>
      </c>
      <c r="D146" s="4"/>
      <c r="E146" s="26"/>
      <c r="F146" s="26"/>
      <c r="G146" s="27"/>
      <c r="I146" s="25" t="s">
        <v>242</v>
      </c>
    </row>
    <row r="147" spans="1:9" ht="17.25" x14ac:dyDescent="0.25">
      <c r="A147" s="1" t="s">
        <v>34</v>
      </c>
      <c r="B147" s="28" t="s">
        <v>4</v>
      </c>
      <c r="C147" s="46"/>
      <c r="D147" s="46" t="str">
        <f>IF(B145&lt;=B146,"OK","Ikke OK")</f>
        <v>Ikke OK</v>
      </c>
      <c r="E147" s="3"/>
      <c r="F147" s="4"/>
      <c r="G147" s="21"/>
      <c r="I147" s="25" t="s">
        <v>242</v>
      </c>
    </row>
    <row r="148" spans="1:9" x14ac:dyDescent="0.25">
      <c r="A148" s="105" t="s">
        <v>31</v>
      </c>
      <c r="B148" s="103"/>
      <c r="C148" s="103"/>
      <c r="D148" s="103"/>
      <c r="E148" s="103"/>
      <c r="F148" s="103"/>
      <c r="G148" s="42"/>
    </row>
    <row r="149" spans="1:9" ht="18.75" x14ac:dyDescent="0.35">
      <c r="A149" s="1" t="s">
        <v>440</v>
      </c>
      <c r="B149" s="62" t="e">
        <f>((B135^2*10^3)*B137)</f>
        <v>#N/A</v>
      </c>
      <c r="C149" s="3" t="s">
        <v>32</v>
      </c>
      <c r="D149" s="4"/>
      <c r="E149" s="4"/>
      <c r="F149" s="4"/>
      <c r="G149" s="21"/>
    </row>
    <row r="150" spans="1:9" ht="17.25" x14ac:dyDescent="0.25">
      <c r="A150" s="1" t="s">
        <v>33</v>
      </c>
      <c r="B150" s="141">
        <f>(D139^2)*(B138^2)</f>
        <v>0</v>
      </c>
      <c r="C150" s="3" t="s">
        <v>32</v>
      </c>
      <c r="D150" s="4"/>
      <c r="E150" s="26"/>
      <c r="F150" s="26"/>
      <c r="G150" s="27"/>
    </row>
    <row r="151" spans="1:9" ht="17.25" x14ac:dyDescent="0.25">
      <c r="A151" s="1" t="s">
        <v>34</v>
      </c>
      <c r="B151" s="28" t="s">
        <v>4</v>
      </c>
      <c r="C151" s="46"/>
      <c r="D151" s="29" t="e">
        <f>IF(B149&lt;=B150,"OK","Ikke OK")</f>
        <v>#N/A</v>
      </c>
      <c r="E151" s="3"/>
      <c r="F151" s="4"/>
      <c r="G151" s="21"/>
    </row>
    <row r="152" spans="1:9" x14ac:dyDescent="0.25">
      <c r="A152" s="105" t="s">
        <v>31</v>
      </c>
      <c r="B152" s="103"/>
      <c r="C152" s="103"/>
      <c r="D152" s="106"/>
      <c r="E152" s="106"/>
      <c r="F152" s="106"/>
      <c r="G152" s="148"/>
    </row>
    <row r="153" spans="1:9" ht="17.25" x14ac:dyDescent="0.25">
      <c r="A153" s="54" t="s">
        <v>245</v>
      </c>
      <c r="B153" s="49"/>
      <c r="C153" s="43" t="s">
        <v>32</v>
      </c>
      <c r="D153" s="3" t="s">
        <v>298</v>
      </c>
      <c r="E153" s="122"/>
      <c r="F153" s="122"/>
      <c r="G153" s="123"/>
    </row>
    <row r="154" spans="1:9" ht="18.75" x14ac:dyDescent="0.35">
      <c r="A154" s="1" t="s">
        <v>36</v>
      </c>
      <c r="B154" s="2"/>
      <c r="C154" s="3" t="s">
        <v>35</v>
      </c>
      <c r="D154" s="25" t="s">
        <v>299</v>
      </c>
      <c r="E154" s="26"/>
      <c r="F154" s="26"/>
      <c r="G154" s="27"/>
    </row>
    <row r="155" spans="1:9" ht="18.75" x14ac:dyDescent="0.35">
      <c r="A155" s="1" t="s">
        <v>35</v>
      </c>
      <c r="B155" s="2"/>
      <c r="C155" s="25" t="s">
        <v>36</v>
      </c>
      <c r="D155" s="25" t="s">
        <v>299</v>
      </c>
      <c r="E155" s="26"/>
      <c r="F155" s="26"/>
      <c r="G155" s="27"/>
    </row>
    <row r="156" spans="1:9" ht="18.75" x14ac:dyDescent="0.35">
      <c r="A156" s="1" t="s">
        <v>37</v>
      </c>
      <c r="B156" s="88">
        <f>B155-B154</f>
        <v>0</v>
      </c>
      <c r="C156" s="3" t="s">
        <v>32</v>
      </c>
      <c r="D156" s="4"/>
      <c r="E156" s="4"/>
      <c r="F156" s="4"/>
      <c r="G156" s="21"/>
    </row>
    <row r="157" spans="1:9" ht="18.75" x14ac:dyDescent="0.35">
      <c r="A157" s="1" t="s">
        <v>244</v>
      </c>
      <c r="B157" s="88">
        <f>B153+B156</f>
        <v>0</v>
      </c>
      <c r="C157" s="3" t="s">
        <v>32</v>
      </c>
      <c r="D157" s="4"/>
      <c r="E157" s="4"/>
      <c r="F157" s="4"/>
      <c r="G157" s="21"/>
    </row>
    <row r="158" spans="1:9" ht="17.25" x14ac:dyDescent="0.25">
      <c r="A158" s="1" t="s">
        <v>33</v>
      </c>
      <c r="B158" s="88">
        <f>(D139^2)*(B138^2)</f>
        <v>0</v>
      </c>
      <c r="C158" s="3" t="s">
        <v>32</v>
      </c>
      <c r="D158" s="4"/>
      <c r="E158" s="4"/>
      <c r="F158" s="4"/>
      <c r="G158" s="21"/>
    </row>
    <row r="159" spans="1:9" ht="17.25" x14ac:dyDescent="0.25">
      <c r="A159" s="1" t="s">
        <v>34</v>
      </c>
      <c r="B159" s="28" t="s">
        <v>4</v>
      </c>
      <c r="C159" s="118"/>
      <c r="D159" s="118" t="str">
        <f>IF(B157&lt;=B158,"OK","ikke OK")</f>
        <v>OK</v>
      </c>
      <c r="E159" s="43"/>
      <c r="F159" s="48"/>
      <c r="G159" s="61"/>
    </row>
    <row r="161" spans="1:14" x14ac:dyDescent="0.25">
      <c r="K161" s="66" t="s">
        <v>270</v>
      </c>
    </row>
    <row r="162" spans="1:14" x14ac:dyDescent="0.25">
      <c r="A162" s="71" t="s">
        <v>260</v>
      </c>
      <c r="B162" s="72" t="s">
        <v>261</v>
      </c>
      <c r="C162" s="72" t="str">
        <f>C6</f>
        <v>W1</v>
      </c>
      <c r="D162" s="72"/>
      <c r="E162" s="72"/>
      <c r="F162" s="72"/>
      <c r="G162" s="73"/>
      <c r="K162" t="s">
        <v>269</v>
      </c>
    </row>
    <row r="163" spans="1:14" ht="18" x14ac:dyDescent="0.35">
      <c r="A163" s="54" t="s">
        <v>18</v>
      </c>
      <c r="B163" s="187">
        <f>B137</f>
        <v>0</v>
      </c>
      <c r="C163" s="3" t="s">
        <v>19</v>
      </c>
      <c r="D163" s="4"/>
      <c r="E163" s="4"/>
      <c r="F163" s="4"/>
      <c r="G163" s="21"/>
    </row>
    <row r="164" spans="1:14" ht="18" x14ac:dyDescent="0.35">
      <c r="A164" s="1" t="s">
        <v>262</v>
      </c>
      <c r="B164" s="38">
        <f>IF(J164=1,M164+N164,M165+N165)</f>
        <v>0.4</v>
      </c>
      <c r="C164" s="3" t="s">
        <v>19</v>
      </c>
      <c r="D164" s="4" t="s">
        <v>445</v>
      </c>
      <c r="E164" s="4"/>
      <c r="F164" s="4"/>
      <c r="G164" s="21"/>
      <c r="I164" t="s">
        <v>267</v>
      </c>
      <c r="J164">
        <f>IF(B3="TT",1,0)</f>
        <v>0</v>
      </c>
      <c r="K164" s="86">
        <v>0</v>
      </c>
      <c r="L164">
        <f>IF(K164=1,63,32)</f>
        <v>32</v>
      </c>
      <c r="M164">
        <f>IF(B11&lt;=L164,0.2,0)</f>
        <v>0.2</v>
      </c>
      <c r="N164">
        <f>IF(B11&gt;L164,1,0)</f>
        <v>0</v>
      </c>
    </row>
    <row r="165" spans="1:14" ht="18" x14ac:dyDescent="0.35">
      <c r="A165" s="1" t="s">
        <v>263</v>
      </c>
      <c r="B165" s="28" t="s">
        <v>260</v>
      </c>
      <c r="C165" s="118"/>
      <c r="D165" s="237" t="str">
        <f>IF(B163&lt;=B164,"OK","Ikke OK")</f>
        <v>OK</v>
      </c>
      <c r="E165" s="48"/>
      <c r="F165" s="48"/>
      <c r="G165" s="61"/>
      <c r="I165" t="s">
        <v>268</v>
      </c>
      <c r="J165">
        <f>IF(B3="TT",0,1)</f>
        <v>1</v>
      </c>
      <c r="K165" s="86">
        <v>0</v>
      </c>
      <c r="L165">
        <f>IF(K165=1,63,32)</f>
        <v>32</v>
      </c>
      <c r="M165">
        <f>IF(B11&lt;=L165,0.4,0)</f>
        <v>0.4</v>
      </c>
      <c r="N165">
        <f>IF(B11&gt;L165,5,0)</f>
        <v>0</v>
      </c>
    </row>
    <row r="168" spans="1:14" x14ac:dyDescent="0.25">
      <c r="A168" s="71" t="s">
        <v>441</v>
      </c>
      <c r="B168" s="72" t="s">
        <v>5</v>
      </c>
      <c r="C168" s="72" t="str">
        <f>C162</f>
        <v>W1</v>
      </c>
      <c r="D168" s="72"/>
      <c r="E168" s="72"/>
      <c r="F168" s="72"/>
      <c r="G168" s="73"/>
    </row>
    <row r="169" spans="1:14" ht="18" x14ac:dyDescent="0.35">
      <c r="A169" s="54" t="s">
        <v>177</v>
      </c>
      <c r="B169" s="187">
        <f>B11</f>
        <v>0</v>
      </c>
      <c r="C169" s="43" t="s">
        <v>2</v>
      </c>
      <c r="D169" s="48"/>
      <c r="E169" s="48"/>
      <c r="F169" s="48"/>
      <c r="G169" s="61"/>
    </row>
    <row r="170" spans="1:14" ht="18" x14ac:dyDescent="0.35">
      <c r="A170" s="1" t="s">
        <v>442</v>
      </c>
      <c r="B170" s="15">
        <v>32</v>
      </c>
      <c r="C170" s="3" t="s">
        <v>2</v>
      </c>
      <c r="D170" s="4" t="s">
        <v>443</v>
      </c>
      <c r="E170" s="4"/>
      <c r="F170" s="4"/>
      <c r="G170" s="21"/>
    </row>
    <row r="171" spans="1:14" ht="18" x14ac:dyDescent="0.35">
      <c r="A171" s="1" t="s">
        <v>444</v>
      </c>
      <c r="B171" s="14" t="str">
        <f>IF(B169&gt;B170,"Ikke RCD","RCD")</f>
        <v>RCD</v>
      </c>
      <c r="C171" s="3"/>
      <c r="D171" s="4"/>
      <c r="E171" s="4"/>
      <c r="F171" s="4"/>
      <c r="G171" s="2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48"/>
  <sheetViews>
    <sheetView topLeftCell="A23" workbookViewId="0">
      <selection activeCell="A37" sqref="A37:XFD37"/>
    </sheetView>
  </sheetViews>
  <sheetFormatPr defaultRowHeight="15" x14ac:dyDescent="0.25"/>
  <cols>
    <col min="1" max="1" width="34.85546875" customWidth="1"/>
    <col min="2" max="6" width="10.7109375" customWidth="1"/>
    <col min="7" max="7" width="5.7109375" customWidth="1"/>
  </cols>
  <sheetData>
    <row r="3" spans="1:7" x14ac:dyDescent="0.25">
      <c r="A3" s="177" t="s">
        <v>265</v>
      </c>
      <c r="B3" s="175"/>
      <c r="C3" s="176"/>
      <c r="D3" s="83"/>
      <c r="E3" s="83"/>
      <c r="F3" s="83"/>
      <c r="G3" s="84"/>
    </row>
    <row r="6" spans="1:7" x14ac:dyDescent="0.25">
      <c r="A6" s="71" t="s">
        <v>98</v>
      </c>
      <c r="B6" s="72" t="s">
        <v>89</v>
      </c>
      <c r="C6" s="74"/>
      <c r="D6" s="74"/>
      <c r="E6" s="142"/>
      <c r="F6" s="142"/>
      <c r="G6" s="117"/>
    </row>
    <row r="7" spans="1:7" ht="18" x14ac:dyDescent="0.35">
      <c r="A7" s="54" t="s">
        <v>1</v>
      </c>
      <c r="B7" s="30"/>
      <c r="C7" s="25" t="s">
        <v>2</v>
      </c>
      <c r="D7" s="26"/>
      <c r="E7" s="26"/>
      <c r="F7" s="26"/>
      <c r="G7" s="27"/>
    </row>
    <row r="8" spans="1:7" ht="18" hidden="1" x14ac:dyDescent="0.35">
      <c r="A8" s="1" t="s">
        <v>99</v>
      </c>
      <c r="B8" s="34"/>
      <c r="C8" s="25" t="s">
        <v>2</v>
      </c>
      <c r="D8" s="26"/>
      <c r="E8" s="26"/>
      <c r="F8" s="26"/>
      <c r="G8" s="27"/>
    </row>
    <row r="9" spans="1:7" ht="18" hidden="1" x14ac:dyDescent="0.35">
      <c r="A9" s="1" t="s">
        <v>18</v>
      </c>
      <c r="B9" s="34"/>
      <c r="C9" s="3" t="s">
        <v>19</v>
      </c>
      <c r="D9" s="4"/>
      <c r="E9" s="4"/>
      <c r="F9" s="4"/>
      <c r="G9" s="21"/>
    </row>
    <row r="10" spans="1:7" x14ac:dyDescent="0.25">
      <c r="A10" s="1" t="s">
        <v>3</v>
      </c>
      <c r="B10" s="28" t="s">
        <v>137</v>
      </c>
      <c r="C10" s="230" t="s">
        <v>389</v>
      </c>
      <c r="D10" s="231"/>
      <c r="E10" s="25"/>
      <c r="F10" s="26"/>
      <c r="G10" s="27"/>
    </row>
    <row r="11" spans="1:7" ht="18" x14ac:dyDescent="0.35">
      <c r="A11" s="1" t="s">
        <v>91</v>
      </c>
      <c r="B11" s="28"/>
      <c r="C11" s="195" t="s">
        <v>2</v>
      </c>
      <c r="D11" s="194"/>
      <c r="E11" s="194"/>
      <c r="F11" s="194"/>
      <c r="G11" s="155"/>
    </row>
    <row r="12" spans="1:7" hidden="1" x14ac:dyDescent="0.25">
      <c r="A12" s="1" t="s">
        <v>101</v>
      </c>
      <c r="B12" s="14"/>
      <c r="C12" s="58" t="s">
        <v>2</v>
      </c>
      <c r="D12" s="232" t="s">
        <v>100</v>
      </c>
      <c r="E12" s="43"/>
      <c r="F12" s="48"/>
      <c r="G12" s="61"/>
    </row>
    <row r="13" spans="1:7" ht="18" x14ac:dyDescent="0.35">
      <c r="A13" s="1" t="s">
        <v>339</v>
      </c>
      <c r="B13" s="35"/>
      <c r="C13" s="251" t="s">
        <v>80</v>
      </c>
      <c r="D13" s="252"/>
      <c r="E13" s="4"/>
      <c r="F13" s="4"/>
      <c r="G13" s="21"/>
    </row>
    <row r="14" spans="1:7" ht="18" x14ac:dyDescent="0.35">
      <c r="A14" s="1" t="s">
        <v>81</v>
      </c>
      <c r="B14" s="218">
        <v>99</v>
      </c>
      <c r="C14" s="251" t="s">
        <v>80</v>
      </c>
      <c r="D14" s="252"/>
      <c r="E14" s="26"/>
      <c r="F14" s="26"/>
      <c r="G14" s="27"/>
    </row>
    <row r="15" spans="1:7" ht="18" x14ac:dyDescent="0.35">
      <c r="A15" s="3" t="s">
        <v>229</v>
      </c>
      <c r="B15" s="28" t="s">
        <v>223</v>
      </c>
      <c r="C15" s="46"/>
      <c r="D15" s="46" t="str">
        <f>IF(B14&gt;=B13,"OK","Ikke OK")</f>
        <v>OK</v>
      </c>
      <c r="E15" s="3"/>
      <c r="F15" s="4"/>
      <c r="G15" s="21"/>
    </row>
    <row r="18" spans="1:9" x14ac:dyDescent="0.25">
      <c r="A18" s="71" t="s">
        <v>38</v>
      </c>
      <c r="B18" s="78" t="s">
        <v>5</v>
      </c>
      <c r="C18" s="78">
        <f>C6</f>
        <v>0</v>
      </c>
      <c r="D18" s="78"/>
      <c r="E18" s="78"/>
      <c r="F18" s="72"/>
      <c r="G18" s="73"/>
      <c r="I18" t="s">
        <v>90</v>
      </c>
    </row>
    <row r="19" spans="1:9" x14ac:dyDescent="0.25">
      <c r="A19" s="109" t="s">
        <v>39</v>
      </c>
      <c r="B19" s="30"/>
      <c r="C19" s="30">
        <v>90</v>
      </c>
      <c r="D19" s="20" t="s">
        <v>8</v>
      </c>
      <c r="E19" s="48"/>
      <c r="F19" s="48"/>
      <c r="G19" s="61"/>
    </row>
    <row r="20" spans="1:9" ht="18" x14ac:dyDescent="0.35">
      <c r="A20" s="1" t="s">
        <v>40</v>
      </c>
      <c r="B20" s="1" t="s">
        <v>41</v>
      </c>
      <c r="C20" s="30" t="s">
        <v>42</v>
      </c>
      <c r="D20" s="31" t="s">
        <v>43</v>
      </c>
      <c r="E20" s="32"/>
      <c r="F20" s="31" t="s">
        <v>44</v>
      </c>
      <c r="G20" s="32"/>
    </row>
    <row r="21" spans="1:9" x14ac:dyDescent="0.25">
      <c r="A21" s="1" t="s">
        <v>45</v>
      </c>
      <c r="B21" s="1" t="s">
        <v>41</v>
      </c>
      <c r="C21" s="30" t="s">
        <v>46</v>
      </c>
      <c r="D21" s="3"/>
      <c r="E21" s="4"/>
      <c r="F21" s="4"/>
      <c r="G21" s="21"/>
    </row>
    <row r="22" spans="1:9" x14ac:dyDescent="0.25">
      <c r="A22" s="1" t="s">
        <v>47</v>
      </c>
      <c r="B22" s="1" t="s">
        <v>41</v>
      </c>
      <c r="C22" s="5" t="s">
        <v>102</v>
      </c>
      <c r="D22" s="3"/>
      <c r="E22" s="4"/>
      <c r="F22" s="4"/>
      <c r="G22" s="21"/>
      <c r="I22" t="s">
        <v>48</v>
      </c>
    </row>
    <row r="23" spans="1:9" ht="18" x14ac:dyDescent="0.35">
      <c r="A23" s="1" t="s">
        <v>49</v>
      </c>
      <c r="B23" s="1" t="s">
        <v>41</v>
      </c>
      <c r="C23" s="33" t="s">
        <v>102</v>
      </c>
      <c r="D23" s="15">
        <v>1</v>
      </c>
      <c r="E23" s="4"/>
      <c r="F23" s="4"/>
      <c r="G23" s="21"/>
    </row>
    <row r="24" spans="1:9" x14ac:dyDescent="0.25">
      <c r="A24" s="1" t="s">
        <v>50</v>
      </c>
      <c r="B24" s="1" t="s">
        <v>41</v>
      </c>
      <c r="C24" s="33" t="s">
        <v>102</v>
      </c>
      <c r="D24" s="15">
        <v>1</v>
      </c>
      <c r="E24" s="4"/>
      <c r="F24" s="4"/>
      <c r="G24" s="21"/>
    </row>
    <row r="25" spans="1:9" ht="18" x14ac:dyDescent="0.35">
      <c r="A25" s="1" t="s">
        <v>411</v>
      </c>
      <c r="B25" s="1" t="s">
        <v>41</v>
      </c>
      <c r="C25" s="33" t="s">
        <v>102</v>
      </c>
      <c r="D25" s="15">
        <v>1</v>
      </c>
      <c r="E25" s="4"/>
      <c r="F25" s="4"/>
      <c r="G25" s="21"/>
    </row>
    <row r="26" spans="1:9" ht="18" x14ac:dyDescent="0.35">
      <c r="A26" s="1" t="s">
        <v>51</v>
      </c>
      <c r="B26" s="1" t="s">
        <v>41</v>
      </c>
      <c r="C26" s="34" t="s">
        <v>102</v>
      </c>
      <c r="D26" s="15">
        <v>1</v>
      </c>
      <c r="E26" s="4"/>
      <c r="F26" s="4"/>
      <c r="G26" s="21"/>
    </row>
    <row r="27" spans="1:9" ht="18" x14ac:dyDescent="0.35">
      <c r="A27" s="1" t="s">
        <v>53</v>
      </c>
      <c r="B27" s="3" t="s">
        <v>41</v>
      </c>
      <c r="C27" s="33" t="s">
        <v>102</v>
      </c>
      <c r="D27" s="15">
        <v>1</v>
      </c>
      <c r="E27" s="26"/>
      <c r="F27" s="26"/>
      <c r="G27" s="27"/>
    </row>
    <row r="28" spans="1:9" ht="18" x14ac:dyDescent="0.35">
      <c r="A28" s="1" t="s">
        <v>54</v>
      </c>
      <c r="B28" s="3" t="s">
        <v>41</v>
      </c>
      <c r="C28" s="2" t="s">
        <v>102</v>
      </c>
      <c r="D28" s="15">
        <v>1</v>
      </c>
      <c r="E28" s="26"/>
      <c r="F28" s="26"/>
      <c r="G28" s="27"/>
    </row>
    <row r="29" spans="1:9" ht="18" x14ac:dyDescent="0.35">
      <c r="A29" s="1" t="s">
        <v>1</v>
      </c>
      <c r="B29" s="227">
        <f>B7</f>
        <v>0</v>
      </c>
      <c r="C29" s="3" t="s">
        <v>2</v>
      </c>
      <c r="D29" s="4"/>
      <c r="E29" s="4"/>
      <c r="F29" s="4"/>
      <c r="G29" s="21"/>
    </row>
    <row r="30" spans="1:9" ht="18" x14ac:dyDescent="0.35">
      <c r="A30" s="1" t="s">
        <v>91</v>
      </c>
      <c r="B30" s="228">
        <f>B11</f>
        <v>0</v>
      </c>
      <c r="C30" s="3" t="s">
        <v>2</v>
      </c>
      <c r="D30" s="4"/>
      <c r="E30" s="4"/>
      <c r="F30" s="4"/>
      <c r="G30" s="21"/>
    </row>
    <row r="31" spans="1:9" ht="18" x14ac:dyDescent="0.35">
      <c r="A31" s="36" t="s">
        <v>412</v>
      </c>
      <c r="B31" s="37">
        <f>B30/(D24*D23*D25*D26*D27*D28)</f>
        <v>0</v>
      </c>
      <c r="C31" s="3" t="s">
        <v>2</v>
      </c>
      <c r="D31" s="4"/>
      <c r="E31" s="4"/>
      <c r="F31" s="4"/>
      <c r="G31" s="21"/>
    </row>
    <row r="32" spans="1:9" x14ac:dyDescent="0.25">
      <c r="A32" s="36" t="s">
        <v>415</v>
      </c>
      <c r="B32" s="35">
        <v>1</v>
      </c>
      <c r="C32" s="3"/>
      <c r="D32" s="4"/>
      <c r="E32" s="4"/>
      <c r="F32" s="4"/>
      <c r="G32" s="21"/>
      <c r="I32" t="s">
        <v>172</v>
      </c>
    </row>
    <row r="33" spans="1:10" ht="18" x14ac:dyDescent="0.35">
      <c r="A33" s="1" t="s">
        <v>416</v>
      </c>
      <c r="B33" s="88">
        <f>B31/B32</f>
        <v>0</v>
      </c>
      <c r="C33" s="3" t="s">
        <v>2</v>
      </c>
      <c r="D33" s="4"/>
      <c r="E33" s="4"/>
      <c r="F33" s="4"/>
      <c r="G33" s="21"/>
    </row>
    <row r="34" spans="1:10" ht="18.75" x14ac:dyDescent="0.35">
      <c r="A34" s="1" t="s">
        <v>417</v>
      </c>
      <c r="B34" s="218"/>
      <c r="C34" s="25" t="s">
        <v>2</v>
      </c>
      <c r="D34" s="15"/>
      <c r="E34" s="3" t="s">
        <v>21</v>
      </c>
      <c r="F34" s="19" t="e">
        <f>B31/B34</f>
        <v>#DIV/0!</v>
      </c>
      <c r="G34" s="21" t="s">
        <v>151</v>
      </c>
    </row>
    <row r="35" spans="1:10" x14ac:dyDescent="0.25">
      <c r="A35" s="1" t="s">
        <v>304</v>
      </c>
      <c r="B35" s="50">
        <f>B32</f>
        <v>1</v>
      </c>
      <c r="C35" s="46" t="s">
        <v>151</v>
      </c>
      <c r="D35" s="46"/>
      <c r="E35" s="46"/>
      <c r="F35" s="235">
        <f>B34</f>
        <v>0</v>
      </c>
      <c r="G35" s="52" t="s">
        <v>2</v>
      </c>
      <c r="H35">
        <f>B35*F35</f>
        <v>0</v>
      </c>
      <c r="I35" s="53">
        <f>IF(B29&lt;=B30,1,0)</f>
        <v>1</v>
      </c>
      <c r="J35" s="53" t="str">
        <f>IF(B30&lt;=H35,"1","0")</f>
        <v>1</v>
      </c>
    </row>
    <row r="36" spans="1:10" ht="18" x14ac:dyDescent="0.35">
      <c r="A36" s="3" t="s">
        <v>419</v>
      </c>
      <c r="B36" s="108" t="s">
        <v>222</v>
      </c>
      <c r="C36" s="46"/>
      <c r="D36" s="29" t="str">
        <f>IF(I35+J35=2,"OK","Ikke OK")</f>
        <v>OK</v>
      </c>
      <c r="E36" s="51"/>
      <c r="F36" s="4"/>
      <c r="G36" s="21"/>
    </row>
    <row r="37" spans="1:10" ht="18" hidden="1" x14ac:dyDescent="0.35">
      <c r="A37" s="31" t="s">
        <v>233</v>
      </c>
      <c r="B37" s="110">
        <f>$B$9/(B35*D23)</f>
        <v>0</v>
      </c>
      <c r="C37" s="111">
        <f>B37</f>
        <v>0</v>
      </c>
      <c r="D37" s="112"/>
      <c r="E37" s="26"/>
      <c r="F37" s="26"/>
      <c r="G37" s="27"/>
      <c r="I37" t="s">
        <v>170</v>
      </c>
    </row>
    <row r="38" spans="1:10" x14ac:dyDescent="0.25">
      <c r="A38" s="77" t="s">
        <v>55</v>
      </c>
      <c r="B38" s="78" t="s">
        <v>5</v>
      </c>
      <c r="C38" s="78">
        <f>C18</f>
        <v>0</v>
      </c>
      <c r="D38" s="78"/>
      <c r="E38" s="78"/>
      <c r="F38" s="72"/>
      <c r="G38" s="73"/>
      <c r="I38" t="s">
        <v>171</v>
      </c>
    </row>
    <row r="39" spans="1:10" x14ac:dyDescent="0.25">
      <c r="A39" s="92" t="s">
        <v>56</v>
      </c>
      <c r="B39" s="113" t="s">
        <v>41</v>
      </c>
      <c r="C39" s="114" t="s">
        <v>57</v>
      </c>
      <c r="D39" s="92"/>
      <c r="E39" s="93"/>
      <c r="F39" s="48"/>
      <c r="G39" s="61"/>
      <c r="I39" t="s">
        <v>219</v>
      </c>
    </row>
    <row r="40" spans="1:10" ht="17.25" x14ac:dyDescent="0.25">
      <c r="A40" s="40" t="s">
        <v>58</v>
      </c>
      <c r="B40" s="229">
        <f>D34</f>
        <v>0</v>
      </c>
      <c r="C40" s="39" t="s">
        <v>21</v>
      </c>
      <c r="D40" s="41"/>
      <c r="E40" s="41"/>
      <c r="F40" s="4"/>
      <c r="G40" s="21"/>
      <c r="I40">
        <f>IF(B41=B42,1,0)</f>
        <v>1</v>
      </c>
    </row>
    <row r="41" spans="1:10" x14ac:dyDescent="0.25">
      <c r="A41" s="40" t="s">
        <v>59</v>
      </c>
      <c r="B41" s="229">
        <f>B19</f>
        <v>0</v>
      </c>
      <c r="C41" s="39"/>
      <c r="D41" s="41"/>
      <c r="E41" s="41"/>
      <c r="F41" s="4"/>
      <c r="G41" s="21"/>
    </row>
    <row r="42" spans="1:10" x14ac:dyDescent="0.25">
      <c r="A42" s="153" t="s">
        <v>60</v>
      </c>
      <c r="B42" s="152"/>
      <c r="C42" s="80"/>
      <c r="D42" s="95"/>
      <c r="E42" s="95"/>
      <c r="F42" s="26"/>
      <c r="G42" s="27"/>
    </row>
    <row r="43" spans="1:10" x14ac:dyDescent="0.25">
      <c r="A43" s="101" t="s">
        <v>61</v>
      </c>
      <c r="B43" s="102" t="str">
        <f>IF(B41=B42,"Ja","Nej")</f>
        <v>Ja</v>
      </c>
      <c r="C43" s="102"/>
      <c r="D43" s="102"/>
      <c r="E43" s="102"/>
      <c r="F43" s="103"/>
      <c r="G43" s="104"/>
      <c r="I43" t="s">
        <v>63</v>
      </c>
    </row>
    <row r="44" spans="1:10" x14ac:dyDescent="0.25">
      <c r="A44" s="54" t="s">
        <v>62</v>
      </c>
      <c r="B44" s="30">
        <v>1</v>
      </c>
      <c r="C44" s="43"/>
      <c r="D44" s="48"/>
      <c r="E44" s="48"/>
      <c r="F44" s="48"/>
      <c r="G44" s="61"/>
    </row>
    <row r="45" spans="1:10" ht="17.25" x14ac:dyDescent="0.25">
      <c r="A45" s="1" t="s">
        <v>64</v>
      </c>
      <c r="B45" s="10" t="str">
        <f>IF(I46=1,"Ja","Nej")</f>
        <v>Nej</v>
      </c>
      <c r="C45" s="43" t="s">
        <v>20</v>
      </c>
      <c r="D45" s="10">
        <f>B40</f>
        <v>0</v>
      </c>
      <c r="E45" s="3" t="s">
        <v>21</v>
      </c>
      <c r="F45" s="4"/>
      <c r="G45" s="21"/>
      <c r="I45">
        <f>IF(B40&lt;=15,1,0)</f>
        <v>1</v>
      </c>
    </row>
    <row r="46" spans="1:10" ht="17.25" x14ac:dyDescent="0.25">
      <c r="A46" s="1" t="s">
        <v>65</v>
      </c>
      <c r="B46" s="44" t="str">
        <f>IF(I47+J47=2,"Ja","Nej")</f>
        <v>Nej</v>
      </c>
      <c r="C46" s="3" t="s">
        <v>66</v>
      </c>
      <c r="D46" s="10">
        <f>16^B44</f>
        <v>16</v>
      </c>
      <c r="E46" s="3" t="s">
        <v>21</v>
      </c>
      <c r="F46" s="4"/>
      <c r="G46" s="21"/>
      <c r="I46" t="str">
        <f>IF(16&lt;B40,"1","0")</f>
        <v>0</v>
      </c>
      <c r="J46" t="str">
        <f>IF(B40&lt;=35,"1","0")</f>
        <v>1</v>
      </c>
    </row>
    <row r="47" spans="1:10" ht="17.25" x14ac:dyDescent="0.25">
      <c r="A47" s="23" t="s">
        <v>67</v>
      </c>
      <c r="B47" s="24" t="str">
        <f>IF(I40+I47=2,"Ja","Nej")</f>
        <v>Nej</v>
      </c>
      <c r="C47" s="25" t="s">
        <v>68</v>
      </c>
      <c r="D47" s="24">
        <f>(B40/2)^B44</f>
        <v>0</v>
      </c>
      <c r="E47" s="25" t="s">
        <v>21</v>
      </c>
      <c r="F47" s="26"/>
      <c r="G47" s="27"/>
      <c r="I47" t="str">
        <f>IF(B40&gt;35,"1","0")</f>
        <v>0</v>
      </c>
    </row>
    <row r="48" spans="1:10" x14ac:dyDescent="0.25">
      <c r="A48" s="105" t="s">
        <v>69</v>
      </c>
      <c r="B48" s="103" t="str">
        <f>IF(I41=0,"Ja","Nej")</f>
        <v>Ja</v>
      </c>
      <c r="C48" s="103"/>
      <c r="D48" s="103"/>
      <c r="E48" s="103"/>
      <c r="F48" s="103"/>
      <c r="G48" s="104"/>
      <c r="I48" t="s">
        <v>72</v>
      </c>
    </row>
    <row r="49" spans="1:11" ht="18" x14ac:dyDescent="0.35">
      <c r="A49" s="54" t="s">
        <v>70</v>
      </c>
      <c r="B49" s="43" t="s">
        <v>41</v>
      </c>
      <c r="C49" s="30" t="s">
        <v>71</v>
      </c>
      <c r="D49" s="81">
        <v>143</v>
      </c>
      <c r="E49" s="48"/>
      <c r="F49" s="48"/>
      <c r="G49" s="61"/>
      <c r="I49" t="s">
        <v>74</v>
      </c>
    </row>
    <row r="50" spans="1:11" ht="18" x14ac:dyDescent="0.35">
      <c r="A50" s="1" t="s">
        <v>73</v>
      </c>
      <c r="B50" s="3" t="s">
        <v>41</v>
      </c>
      <c r="C50" s="34" t="s">
        <v>71</v>
      </c>
      <c r="D50" s="15">
        <v>94</v>
      </c>
      <c r="E50" s="4"/>
      <c r="F50" s="4"/>
      <c r="G50" s="21"/>
    </row>
    <row r="51" spans="1:11" ht="18.75" x14ac:dyDescent="0.35">
      <c r="A51" s="1" t="s">
        <v>64</v>
      </c>
      <c r="B51" s="10" t="str">
        <f>IF(I51=1,"Ja","Nej")</f>
        <v>Ja</v>
      </c>
      <c r="C51" s="1" t="s">
        <v>75</v>
      </c>
      <c r="D51" s="45">
        <f>(D50/D49)*B40</f>
        <v>0</v>
      </c>
      <c r="E51" s="3" t="s">
        <v>21</v>
      </c>
      <c r="F51" s="4"/>
      <c r="G51" s="21"/>
      <c r="I51">
        <f>IF(B40&lt;=15,1,0)</f>
        <v>1</v>
      </c>
    </row>
    <row r="52" spans="1:11" ht="18.75" x14ac:dyDescent="0.35">
      <c r="A52" s="1" t="s">
        <v>65</v>
      </c>
      <c r="B52" s="44" t="str">
        <f>IF(I52+J52=2,"Ja","Nej")</f>
        <v>Nej</v>
      </c>
      <c r="C52" s="1" t="s">
        <v>76</v>
      </c>
      <c r="D52" s="45">
        <f>(D50/D49)*16</f>
        <v>10.517482517482517</v>
      </c>
      <c r="E52" s="3" t="s">
        <v>21</v>
      </c>
      <c r="F52" s="4"/>
      <c r="G52" s="21"/>
      <c r="I52" t="str">
        <f>IF(16&lt;B40,"1","0")</f>
        <v>0</v>
      </c>
      <c r="J52" t="str">
        <f>IF(B40&lt;=35,"1","0")</f>
        <v>1</v>
      </c>
    </row>
    <row r="53" spans="1:11" ht="18.75" x14ac:dyDescent="0.35">
      <c r="A53" s="1" t="s">
        <v>67</v>
      </c>
      <c r="B53" s="10" t="str">
        <f>IF(I53=1,"Ja","Nej")</f>
        <v>Nej</v>
      </c>
      <c r="C53" s="1" t="s">
        <v>77</v>
      </c>
      <c r="D53" s="45">
        <f>(D50/D49)*(B40/2)</f>
        <v>0</v>
      </c>
      <c r="E53" s="3" t="s">
        <v>21</v>
      </c>
      <c r="F53" s="4"/>
      <c r="G53" s="21"/>
      <c r="I53" t="str">
        <f>IF(B40&gt;35,"1","0")</f>
        <v>0</v>
      </c>
    </row>
    <row r="54" spans="1:11" x14ac:dyDescent="0.25">
      <c r="A54" s="1" t="s">
        <v>78</v>
      </c>
      <c r="B54" s="28">
        <f>B35</f>
        <v>1</v>
      </c>
      <c r="C54" s="46" t="s">
        <v>151</v>
      </c>
      <c r="D54" s="46"/>
      <c r="E54" s="46"/>
      <c r="F54" s="46"/>
      <c r="G54" s="29"/>
    </row>
    <row r="55" spans="1:11" x14ac:dyDescent="0.25">
      <c r="A55" s="32" t="s">
        <v>141</v>
      </c>
    </row>
    <row r="57" spans="1:11" ht="18" x14ac:dyDescent="0.35">
      <c r="A57" s="71" t="s">
        <v>366</v>
      </c>
      <c r="B57" s="72" t="s">
        <v>261</v>
      </c>
      <c r="C57" s="72">
        <f>C38</f>
        <v>0</v>
      </c>
      <c r="D57" s="72"/>
      <c r="E57" s="72"/>
      <c r="F57" s="72"/>
      <c r="G57" s="116"/>
      <c r="H57" t="s">
        <v>345</v>
      </c>
      <c r="I57" t="s">
        <v>220</v>
      </c>
      <c r="J57" t="s">
        <v>346</v>
      </c>
    </row>
    <row r="58" spans="1:11" x14ac:dyDescent="0.25">
      <c r="A58" s="54" t="s">
        <v>185</v>
      </c>
      <c r="B58" s="49"/>
      <c r="C58" s="3" t="s">
        <v>184</v>
      </c>
      <c r="D58" s="4"/>
      <c r="E58" s="4"/>
      <c r="F58" s="4"/>
      <c r="G58" s="21"/>
      <c r="H58" s="56">
        <f>RADIANS(E64)</f>
        <v>0</v>
      </c>
      <c r="I58">
        <f>B64*COS(H58)</f>
        <v>0</v>
      </c>
      <c r="J58">
        <f>B64*SIN(H58)</f>
        <v>0</v>
      </c>
    </row>
    <row r="59" spans="1:11" x14ac:dyDescent="0.25">
      <c r="A59" s="54" t="s">
        <v>376</v>
      </c>
      <c r="B59" s="236">
        <f>B35</f>
        <v>1</v>
      </c>
      <c r="C59" s="3" t="s">
        <v>130</v>
      </c>
      <c r="D59" s="4"/>
      <c r="E59" s="4"/>
      <c r="F59" s="4"/>
      <c r="G59" s="21"/>
      <c r="H59" s="56">
        <f>RADIANS(E65)</f>
        <v>1.5707963267948966</v>
      </c>
      <c r="I59">
        <f>B65*COS(H59)</f>
        <v>0</v>
      </c>
      <c r="J59">
        <f>B65*SIN(H59)</f>
        <v>0</v>
      </c>
    </row>
    <row r="60" spans="1:11" x14ac:dyDescent="0.25">
      <c r="A60" s="54" t="s">
        <v>55</v>
      </c>
      <c r="B60" s="49"/>
      <c r="C60" s="3"/>
      <c r="D60" s="4"/>
      <c r="E60" s="4"/>
      <c r="F60" s="4"/>
      <c r="G60" s="21"/>
      <c r="H60" s="56"/>
    </row>
    <row r="61" spans="1:11" x14ac:dyDescent="0.25">
      <c r="A61" s="69" t="s">
        <v>278</v>
      </c>
      <c r="B61" s="81">
        <f>IF(H62=1,1.8,1.5)</f>
        <v>1.8</v>
      </c>
      <c r="C61" s="3"/>
      <c r="D61" s="4"/>
      <c r="E61" s="4"/>
      <c r="F61" s="4"/>
      <c r="G61" s="21"/>
      <c r="H61" s="56"/>
      <c r="I61">
        <f>I58+I59</f>
        <v>0</v>
      </c>
      <c r="J61">
        <f>J58+J59</f>
        <v>0</v>
      </c>
      <c r="K61" t="s">
        <v>173</v>
      </c>
    </row>
    <row r="62" spans="1:11" x14ac:dyDescent="0.25">
      <c r="A62" s="1" t="s">
        <v>238</v>
      </c>
      <c r="B62" s="15"/>
      <c r="C62" s="3" t="s">
        <v>279</v>
      </c>
      <c r="D62" s="4"/>
      <c r="E62" s="4"/>
      <c r="F62" s="4"/>
      <c r="G62" s="21"/>
      <c r="H62">
        <f>IF(C19=90,1,0)</f>
        <v>1</v>
      </c>
    </row>
    <row r="63" spans="1:11" x14ac:dyDescent="0.25">
      <c r="A63" s="1" t="s">
        <v>239</v>
      </c>
      <c r="B63" s="225"/>
      <c r="C63" s="3" t="s">
        <v>279</v>
      </c>
      <c r="D63" s="4"/>
      <c r="E63" s="160"/>
      <c r="F63" s="160"/>
      <c r="G63" s="21"/>
      <c r="H63" t="s">
        <v>345</v>
      </c>
      <c r="I63" t="s">
        <v>220</v>
      </c>
      <c r="J63" t="s">
        <v>346</v>
      </c>
    </row>
    <row r="64" spans="1:11" x14ac:dyDescent="0.25">
      <c r="A64" s="1" t="s">
        <v>355</v>
      </c>
      <c r="B64" s="10">
        <f>B58*B62</f>
        <v>0</v>
      </c>
      <c r="C64" s="54" t="s">
        <v>237</v>
      </c>
      <c r="D64" s="54" t="s">
        <v>7</v>
      </c>
      <c r="E64" s="49">
        <v>0</v>
      </c>
      <c r="F64" s="9" t="s">
        <v>8</v>
      </c>
      <c r="G64" s="21"/>
      <c r="H64" s="56">
        <f>RADIANS(E64)</f>
        <v>0</v>
      </c>
      <c r="I64">
        <f>B61*(B64*COS(H64))</f>
        <v>0</v>
      </c>
      <c r="J64">
        <f>B64*SIN(H64)</f>
        <v>0</v>
      </c>
    </row>
    <row r="65" spans="1:10" x14ac:dyDescent="0.25">
      <c r="A65" s="1" t="s">
        <v>356</v>
      </c>
      <c r="B65" s="10">
        <f>B58*B63</f>
        <v>0</v>
      </c>
      <c r="C65" s="1" t="s">
        <v>237</v>
      </c>
      <c r="D65" s="54" t="s">
        <v>7</v>
      </c>
      <c r="E65" s="2">
        <v>90</v>
      </c>
      <c r="F65" s="9" t="s">
        <v>8</v>
      </c>
      <c r="G65" s="21"/>
      <c r="H65" s="56">
        <f>RADIANS(E65)</f>
        <v>1.5707963267948966</v>
      </c>
      <c r="I65">
        <f>B65*COS(H65)</f>
        <v>0</v>
      </c>
      <c r="J65">
        <f>B65*SIN(H65)</f>
        <v>0</v>
      </c>
    </row>
    <row r="66" spans="1:10" ht="18" x14ac:dyDescent="0.35">
      <c r="A66" s="1" t="s">
        <v>377</v>
      </c>
      <c r="B66" s="205">
        <f>SQRT(I61^2+J61^2)</f>
        <v>0</v>
      </c>
      <c r="C66" s="1" t="s">
        <v>237</v>
      </c>
      <c r="D66" s="54" t="s">
        <v>7</v>
      </c>
      <c r="E66" s="19" t="e">
        <f>DEGREES(ATAN2(I61,J61))</f>
        <v>#DIV/0!</v>
      </c>
      <c r="F66" s="9" t="s">
        <v>8</v>
      </c>
      <c r="G66" s="21"/>
      <c r="H66" s="56"/>
      <c r="I66">
        <f>I64+I65</f>
        <v>0</v>
      </c>
      <c r="J66">
        <f>J64+J65</f>
        <v>0</v>
      </c>
    </row>
    <row r="67" spans="1:10" ht="18" x14ac:dyDescent="0.35">
      <c r="A67" s="1" t="s">
        <v>399</v>
      </c>
      <c r="B67" s="205">
        <f>B59*(B60*(SQRT(I66^2+J66^2)))</f>
        <v>0</v>
      </c>
      <c r="C67" s="1" t="s">
        <v>237</v>
      </c>
      <c r="D67" s="1" t="s">
        <v>7</v>
      </c>
      <c r="E67" s="19" t="e">
        <f>DEGREES(ATAN2(I66,J66))</f>
        <v>#DIV/0!</v>
      </c>
      <c r="F67" s="9" t="s">
        <v>8</v>
      </c>
      <c r="G67" s="21"/>
    </row>
    <row r="68" spans="1:10" x14ac:dyDescent="0.25">
      <c r="A68" t="s">
        <v>9</v>
      </c>
      <c r="B68">
        <v>0.08</v>
      </c>
    </row>
    <row r="69" spans="1:10" x14ac:dyDescent="0.25">
      <c r="A69" t="s">
        <v>10</v>
      </c>
      <c r="B69">
        <v>0.15</v>
      </c>
    </row>
    <row r="70" spans="1:10" ht="18" x14ac:dyDescent="0.35">
      <c r="A70" s="71" t="s">
        <v>398</v>
      </c>
      <c r="B70" s="72" t="s">
        <v>261</v>
      </c>
      <c r="C70" s="72">
        <f>C57</f>
        <v>0</v>
      </c>
      <c r="D70" s="72" t="s">
        <v>425</v>
      </c>
      <c r="E70" s="72"/>
      <c r="F70" s="72"/>
      <c r="G70" s="116"/>
      <c r="H70" t="s">
        <v>345</v>
      </c>
      <c r="I70" t="s">
        <v>220</v>
      </c>
      <c r="J70" t="s">
        <v>346</v>
      </c>
    </row>
    <row r="71" spans="1:10" x14ac:dyDescent="0.25">
      <c r="A71" s="54" t="s">
        <v>185</v>
      </c>
      <c r="B71" s="49"/>
      <c r="C71" s="3" t="s">
        <v>184</v>
      </c>
      <c r="D71" s="4"/>
      <c r="E71" s="4"/>
      <c r="F71" s="4"/>
      <c r="G71" s="21"/>
      <c r="H71" s="56">
        <f>RADIANS(E76)</f>
        <v>0</v>
      </c>
      <c r="I71">
        <f>B76*COS(H71)</f>
        <v>0</v>
      </c>
      <c r="J71">
        <f>B76*SIN(H71)</f>
        <v>0</v>
      </c>
    </row>
    <row r="72" spans="1:10" x14ac:dyDescent="0.25">
      <c r="A72" s="54" t="s">
        <v>376</v>
      </c>
      <c r="B72" s="226">
        <f>B54</f>
        <v>1</v>
      </c>
      <c r="C72" s="3" t="s">
        <v>130</v>
      </c>
      <c r="D72" s="4"/>
      <c r="E72" s="4"/>
      <c r="F72" s="4"/>
      <c r="G72" s="21"/>
      <c r="H72" s="56">
        <f>RADIANS(E77)</f>
        <v>1.5707963267948966</v>
      </c>
      <c r="I72">
        <f>B77*COS(H72)</f>
        <v>0</v>
      </c>
      <c r="J72">
        <f>B77*SIN(H72)</f>
        <v>0</v>
      </c>
    </row>
    <row r="73" spans="1:10" x14ac:dyDescent="0.25">
      <c r="A73" s="69" t="s">
        <v>278</v>
      </c>
      <c r="B73" s="81">
        <f>B61</f>
        <v>1.8</v>
      </c>
      <c r="C73" s="3"/>
      <c r="D73" s="4"/>
      <c r="E73" s="4"/>
      <c r="F73" s="4"/>
      <c r="G73" s="21"/>
      <c r="H73" s="56"/>
      <c r="I73">
        <f>I71+I72</f>
        <v>0</v>
      </c>
      <c r="J73">
        <f>J71+J72</f>
        <v>0</v>
      </c>
    </row>
    <row r="74" spans="1:10" x14ac:dyDescent="0.25">
      <c r="A74" s="1" t="s">
        <v>238</v>
      </c>
      <c r="B74" s="15"/>
      <c r="C74" s="3" t="s">
        <v>279</v>
      </c>
      <c r="D74" s="4"/>
      <c r="E74" s="4"/>
      <c r="F74" s="4"/>
      <c r="G74" s="21"/>
      <c r="H74">
        <f>IF(B41="AL",1,0)</f>
        <v>0</v>
      </c>
    </row>
    <row r="75" spans="1:10" x14ac:dyDescent="0.25">
      <c r="A75" s="1" t="s">
        <v>239</v>
      </c>
      <c r="B75" s="225"/>
      <c r="C75" s="3" t="s">
        <v>279</v>
      </c>
      <c r="D75" s="4"/>
      <c r="E75" s="160"/>
      <c r="F75" s="160"/>
      <c r="G75" s="21"/>
      <c r="H75" t="s">
        <v>345</v>
      </c>
      <c r="I75" t="s">
        <v>220</v>
      </c>
      <c r="J75" t="s">
        <v>346</v>
      </c>
    </row>
    <row r="76" spans="1:10" x14ac:dyDescent="0.25">
      <c r="A76" s="1" t="s">
        <v>355</v>
      </c>
      <c r="B76" s="10">
        <f>B71*B74</f>
        <v>0</v>
      </c>
      <c r="C76" s="54" t="s">
        <v>237</v>
      </c>
      <c r="D76" s="54" t="s">
        <v>7</v>
      </c>
      <c r="E76" s="49">
        <v>0</v>
      </c>
      <c r="F76" s="9" t="s">
        <v>8</v>
      </c>
      <c r="G76" s="21"/>
      <c r="H76" s="56">
        <f>RADIANS(E76)</f>
        <v>0</v>
      </c>
      <c r="I76">
        <f>B73*(B76*COS(H76))</f>
        <v>0</v>
      </c>
      <c r="J76">
        <f>B76*SIN(H76)</f>
        <v>0</v>
      </c>
    </row>
    <row r="77" spans="1:10" x14ac:dyDescent="0.25">
      <c r="A77" s="1" t="s">
        <v>356</v>
      </c>
      <c r="B77" s="10">
        <f>B71*B75</f>
        <v>0</v>
      </c>
      <c r="C77" s="1" t="s">
        <v>237</v>
      </c>
      <c r="D77" s="54" t="s">
        <v>7</v>
      </c>
      <c r="E77" s="2">
        <v>90</v>
      </c>
      <c r="F77" s="9" t="s">
        <v>8</v>
      </c>
      <c r="G77" s="21"/>
      <c r="H77" s="56">
        <f>RADIANS(E77)</f>
        <v>1.5707963267948966</v>
      </c>
      <c r="I77">
        <f>B77*COS(H77)</f>
        <v>0</v>
      </c>
      <c r="J77">
        <f>B77*SIN(H77)</f>
        <v>0</v>
      </c>
    </row>
    <row r="78" spans="1:10" ht="18" x14ac:dyDescent="0.35">
      <c r="A78" s="1" t="s">
        <v>377</v>
      </c>
      <c r="B78" s="205">
        <f>SQRT(I73^2+J73^2)</f>
        <v>0</v>
      </c>
      <c r="C78" s="1" t="s">
        <v>237</v>
      </c>
      <c r="D78" s="54" t="s">
        <v>7</v>
      </c>
      <c r="E78" s="19" t="e">
        <f>DEGREES(ATAN2(I73,J73))</f>
        <v>#DIV/0!</v>
      </c>
      <c r="F78" s="9" t="s">
        <v>8</v>
      </c>
      <c r="G78" s="21"/>
      <c r="H78" s="56"/>
      <c r="I78">
        <f>I76+I77</f>
        <v>0</v>
      </c>
      <c r="J78">
        <f>J76+J77</f>
        <v>0</v>
      </c>
    </row>
    <row r="79" spans="1:10" ht="18" x14ac:dyDescent="0.35">
      <c r="A79" s="1" t="s">
        <v>390</v>
      </c>
      <c r="B79" s="205">
        <f>B72*(SQRT(I78^2+J78^2))</f>
        <v>0</v>
      </c>
      <c r="C79" s="1" t="s">
        <v>237</v>
      </c>
      <c r="D79" s="1" t="s">
        <v>7</v>
      </c>
      <c r="E79" s="19" t="e">
        <f>DEGREES(ATAN2(I78,J78))</f>
        <v>#DIV/0!</v>
      </c>
      <c r="F79" s="9" t="s">
        <v>8</v>
      </c>
      <c r="G79" s="21"/>
    </row>
    <row r="82" spans="1:10" ht="18" x14ac:dyDescent="0.35">
      <c r="A82" s="71" t="s">
        <v>379</v>
      </c>
      <c r="B82" s="72" t="s">
        <v>5</v>
      </c>
      <c r="C82" s="72">
        <f>C57</f>
        <v>0</v>
      </c>
      <c r="D82" s="72"/>
      <c r="E82" s="72"/>
      <c r="F82" s="72"/>
      <c r="G82" s="73"/>
      <c r="H82" t="s">
        <v>345</v>
      </c>
      <c r="I82" t="s">
        <v>220</v>
      </c>
      <c r="J82" t="s">
        <v>346</v>
      </c>
    </row>
    <row r="83" spans="1:10" ht="18" x14ac:dyDescent="0.35">
      <c r="A83" s="54" t="s">
        <v>347</v>
      </c>
      <c r="B83" s="197" t="e">
        <f>IM!$B$33</f>
        <v>#N/A</v>
      </c>
      <c r="C83" s="69" t="s">
        <v>237</v>
      </c>
      <c r="D83" s="54" t="s">
        <v>7</v>
      </c>
      <c r="E83" s="184" t="e">
        <f>IM!$E$33</f>
        <v>#N/A</v>
      </c>
      <c r="F83" s="20" t="s">
        <v>8</v>
      </c>
      <c r="G83" s="61"/>
      <c r="H83" s="56" t="e">
        <f>RADIANS(E83)</f>
        <v>#N/A</v>
      </c>
      <c r="I83" t="e">
        <f>B83*COS(H83)</f>
        <v>#N/A</v>
      </c>
      <c r="J83" t="e">
        <f>B83*SIN(H83)</f>
        <v>#N/A</v>
      </c>
    </row>
    <row r="84" spans="1:10" ht="18" x14ac:dyDescent="0.35">
      <c r="A84" s="31" t="s">
        <v>348</v>
      </c>
      <c r="B84" s="198" t="e">
        <f>IM!$B$54</f>
        <v>#DIV/0!</v>
      </c>
      <c r="C84" s="199" t="s">
        <v>237</v>
      </c>
      <c r="D84" s="31" t="s">
        <v>7</v>
      </c>
      <c r="E84" s="200" t="e">
        <f>IM!$E$54</f>
        <v>#DIV/0!</v>
      </c>
      <c r="F84" s="201" t="s">
        <v>8</v>
      </c>
      <c r="G84" s="173"/>
      <c r="H84" s="56" t="e">
        <f>RADIANS(E84)</f>
        <v>#DIV/0!</v>
      </c>
      <c r="I84" t="e">
        <f>B84*COS(H84)</f>
        <v>#DIV/0!</v>
      </c>
      <c r="J84" t="e">
        <f>B84*SIN(H84)</f>
        <v>#DIV/0!</v>
      </c>
    </row>
    <row r="85" spans="1:10" ht="18" x14ac:dyDescent="0.35">
      <c r="A85" s="105" t="s">
        <v>383</v>
      </c>
      <c r="B85" s="202"/>
      <c r="C85" s="203"/>
      <c r="D85" s="103"/>
      <c r="E85" s="202"/>
      <c r="F85" s="203"/>
      <c r="G85" s="104"/>
      <c r="H85" s="56"/>
    </row>
    <row r="86" spans="1:10" x14ac:dyDescent="0.25">
      <c r="A86" s="54" t="s">
        <v>303</v>
      </c>
      <c r="B86" s="197"/>
      <c r="C86" s="69" t="s">
        <v>237</v>
      </c>
      <c r="D86" s="54" t="s">
        <v>7</v>
      </c>
      <c r="E86" s="197"/>
      <c r="F86" s="20" t="s">
        <v>8</v>
      </c>
      <c r="G86" s="61"/>
      <c r="H86" s="56">
        <f>RADIANS(E86)</f>
        <v>0</v>
      </c>
      <c r="I86">
        <f>B86*COS(H86)</f>
        <v>0</v>
      </c>
      <c r="J86">
        <f>B86*SIN(H86)</f>
        <v>0</v>
      </c>
    </row>
    <row r="87" spans="1:10" x14ac:dyDescent="0.25">
      <c r="A87" s="1" t="s">
        <v>175</v>
      </c>
      <c r="B87" s="204"/>
      <c r="C87" s="69" t="s">
        <v>237</v>
      </c>
      <c r="D87" s="54" t="s">
        <v>7</v>
      </c>
      <c r="E87" s="204"/>
      <c r="F87" s="20" t="s">
        <v>8</v>
      </c>
      <c r="G87" s="61"/>
      <c r="H87" s="56">
        <f t="shared" ref="H87:H90" si="0">RADIANS(E87)</f>
        <v>0</v>
      </c>
      <c r="I87">
        <f t="shared" ref="I87:I90" si="1">B87*COS(H87)</f>
        <v>0</v>
      </c>
      <c r="J87">
        <f t="shared" ref="J87:J90" si="2">B87*SIN(H87)</f>
        <v>0</v>
      </c>
    </row>
    <row r="88" spans="1:10" x14ac:dyDescent="0.25">
      <c r="A88" s="1" t="s">
        <v>335</v>
      </c>
      <c r="B88" s="204"/>
      <c r="C88" s="69" t="s">
        <v>237</v>
      </c>
      <c r="D88" s="54" t="s">
        <v>7</v>
      </c>
      <c r="E88" s="204"/>
      <c r="F88" s="20" t="s">
        <v>8</v>
      </c>
      <c r="G88" s="61"/>
      <c r="H88" s="56">
        <f t="shared" si="0"/>
        <v>0</v>
      </c>
      <c r="I88">
        <f t="shared" si="1"/>
        <v>0</v>
      </c>
      <c r="J88">
        <f t="shared" si="2"/>
        <v>0</v>
      </c>
    </row>
    <row r="89" spans="1:10" x14ac:dyDescent="0.25">
      <c r="A89" s="1" t="s">
        <v>336</v>
      </c>
      <c r="B89" s="204"/>
      <c r="C89" s="69" t="s">
        <v>237</v>
      </c>
      <c r="D89" s="54" t="s">
        <v>7</v>
      </c>
      <c r="E89" s="204"/>
      <c r="F89" s="20" t="s">
        <v>8</v>
      </c>
      <c r="G89" s="61"/>
      <c r="H89" s="56">
        <f t="shared" si="0"/>
        <v>0</v>
      </c>
      <c r="I89">
        <f t="shared" si="1"/>
        <v>0</v>
      </c>
      <c r="J89">
        <f t="shared" si="2"/>
        <v>0</v>
      </c>
    </row>
    <row r="90" spans="1:10" x14ac:dyDescent="0.25">
      <c r="A90" s="1" t="s">
        <v>337</v>
      </c>
      <c r="B90" s="204"/>
      <c r="C90" s="69" t="s">
        <v>237</v>
      </c>
      <c r="D90" s="54" t="s">
        <v>7</v>
      </c>
      <c r="E90" s="204"/>
      <c r="F90" s="20" t="s">
        <v>8</v>
      </c>
      <c r="G90" s="61"/>
      <c r="H90" s="56">
        <f t="shared" si="0"/>
        <v>0</v>
      </c>
      <c r="I90">
        <f t="shared" si="1"/>
        <v>0</v>
      </c>
      <c r="J90">
        <f t="shared" si="2"/>
        <v>0</v>
      </c>
    </row>
    <row r="91" spans="1:10" ht="18" x14ac:dyDescent="0.35">
      <c r="A91" s="1" t="s">
        <v>381</v>
      </c>
      <c r="B91" s="205" t="e">
        <f>SQRT(I91^2+J91^2)</f>
        <v>#N/A</v>
      </c>
      <c r="C91" s="69" t="s">
        <v>237</v>
      </c>
      <c r="D91" s="54" t="s">
        <v>7</v>
      </c>
      <c r="E91" s="19" t="e">
        <f>DEGREES(ATAN2(I91,J91))</f>
        <v>#N/A</v>
      </c>
      <c r="F91" s="20" t="s">
        <v>8</v>
      </c>
      <c r="G91" s="61"/>
      <c r="I91" t="e">
        <f>I83+I84+I86+I87+I88+I89+I90</f>
        <v>#N/A</v>
      </c>
      <c r="J91" t="e">
        <f>J83+J84+J86+J87+J88+J89+J90</f>
        <v>#N/A</v>
      </c>
    </row>
    <row r="94" spans="1:10" ht="18" x14ac:dyDescent="0.35">
      <c r="A94" s="71" t="s">
        <v>380</v>
      </c>
      <c r="B94" s="72" t="s">
        <v>5</v>
      </c>
      <c r="C94" s="72">
        <f>C82</f>
        <v>0</v>
      </c>
      <c r="D94" s="72"/>
      <c r="E94" s="72"/>
      <c r="F94" s="72"/>
      <c r="G94" s="73"/>
      <c r="H94" t="s">
        <v>345</v>
      </c>
      <c r="I94" t="s">
        <v>220</v>
      </c>
      <c r="J94" t="s">
        <v>346</v>
      </c>
    </row>
    <row r="95" spans="1:10" ht="18" x14ac:dyDescent="0.35">
      <c r="A95" s="54" t="s">
        <v>353</v>
      </c>
      <c r="B95" s="197" t="e">
        <f>IM!$B$34</f>
        <v>#N/A</v>
      </c>
      <c r="C95" s="69" t="s">
        <v>237</v>
      </c>
      <c r="D95" s="54" t="s">
        <v>7</v>
      </c>
      <c r="E95" s="184" t="e">
        <f>IM!$E$34</f>
        <v>#N/A</v>
      </c>
      <c r="F95" s="20" t="s">
        <v>8</v>
      </c>
      <c r="G95" s="61"/>
      <c r="H95" s="56" t="e">
        <f>RADIANS(E95)</f>
        <v>#N/A</v>
      </c>
      <c r="I95" t="e">
        <f>B95*COS(H95)</f>
        <v>#N/A</v>
      </c>
      <c r="J95" t="e">
        <f>B95*SIN(H95)</f>
        <v>#N/A</v>
      </c>
    </row>
    <row r="96" spans="1:10" ht="18" x14ac:dyDescent="0.35">
      <c r="A96" s="31" t="s">
        <v>348</v>
      </c>
      <c r="B96" s="198" t="e">
        <f>B84</f>
        <v>#DIV/0!</v>
      </c>
      <c r="C96" s="199" t="s">
        <v>237</v>
      </c>
      <c r="D96" s="31" t="s">
        <v>7</v>
      </c>
      <c r="E96" s="200" t="e">
        <f>E84</f>
        <v>#DIV/0!</v>
      </c>
      <c r="F96" s="201" t="s">
        <v>8</v>
      </c>
      <c r="G96" s="173"/>
      <c r="H96" s="56" t="e">
        <f>RADIANS(E96)</f>
        <v>#DIV/0!</v>
      </c>
      <c r="I96" t="e">
        <f>B96*COS(H96)</f>
        <v>#DIV/0!</v>
      </c>
      <c r="J96" t="e">
        <f>B96*SIN(H96)</f>
        <v>#DIV/0!</v>
      </c>
    </row>
    <row r="97" spans="1:10" ht="18" x14ac:dyDescent="0.35">
      <c r="A97" s="105" t="s">
        <v>384</v>
      </c>
      <c r="B97" s="202"/>
      <c r="C97" s="203"/>
      <c r="D97" s="103"/>
      <c r="E97" s="202"/>
      <c r="F97" s="203"/>
      <c r="G97" s="104"/>
      <c r="H97" s="56"/>
    </row>
    <row r="98" spans="1:10" x14ac:dyDescent="0.25">
      <c r="A98" s="1" t="str">
        <f>A86</f>
        <v>W1</v>
      </c>
      <c r="B98" s="204"/>
      <c r="C98" s="69" t="s">
        <v>237</v>
      </c>
      <c r="D98" s="54" t="s">
        <v>7</v>
      </c>
      <c r="E98" s="204"/>
      <c r="F98" s="20" t="s">
        <v>8</v>
      </c>
      <c r="G98" s="61"/>
      <c r="H98" s="56">
        <f>RADIANS(E98)</f>
        <v>0</v>
      </c>
      <c r="I98">
        <f>B98*COS(H98)</f>
        <v>0</v>
      </c>
      <c r="J98">
        <f>B98*SIN(H98)</f>
        <v>0</v>
      </c>
    </row>
    <row r="99" spans="1:10" x14ac:dyDescent="0.25">
      <c r="A99" s="1" t="str">
        <f t="shared" ref="A99:A102" si="3">A87</f>
        <v>W2</v>
      </c>
      <c r="B99" s="204"/>
      <c r="C99" s="69" t="s">
        <v>237</v>
      </c>
      <c r="D99" s="54" t="s">
        <v>7</v>
      </c>
      <c r="E99" s="204"/>
      <c r="F99" s="20" t="s">
        <v>8</v>
      </c>
      <c r="G99" s="61"/>
      <c r="H99" s="56">
        <f>RADIANS(E99)</f>
        <v>0</v>
      </c>
      <c r="I99">
        <f t="shared" ref="I99:I102" si="4">B99*COS(H99)</f>
        <v>0</v>
      </c>
      <c r="J99">
        <f t="shared" ref="J99:J102" si="5">B99*SIN(H99)</f>
        <v>0</v>
      </c>
    </row>
    <row r="100" spans="1:10" x14ac:dyDescent="0.25">
      <c r="A100" s="1" t="str">
        <f t="shared" si="3"/>
        <v>W3</v>
      </c>
      <c r="B100" s="204"/>
      <c r="C100" s="69" t="s">
        <v>237</v>
      </c>
      <c r="D100" s="54" t="s">
        <v>7</v>
      </c>
      <c r="E100" s="204"/>
      <c r="F100" s="20" t="s">
        <v>8</v>
      </c>
      <c r="G100" s="61"/>
      <c r="H100" s="56">
        <f t="shared" ref="H100:H102" si="6">RADIANS(E100)</f>
        <v>0</v>
      </c>
      <c r="I100">
        <f t="shared" si="4"/>
        <v>0</v>
      </c>
      <c r="J100">
        <f t="shared" si="5"/>
        <v>0</v>
      </c>
    </row>
    <row r="101" spans="1:10" x14ac:dyDescent="0.25">
      <c r="A101" s="1" t="str">
        <f t="shared" si="3"/>
        <v>W4</v>
      </c>
      <c r="B101" s="204"/>
      <c r="C101" s="69" t="s">
        <v>237</v>
      </c>
      <c r="D101" s="54" t="s">
        <v>7</v>
      </c>
      <c r="E101" s="204"/>
      <c r="F101" s="20" t="s">
        <v>8</v>
      </c>
      <c r="G101" s="61"/>
      <c r="H101" s="56">
        <f t="shared" si="6"/>
        <v>0</v>
      </c>
      <c r="I101">
        <f t="shared" si="4"/>
        <v>0</v>
      </c>
      <c r="J101">
        <f t="shared" si="5"/>
        <v>0</v>
      </c>
    </row>
    <row r="102" spans="1:10" x14ac:dyDescent="0.25">
      <c r="A102" s="1" t="str">
        <f t="shared" si="3"/>
        <v>W5</v>
      </c>
      <c r="B102" s="204"/>
      <c r="C102" s="69" t="s">
        <v>237</v>
      </c>
      <c r="D102" s="54" t="s">
        <v>7</v>
      </c>
      <c r="E102" s="204"/>
      <c r="F102" s="20" t="s">
        <v>8</v>
      </c>
      <c r="G102" s="61"/>
      <c r="H102" s="56">
        <f t="shared" si="6"/>
        <v>0</v>
      </c>
      <c r="I102">
        <f t="shared" si="4"/>
        <v>0</v>
      </c>
      <c r="J102">
        <f t="shared" si="5"/>
        <v>0</v>
      </c>
    </row>
    <row r="103" spans="1:10" ht="18" x14ac:dyDescent="0.35">
      <c r="A103" s="1" t="s">
        <v>382</v>
      </c>
      <c r="B103" s="205" t="e">
        <f>SQRT(I103^2+J103^2)</f>
        <v>#N/A</v>
      </c>
      <c r="C103" s="69" t="s">
        <v>237</v>
      </c>
      <c r="D103" s="54" t="s">
        <v>7</v>
      </c>
      <c r="E103" s="19" t="e">
        <f>DEGREES(ATAN2(I103,J103))</f>
        <v>#N/A</v>
      </c>
      <c r="F103" s="20" t="s">
        <v>8</v>
      </c>
      <c r="G103" s="61"/>
      <c r="I103" t="e">
        <f>I95+I96+I98+I99+I100+I101+I102</f>
        <v>#N/A</v>
      </c>
      <c r="J103" t="e">
        <f>J95+J96+J98+J99+J100+J101+J102</f>
        <v>#N/A</v>
      </c>
    </row>
    <row r="106" spans="1:10" ht="18" x14ac:dyDescent="0.35">
      <c r="A106" s="71" t="s">
        <v>236</v>
      </c>
      <c r="B106" s="82" t="s">
        <v>5</v>
      </c>
      <c r="C106" s="78">
        <f>C6</f>
        <v>0</v>
      </c>
      <c r="D106" s="78"/>
      <c r="E106" s="72"/>
      <c r="F106" s="74"/>
      <c r="G106" s="117"/>
    </row>
    <row r="107" spans="1:10" ht="18" x14ac:dyDescent="0.35">
      <c r="A107" s="1" t="s">
        <v>166</v>
      </c>
      <c r="B107" s="34">
        <v>400</v>
      </c>
      <c r="C107" s="3" t="s">
        <v>12</v>
      </c>
      <c r="D107" s="4"/>
      <c r="E107" s="4"/>
      <c r="F107" s="26"/>
      <c r="G107" s="27"/>
    </row>
    <row r="108" spans="1:10" ht="18" x14ac:dyDescent="0.35">
      <c r="A108" s="3" t="s">
        <v>432</v>
      </c>
      <c r="B108" s="204" t="e">
        <f>B91</f>
        <v>#N/A</v>
      </c>
      <c r="C108" s="69" t="s">
        <v>237</v>
      </c>
      <c r="D108" s="54" t="s">
        <v>7</v>
      </c>
      <c r="E108" s="204" t="e">
        <f>E91</f>
        <v>#N/A</v>
      </c>
      <c r="F108" s="9" t="s">
        <v>8</v>
      </c>
      <c r="G108" s="21"/>
    </row>
    <row r="109" spans="1:10" ht="18" x14ac:dyDescent="0.35">
      <c r="A109" s="54" t="s">
        <v>434</v>
      </c>
      <c r="B109" s="91" t="e">
        <f>B107/(SQRT(3)*B108)</f>
        <v>#N/A</v>
      </c>
      <c r="C109" s="1" t="s">
        <v>80</v>
      </c>
      <c r="D109" s="1" t="s">
        <v>7</v>
      </c>
      <c r="E109" s="208" t="e">
        <f>-E108</f>
        <v>#N/A</v>
      </c>
      <c r="F109" s="9" t="s">
        <v>8</v>
      </c>
      <c r="G109" s="21"/>
    </row>
    <row r="112" spans="1:10" ht="18" x14ac:dyDescent="0.35">
      <c r="A112" s="71" t="s">
        <v>438</v>
      </c>
      <c r="B112" s="82" t="s">
        <v>5</v>
      </c>
      <c r="C112" s="78">
        <f>C106</f>
        <v>0</v>
      </c>
      <c r="D112" s="78"/>
      <c r="E112" s="72"/>
      <c r="F112" s="74"/>
      <c r="G112" s="117"/>
    </row>
    <row r="113" spans="1:9" ht="18" x14ac:dyDescent="0.35">
      <c r="A113" s="1" t="s">
        <v>166</v>
      </c>
      <c r="B113" s="34">
        <v>400</v>
      </c>
      <c r="C113" s="121" t="s">
        <v>12</v>
      </c>
      <c r="D113" s="122"/>
      <c r="E113" s="122"/>
      <c r="F113" s="124"/>
      <c r="G113" s="125"/>
    </row>
    <row r="114" spans="1:9" ht="18" x14ac:dyDescent="0.35">
      <c r="A114" s="3" t="s">
        <v>433</v>
      </c>
      <c r="B114" s="215" t="e">
        <f>B103</f>
        <v>#N/A</v>
      </c>
      <c r="C114" s="69" t="s">
        <v>237</v>
      </c>
      <c r="D114" s="54" t="s">
        <v>7</v>
      </c>
      <c r="E114" s="215" t="e">
        <f>E103</f>
        <v>#N/A</v>
      </c>
      <c r="F114" s="9" t="s">
        <v>8</v>
      </c>
      <c r="G114" s="21"/>
    </row>
    <row r="115" spans="1:9" ht="18" x14ac:dyDescent="0.35">
      <c r="A115" s="54" t="s">
        <v>437</v>
      </c>
      <c r="B115" s="216" t="e">
        <f>B113/(SQRT(3)*B114)</f>
        <v>#N/A</v>
      </c>
      <c r="C115" s="1" t="s">
        <v>80</v>
      </c>
      <c r="D115" s="1" t="s">
        <v>7</v>
      </c>
      <c r="E115" s="214" t="e">
        <f>-E114</f>
        <v>#N/A</v>
      </c>
      <c r="F115" s="9" t="s">
        <v>8</v>
      </c>
      <c r="G115" s="21"/>
    </row>
    <row r="118" spans="1:9" x14ac:dyDescent="0.25">
      <c r="A118" s="71" t="s">
        <v>97</v>
      </c>
      <c r="B118" s="72" t="s">
        <v>261</v>
      </c>
      <c r="C118" s="72">
        <f>C112</f>
        <v>0</v>
      </c>
      <c r="D118" s="72"/>
      <c r="E118" s="72"/>
      <c r="F118" s="72"/>
      <c r="G118" s="73"/>
    </row>
    <row r="119" spans="1:9" ht="18" x14ac:dyDescent="0.35">
      <c r="A119" s="1" t="s">
        <v>439</v>
      </c>
      <c r="B119" s="215" t="e">
        <f>B115*10^3</f>
        <v>#N/A</v>
      </c>
      <c r="C119" s="154" t="s">
        <v>2</v>
      </c>
      <c r="D119" s="122"/>
      <c r="E119" s="122"/>
      <c r="F119" s="122"/>
      <c r="G119" s="123"/>
    </row>
    <row r="120" spans="1:9" ht="18" x14ac:dyDescent="0.35">
      <c r="A120" s="1" t="s">
        <v>249</v>
      </c>
      <c r="B120" s="15"/>
      <c r="C120" s="3" t="s">
        <v>2</v>
      </c>
      <c r="D120" s="4"/>
      <c r="E120" s="4"/>
      <c r="F120" s="4"/>
      <c r="G120" s="21"/>
      <c r="I120" t="s">
        <v>243</v>
      </c>
    </row>
    <row r="121" spans="1:9" x14ac:dyDescent="0.25">
      <c r="A121" s="1" t="s">
        <v>225</v>
      </c>
      <c r="B121" s="2">
        <v>1.2</v>
      </c>
      <c r="C121" s="3"/>
      <c r="D121" s="4"/>
      <c r="E121" s="4"/>
      <c r="F121" s="4"/>
      <c r="G121" s="21"/>
    </row>
    <row r="122" spans="1:9" ht="18" x14ac:dyDescent="0.35">
      <c r="A122" s="1" t="s">
        <v>247</v>
      </c>
      <c r="B122" s="10">
        <f>B120*B121</f>
        <v>0</v>
      </c>
      <c r="C122" s="121" t="s">
        <v>2</v>
      </c>
      <c r="D122" s="122"/>
      <c r="E122" s="122"/>
      <c r="F122" s="122"/>
      <c r="G122" s="123"/>
    </row>
    <row r="123" spans="1:9" ht="18" x14ac:dyDescent="0.35">
      <c r="A123" s="1" t="s">
        <v>474</v>
      </c>
      <c r="B123" s="28" t="s">
        <v>97</v>
      </c>
      <c r="C123" s="46"/>
      <c r="D123" s="46"/>
      <c r="E123" s="29" t="e">
        <f>IF(B122&lt;=B119,"OK","Ikke OK")</f>
        <v>#N/A</v>
      </c>
      <c r="F123" s="4"/>
      <c r="G123" s="21"/>
    </row>
    <row r="124" spans="1:9" ht="18" x14ac:dyDescent="0.35">
      <c r="A124" s="54" t="s">
        <v>360</v>
      </c>
      <c r="B124" s="34"/>
      <c r="C124" s="3" t="s">
        <v>2</v>
      </c>
      <c r="D124" s="4"/>
      <c r="E124" s="4"/>
      <c r="F124" s="4"/>
      <c r="G124" s="21"/>
      <c r="H124" t="s">
        <v>475</v>
      </c>
    </row>
    <row r="125" spans="1:9" x14ac:dyDescent="0.25">
      <c r="A125" s="54" t="s">
        <v>225</v>
      </c>
      <c r="B125" s="2">
        <v>0.8</v>
      </c>
      <c r="C125" s="4"/>
      <c r="D125" s="4"/>
      <c r="E125" s="4"/>
      <c r="F125" s="4"/>
      <c r="G125" s="21"/>
    </row>
    <row r="126" spans="1:9" ht="18" x14ac:dyDescent="0.35">
      <c r="A126" s="54" t="s">
        <v>476</v>
      </c>
      <c r="B126" s="10">
        <f>0.8*B120</f>
        <v>0</v>
      </c>
      <c r="C126" s="4" t="s">
        <v>2</v>
      </c>
      <c r="D126" s="4"/>
      <c r="E126" s="4"/>
      <c r="F126" s="4"/>
      <c r="G126" s="21"/>
    </row>
    <row r="127" spans="1:9" ht="18" x14ac:dyDescent="0.35">
      <c r="A127" s="54" t="s">
        <v>477</v>
      </c>
      <c r="B127" s="28" t="s">
        <v>97</v>
      </c>
      <c r="C127" s="46"/>
      <c r="D127" s="46"/>
      <c r="E127" s="29" t="str">
        <f>IF(B126&lt;=B124,"OK","Ikke OK")</f>
        <v>OK</v>
      </c>
      <c r="F127" s="4"/>
      <c r="G127" s="21"/>
    </row>
    <row r="130" spans="1:14" x14ac:dyDescent="0.25">
      <c r="A130" s="71" t="s">
        <v>4</v>
      </c>
      <c r="B130" s="72" t="s">
        <v>5</v>
      </c>
      <c r="C130" s="78">
        <f>C112</f>
        <v>0</v>
      </c>
      <c r="D130" s="72"/>
      <c r="E130" s="72"/>
      <c r="F130" s="72"/>
      <c r="G130" s="116"/>
    </row>
    <row r="131" spans="1:14" ht="18" x14ac:dyDescent="0.35">
      <c r="A131" s="54" t="s">
        <v>226</v>
      </c>
      <c r="B131" s="215" t="e">
        <f>B109*10^3</f>
        <v>#N/A</v>
      </c>
      <c r="C131" s="154" t="s">
        <v>80</v>
      </c>
      <c r="D131" s="122"/>
      <c r="E131" s="122"/>
      <c r="F131" s="122"/>
      <c r="G131" s="123"/>
      <c r="I131">
        <f>IF(B19="CU",1,0)</f>
        <v>0</v>
      </c>
      <c r="J131">
        <f>IF(B19="AL",1,0)</f>
        <v>0</v>
      </c>
    </row>
    <row r="132" spans="1:14" ht="17.25" x14ac:dyDescent="0.25">
      <c r="A132" s="1" t="s">
        <v>245</v>
      </c>
      <c r="B132" s="15"/>
      <c r="C132" s="1" t="s">
        <v>196</v>
      </c>
      <c r="D132" s="4" t="s">
        <v>372</v>
      </c>
      <c r="E132" s="26"/>
      <c r="F132" s="26"/>
      <c r="G132" s="27"/>
      <c r="I132">
        <f>IF(I131=1,143,0)</f>
        <v>0</v>
      </c>
      <c r="J132">
        <f>IF(J131=1,94,0)</f>
        <v>0</v>
      </c>
    </row>
    <row r="133" spans="1:14" x14ac:dyDescent="0.25">
      <c r="A133" s="1" t="s">
        <v>23</v>
      </c>
      <c r="B133" s="1" t="s">
        <v>41</v>
      </c>
      <c r="C133" s="33" t="s">
        <v>71</v>
      </c>
      <c r="D133" s="134">
        <f>I132+J132</f>
        <v>0</v>
      </c>
      <c r="E133" s="25"/>
      <c r="F133" s="26"/>
      <c r="G133" s="27"/>
    </row>
    <row r="134" spans="1:14" ht="17.25" x14ac:dyDescent="0.25">
      <c r="A134" s="31" t="s">
        <v>20</v>
      </c>
      <c r="B134" s="219">
        <f>D34</f>
        <v>0</v>
      </c>
      <c r="C134" s="25" t="s">
        <v>21</v>
      </c>
      <c r="D134" s="26"/>
      <c r="E134" s="26"/>
      <c r="F134" s="26"/>
      <c r="G134" s="27"/>
    </row>
    <row r="135" spans="1:14" ht="17.25" x14ac:dyDescent="0.25">
      <c r="A135" s="1" t="s">
        <v>33</v>
      </c>
      <c r="B135" s="88">
        <f>D133^2*B134^2</f>
        <v>0</v>
      </c>
      <c r="C135" s="3" t="s">
        <v>196</v>
      </c>
      <c r="D135" s="4"/>
      <c r="E135" s="4"/>
      <c r="F135" s="4"/>
      <c r="G135" s="21"/>
    </row>
    <row r="136" spans="1:14" ht="17.25" x14ac:dyDescent="0.25">
      <c r="A136" s="1" t="s">
        <v>248</v>
      </c>
      <c r="B136" s="28" t="s">
        <v>4</v>
      </c>
      <c r="C136" s="46"/>
      <c r="D136" s="46" t="str">
        <f>IF(B132&lt;=B135,"OK","Ikke OK")</f>
        <v>OK</v>
      </c>
      <c r="E136" s="121"/>
      <c r="F136" s="122"/>
      <c r="G136" s="123"/>
      <c r="K136" s="66" t="s">
        <v>270</v>
      </c>
    </row>
    <row r="139" spans="1:14" x14ac:dyDescent="0.25">
      <c r="A139" s="71" t="s">
        <v>260</v>
      </c>
      <c r="B139" s="72" t="s">
        <v>261</v>
      </c>
      <c r="C139" s="78">
        <f>C130</f>
        <v>0</v>
      </c>
      <c r="D139" s="72"/>
      <c r="E139" s="72"/>
      <c r="F139" s="72"/>
      <c r="G139" s="73"/>
      <c r="H139" t="s">
        <v>480</v>
      </c>
      <c r="K139" t="s">
        <v>269</v>
      </c>
    </row>
    <row r="140" spans="1:14" ht="18" x14ac:dyDescent="0.35">
      <c r="A140" s="1" t="s">
        <v>18</v>
      </c>
      <c r="B140" s="2"/>
      <c r="C140" s="4" t="s">
        <v>19</v>
      </c>
      <c r="D140" s="4"/>
      <c r="E140" s="4"/>
      <c r="F140" s="4"/>
      <c r="G140" s="21"/>
      <c r="H140">
        <v>0.04</v>
      </c>
    </row>
    <row r="141" spans="1:14" ht="18" x14ac:dyDescent="0.35">
      <c r="A141" s="1" t="s">
        <v>262</v>
      </c>
      <c r="B141" s="15">
        <f>IF(J141=1,M141+N141,M142+N142)</f>
        <v>0.4</v>
      </c>
      <c r="C141" s="3" t="s">
        <v>19</v>
      </c>
      <c r="D141" s="4" t="s">
        <v>445</v>
      </c>
      <c r="E141" s="4"/>
      <c r="F141" s="4"/>
      <c r="G141" s="21"/>
      <c r="I141" t="s">
        <v>267</v>
      </c>
      <c r="J141">
        <f>IF(B3="TT",1,0)</f>
        <v>0</v>
      </c>
      <c r="K141" s="86">
        <v>0</v>
      </c>
      <c r="L141">
        <f>IF(K141=1,63,32)</f>
        <v>32</v>
      </c>
      <c r="M141">
        <f>IF(B11&lt;=L141,0.2,0)</f>
        <v>0.2</v>
      </c>
      <c r="N141">
        <f>IF(B11&gt;L141,1,0)</f>
        <v>0</v>
      </c>
    </row>
    <row r="142" spans="1:14" ht="18" x14ac:dyDescent="0.35">
      <c r="A142" s="1" t="s">
        <v>263</v>
      </c>
      <c r="B142" s="28" t="s">
        <v>260</v>
      </c>
      <c r="C142" s="46"/>
      <c r="D142" s="29" t="str">
        <f>IF(B140&lt;=B141,"OK","Ikke OK")</f>
        <v>OK</v>
      </c>
      <c r="E142" s="4"/>
      <c r="F142" s="4"/>
      <c r="G142" s="21"/>
      <c r="I142" t="s">
        <v>268</v>
      </c>
      <c r="J142">
        <f>IF(B3="TT",0,1)</f>
        <v>1</v>
      </c>
      <c r="K142" s="86">
        <v>0</v>
      </c>
      <c r="L142">
        <f>IF(K142=1,63,32)</f>
        <v>32</v>
      </c>
      <c r="M142">
        <f>IF(B11&lt;=L142,0.4,0)</f>
        <v>0.4</v>
      </c>
      <c r="N142">
        <f>IF(B11&gt;L142,5,0)</f>
        <v>0</v>
      </c>
    </row>
    <row r="145" spans="1:7" x14ac:dyDescent="0.25">
      <c r="A145" s="71" t="s">
        <v>441</v>
      </c>
      <c r="B145" s="72" t="s">
        <v>5</v>
      </c>
      <c r="C145" s="72">
        <f>C139</f>
        <v>0</v>
      </c>
      <c r="D145" s="72"/>
      <c r="E145" s="72"/>
      <c r="F145" s="72"/>
      <c r="G145" s="73"/>
    </row>
    <row r="146" spans="1:7" ht="18" x14ac:dyDescent="0.35">
      <c r="A146" s="54" t="s">
        <v>91</v>
      </c>
      <c r="B146" s="188">
        <f>B11</f>
        <v>0</v>
      </c>
      <c r="C146" s="43" t="s">
        <v>2</v>
      </c>
      <c r="D146" s="48"/>
      <c r="E146" s="48"/>
      <c r="F146" s="48"/>
      <c r="G146" s="61"/>
    </row>
    <row r="147" spans="1:7" ht="18" x14ac:dyDescent="0.35">
      <c r="A147" s="1" t="s">
        <v>442</v>
      </c>
      <c r="B147" s="15">
        <v>32</v>
      </c>
      <c r="C147" s="3" t="s">
        <v>2</v>
      </c>
      <c r="D147" s="4" t="s">
        <v>443</v>
      </c>
      <c r="E147" s="4"/>
      <c r="F147" s="4"/>
      <c r="G147" s="21"/>
    </row>
    <row r="148" spans="1:7" ht="18" x14ac:dyDescent="0.35">
      <c r="A148" s="1" t="s">
        <v>463</v>
      </c>
      <c r="B148" s="14" t="str">
        <f>IF(B146&gt;B147,"Ikke RCD","RCD")</f>
        <v>RCD</v>
      </c>
      <c r="C148" s="3"/>
      <c r="D148" s="4"/>
      <c r="E148" s="4"/>
      <c r="F148" s="4"/>
      <c r="G148" s="21"/>
    </row>
  </sheetData>
  <mergeCells count="2">
    <mergeCell ref="C13:D13"/>
    <mergeCell ref="C14:D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49"/>
  <sheetViews>
    <sheetView topLeftCell="A10" zoomScaleNormal="100" workbookViewId="0">
      <selection activeCell="I18" sqref="I18"/>
    </sheetView>
  </sheetViews>
  <sheetFormatPr defaultRowHeight="15" x14ac:dyDescent="0.25"/>
  <cols>
    <col min="1" max="1" width="34.85546875" customWidth="1"/>
    <col min="2" max="6" width="10.7109375" customWidth="1"/>
    <col min="7" max="7" width="5.7109375" customWidth="1"/>
  </cols>
  <sheetData>
    <row r="3" spans="1:10" x14ac:dyDescent="0.25">
      <c r="A3" s="177" t="s">
        <v>265</v>
      </c>
      <c r="B3" s="175"/>
      <c r="C3" s="176"/>
      <c r="D3" s="83"/>
      <c r="E3" s="83"/>
      <c r="F3" s="83"/>
      <c r="G3" s="84"/>
      <c r="H3" t="s">
        <v>428</v>
      </c>
    </row>
    <row r="6" spans="1:10" x14ac:dyDescent="0.25">
      <c r="A6" s="135" t="s">
        <v>88</v>
      </c>
      <c r="B6" s="136" t="s">
        <v>5</v>
      </c>
      <c r="C6" s="72"/>
      <c r="D6" s="136"/>
      <c r="E6" s="136"/>
      <c r="F6" s="136"/>
      <c r="G6" s="137"/>
    </row>
    <row r="7" spans="1:10" ht="18" x14ac:dyDescent="0.35">
      <c r="A7" s="54" t="s">
        <v>1</v>
      </c>
      <c r="B7" s="55"/>
      <c r="C7" s="251" t="s">
        <v>2</v>
      </c>
      <c r="D7" s="252"/>
      <c r="E7" s="4"/>
      <c r="F7" s="4"/>
      <c r="G7" s="21"/>
      <c r="H7" s="76"/>
      <c r="I7" s="76"/>
      <c r="J7" s="76"/>
    </row>
    <row r="8" spans="1:10" ht="15.6" customHeight="1" x14ac:dyDescent="0.25">
      <c r="A8" s="3" t="s">
        <v>3</v>
      </c>
      <c r="B8" s="50">
        <v>1</v>
      </c>
      <c r="C8" s="94" t="s">
        <v>151</v>
      </c>
      <c r="D8" s="94" t="s">
        <v>464</v>
      </c>
      <c r="E8" s="94" t="s">
        <v>465</v>
      </c>
      <c r="F8" s="138" t="s">
        <v>95</v>
      </c>
      <c r="G8" s="23"/>
      <c r="H8" t="s">
        <v>466</v>
      </c>
    </row>
    <row r="9" spans="1:10" ht="18" x14ac:dyDescent="0.35">
      <c r="A9" s="1" t="s">
        <v>177</v>
      </c>
      <c r="B9" s="87"/>
      <c r="C9" s="249" t="s">
        <v>2</v>
      </c>
      <c r="D9" s="250"/>
      <c r="E9" s="26"/>
      <c r="F9" s="26"/>
      <c r="G9" s="27"/>
    </row>
    <row r="10" spans="1:10" ht="18" x14ac:dyDescent="0.35">
      <c r="A10" s="1" t="s">
        <v>224</v>
      </c>
      <c r="B10" s="97" t="str">
        <f>IF(B7&lt;=B9,"OK","Ikke OK")</f>
        <v>OK</v>
      </c>
      <c r="C10" s="80"/>
      <c r="D10" s="95"/>
      <c r="E10" s="26"/>
      <c r="F10" s="26"/>
      <c r="G10" s="27"/>
    </row>
    <row r="11" spans="1:10" ht="18" x14ac:dyDescent="0.35">
      <c r="A11" s="1" t="s">
        <v>81</v>
      </c>
      <c r="B11" s="38"/>
      <c r="C11" s="25" t="s">
        <v>80</v>
      </c>
      <c r="D11" s="26"/>
      <c r="E11" s="26"/>
      <c r="F11" s="26"/>
      <c r="G11" s="27"/>
    </row>
    <row r="12" spans="1:10" ht="18" x14ac:dyDescent="0.35">
      <c r="A12" s="1" t="s">
        <v>339</v>
      </c>
      <c r="B12" s="139"/>
      <c r="C12" s="3" t="s">
        <v>80</v>
      </c>
      <c r="D12" s="4"/>
      <c r="E12" s="26"/>
      <c r="F12" s="26"/>
      <c r="G12" s="27"/>
    </row>
    <row r="13" spans="1:10" ht="18" x14ac:dyDescent="0.35">
      <c r="A13" s="3" t="s">
        <v>446</v>
      </c>
      <c r="B13" s="28" t="s">
        <v>223</v>
      </c>
      <c r="C13" s="118"/>
      <c r="D13" s="140" t="str">
        <f>IF(B11&gt;=B12,"OK","Ikke OK")</f>
        <v>OK</v>
      </c>
      <c r="E13" s="9"/>
      <c r="F13" s="22"/>
      <c r="G13" s="21"/>
    </row>
    <row r="14" spans="1:10" x14ac:dyDescent="0.25">
      <c r="H14" s="66"/>
    </row>
    <row r="16" spans="1:10" x14ac:dyDescent="0.25">
      <c r="A16" s="71" t="s">
        <v>38</v>
      </c>
      <c r="B16" s="78" t="s">
        <v>5</v>
      </c>
      <c r="C16" s="78">
        <f>C6</f>
        <v>0</v>
      </c>
      <c r="D16" s="78"/>
      <c r="E16" s="78"/>
      <c r="F16" s="72"/>
      <c r="G16" s="73"/>
      <c r="I16" t="s">
        <v>90</v>
      </c>
    </row>
    <row r="17" spans="1:9" x14ac:dyDescent="0.25">
      <c r="A17" s="109" t="s">
        <v>39</v>
      </c>
      <c r="B17" s="30"/>
      <c r="C17" s="30">
        <v>90</v>
      </c>
      <c r="D17" s="20" t="s">
        <v>8</v>
      </c>
      <c r="E17" s="48"/>
      <c r="F17" s="48"/>
      <c r="G17" s="61"/>
    </row>
    <row r="18" spans="1:9" ht="18" x14ac:dyDescent="0.35">
      <c r="A18" s="1" t="s">
        <v>40</v>
      </c>
      <c r="B18" s="1" t="s">
        <v>41</v>
      </c>
      <c r="C18" s="30" t="s">
        <v>42</v>
      </c>
      <c r="D18" s="31" t="s">
        <v>43</v>
      </c>
      <c r="E18" s="32"/>
      <c r="F18" s="31" t="s">
        <v>44</v>
      </c>
      <c r="G18" s="32"/>
    </row>
    <row r="19" spans="1:9" x14ac:dyDescent="0.25">
      <c r="A19" s="1" t="s">
        <v>45</v>
      </c>
      <c r="B19" s="1" t="s">
        <v>41</v>
      </c>
      <c r="C19" s="30" t="s">
        <v>46</v>
      </c>
      <c r="D19" s="3"/>
      <c r="E19" s="4"/>
      <c r="F19" s="4"/>
      <c r="G19" s="21"/>
    </row>
    <row r="20" spans="1:9" x14ac:dyDescent="0.25">
      <c r="A20" s="1" t="s">
        <v>47</v>
      </c>
      <c r="B20" s="1" t="s">
        <v>41</v>
      </c>
      <c r="C20" s="5" t="s">
        <v>102</v>
      </c>
      <c r="D20" s="3"/>
      <c r="E20" s="4"/>
      <c r="F20" s="4"/>
      <c r="G20" s="21"/>
      <c r="I20" t="s">
        <v>48</v>
      </c>
    </row>
    <row r="21" spans="1:9" ht="18" x14ac:dyDescent="0.35">
      <c r="A21" s="1" t="s">
        <v>49</v>
      </c>
      <c r="B21" s="1" t="s">
        <v>41</v>
      </c>
      <c r="C21" s="33" t="s">
        <v>102</v>
      </c>
      <c r="D21" s="15">
        <v>1</v>
      </c>
      <c r="E21" s="4"/>
      <c r="F21" s="4"/>
      <c r="G21" s="21"/>
    </row>
    <row r="22" spans="1:9" x14ac:dyDescent="0.25">
      <c r="A22" s="1" t="s">
        <v>50</v>
      </c>
      <c r="B22" s="1" t="s">
        <v>41</v>
      </c>
      <c r="C22" s="33" t="s">
        <v>102</v>
      </c>
      <c r="D22" s="15">
        <v>1</v>
      </c>
      <c r="E22" s="4"/>
      <c r="F22" s="4"/>
      <c r="G22" s="21"/>
      <c r="I22" t="s">
        <v>256</v>
      </c>
    </row>
    <row r="23" spans="1:9" ht="18" x14ac:dyDescent="0.35">
      <c r="A23" s="1" t="s">
        <v>411</v>
      </c>
      <c r="B23" s="1" t="s">
        <v>41</v>
      </c>
      <c r="C23" s="33" t="s">
        <v>102</v>
      </c>
      <c r="D23" s="15">
        <v>1</v>
      </c>
      <c r="E23" s="4"/>
      <c r="F23" s="4"/>
      <c r="G23" s="21"/>
    </row>
    <row r="24" spans="1:9" ht="18" x14ac:dyDescent="0.35">
      <c r="A24" s="1" t="s">
        <v>51</v>
      </c>
      <c r="B24" s="1" t="s">
        <v>41</v>
      </c>
      <c r="C24" s="34" t="s">
        <v>102</v>
      </c>
      <c r="D24" s="15">
        <v>1</v>
      </c>
      <c r="E24" s="4"/>
      <c r="F24" s="4"/>
      <c r="G24" s="21"/>
    </row>
    <row r="25" spans="1:9" ht="18" x14ac:dyDescent="0.35">
      <c r="A25" s="1" t="s">
        <v>53</v>
      </c>
      <c r="B25" s="3" t="s">
        <v>41</v>
      </c>
      <c r="C25" s="33" t="s">
        <v>102</v>
      </c>
      <c r="D25" s="15">
        <v>1</v>
      </c>
      <c r="E25" s="26"/>
      <c r="F25" s="26"/>
      <c r="G25" s="27"/>
    </row>
    <row r="26" spans="1:9" ht="18" x14ac:dyDescent="0.35">
      <c r="A26" s="1" t="s">
        <v>54</v>
      </c>
      <c r="B26" s="3" t="s">
        <v>41</v>
      </c>
      <c r="C26" s="2" t="s">
        <v>102</v>
      </c>
      <c r="D26" s="15">
        <v>1</v>
      </c>
      <c r="E26" s="26"/>
      <c r="F26" s="26"/>
      <c r="G26" s="27"/>
    </row>
    <row r="27" spans="1:9" ht="18" x14ac:dyDescent="0.35">
      <c r="A27" s="1" t="s">
        <v>1</v>
      </c>
      <c r="B27" s="227">
        <f>B7</f>
        <v>0</v>
      </c>
      <c r="C27" s="3" t="s">
        <v>2</v>
      </c>
      <c r="D27" s="4"/>
      <c r="E27" s="4"/>
      <c r="F27" s="4"/>
      <c r="G27" s="21"/>
    </row>
    <row r="28" spans="1:9" ht="18" x14ac:dyDescent="0.35">
      <c r="A28" s="1" t="s">
        <v>177</v>
      </c>
      <c r="B28" s="228">
        <f>B9</f>
        <v>0</v>
      </c>
      <c r="C28" s="3" t="s">
        <v>2</v>
      </c>
      <c r="D28" s="4"/>
      <c r="E28" s="4"/>
      <c r="F28" s="4"/>
      <c r="G28" s="21"/>
    </row>
    <row r="29" spans="1:9" ht="18" x14ac:dyDescent="0.35">
      <c r="A29" s="36" t="s">
        <v>414</v>
      </c>
      <c r="B29" s="37">
        <f>B28/(D22*D21*D23*D24*D25*D26)</f>
        <v>0</v>
      </c>
      <c r="C29" s="3" t="s">
        <v>2</v>
      </c>
      <c r="D29" s="4"/>
      <c r="E29" s="4"/>
      <c r="F29" s="4"/>
      <c r="G29" s="21"/>
    </row>
    <row r="30" spans="1:9" x14ac:dyDescent="0.25">
      <c r="A30" s="36" t="s">
        <v>415</v>
      </c>
      <c r="B30" s="35">
        <v>1</v>
      </c>
      <c r="C30" s="3"/>
      <c r="D30" s="4"/>
      <c r="E30" s="4"/>
      <c r="F30" s="4"/>
      <c r="G30" s="21"/>
      <c r="I30" t="s">
        <v>172</v>
      </c>
    </row>
    <row r="31" spans="1:9" ht="18" x14ac:dyDescent="0.35">
      <c r="A31" s="1" t="s">
        <v>416</v>
      </c>
      <c r="B31" s="88">
        <f>B29/B30</f>
        <v>0</v>
      </c>
      <c r="C31" s="3" t="s">
        <v>2</v>
      </c>
      <c r="D31" s="4"/>
      <c r="E31" s="4"/>
      <c r="F31" s="4"/>
      <c r="G31" s="21"/>
    </row>
    <row r="32" spans="1:9" ht="18.75" x14ac:dyDescent="0.35">
      <c r="A32" s="1" t="s">
        <v>417</v>
      </c>
      <c r="B32" s="218"/>
      <c r="C32" s="25" t="s">
        <v>2</v>
      </c>
      <c r="D32" s="15"/>
      <c r="E32" s="3" t="s">
        <v>21</v>
      </c>
      <c r="F32" s="19" t="e">
        <f>B29/B32</f>
        <v>#DIV/0!</v>
      </c>
      <c r="G32" s="21" t="s">
        <v>151</v>
      </c>
    </row>
    <row r="33" spans="1:10" x14ac:dyDescent="0.25">
      <c r="A33" s="1" t="s">
        <v>304</v>
      </c>
      <c r="B33" s="50">
        <f>B30</f>
        <v>1</v>
      </c>
      <c r="C33" s="46" t="s">
        <v>151</v>
      </c>
      <c r="D33" s="46"/>
      <c r="E33" s="46"/>
      <c r="F33" s="235">
        <f>B32</f>
        <v>0</v>
      </c>
      <c r="G33" s="52" t="s">
        <v>2</v>
      </c>
      <c r="H33">
        <f>B33*F33</f>
        <v>0</v>
      </c>
      <c r="I33" s="53">
        <f>IF(B27&lt;=B28,1,0)</f>
        <v>1</v>
      </c>
      <c r="J33" s="53" t="str">
        <f>IF(B28&lt;=H33,"1","0")</f>
        <v>1</v>
      </c>
    </row>
    <row r="34" spans="1:10" ht="18" x14ac:dyDescent="0.35">
      <c r="A34" s="3" t="s">
        <v>420</v>
      </c>
      <c r="B34" s="108" t="s">
        <v>222</v>
      </c>
      <c r="C34" s="46"/>
      <c r="D34" s="29" t="str">
        <f>IF(I33+J33=2,"OK","Ikke OK")</f>
        <v>OK</v>
      </c>
      <c r="E34" s="51"/>
      <c r="F34" s="4"/>
      <c r="G34" s="21"/>
    </row>
    <row r="35" spans="1:10" ht="18" hidden="1" x14ac:dyDescent="0.35">
      <c r="A35" s="31" t="s">
        <v>233</v>
      </c>
      <c r="B35" s="110">
        <f>$B$9/(B33*D21)</f>
        <v>0</v>
      </c>
      <c r="C35" s="111">
        <f>B35</f>
        <v>0</v>
      </c>
      <c r="D35" s="112"/>
      <c r="E35" s="26"/>
      <c r="F35" s="26"/>
      <c r="G35" s="27"/>
      <c r="I35" t="s">
        <v>170</v>
      </c>
    </row>
    <row r="36" spans="1:10" x14ac:dyDescent="0.25">
      <c r="A36" s="77" t="s">
        <v>55</v>
      </c>
      <c r="B36" s="78" t="s">
        <v>5</v>
      </c>
      <c r="C36" s="78">
        <f>C16</f>
        <v>0</v>
      </c>
      <c r="D36" s="78"/>
      <c r="E36" s="78"/>
      <c r="F36" s="72"/>
      <c r="G36" s="73"/>
      <c r="I36" t="s">
        <v>171</v>
      </c>
    </row>
    <row r="37" spans="1:10" x14ac:dyDescent="0.25">
      <c r="A37" s="92" t="s">
        <v>56</v>
      </c>
      <c r="B37" s="113" t="s">
        <v>41</v>
      </c>
      <c r="C37" s="114" t="s">
        <v>57</v>
      </c>
      <c r="D37" s="92"/>
      <c r="E37" s="93"/>
      <c r="F37" s="48"/>
      <c r="G37" s="61"/>
      <c r="I37" t="s">
        <v>219</v>
      </c>
    </row>
    <row r="38" spans="1:10" ht="17.25" x14ac:dyDescent="0.25">
      <c r="A38" s="40" t="s">
        <v>58</v>
      </c>
      <c r="B38" s="229">
        <f>D32</f>
        <v>0</v>
      </c>
      <c r="C38" s="39" t="s">
        <v>21</v>
      </c>
      <c r="D38" s="41"/>
      <c r="E38" s="41"/>
      <c r="F38" s="4"/>
      <c r="G38" s="21"/>
      <c r="I38">
        <f>IF(B39=B40,1,0)</f>
        <v>1</v>
      </c>
    </row>
    <row r="39" spans="1:10" x14ac:dyDescent="0.25">
      <c r="A39" s="40" t="s">
        <v>59</v>
      </c>
      <c r="B39" s="229">
        <f>B17</f>
        <v>0</v>
      </c>
      <c r="C39" s="39"/>
      <c r="D39" s="41"/>
      <c r="E39" s="41"/>
      <c r="F39" s="4"/>
      <c r="G39" s="21"/>
    </row>
    <row r="40" spans="1:10" x14ac:dyDescent="0.25">
      <c r="A40" s="153" t="s">
        <v>60</v>
      </c>
      <c r="B40" s="152"/>
      <c r="C40" s="80"/>
      <c r="D40" s="95"/>
      <c r="E40" s="95"/>
      <c r="F40" s="26"/>
      <c r="G40" s="27"/>
    </row>
    <row r="41" spans="1:10" x14ac:dyDescent="0.25">
      <c r="A41" s="101" t="s">
        <v>61</v>
      </c>
      <c r="B41" s="102" t="str">
        <f>IF(B39=B40,"Ja","Nej")</f>
        <v>Ja</v>
      </c>
      <c r="C41" s="102"/>
      <c r="D41" s="102"/>
      <c r="E41" s="102"/>
      <c r="F41" s="103"/>
      <c r="G41" s="104"/>
      <c r="I41" t="s">
        <v>63</v>
      </c>
    </row>
    <row r="42" spans="1:10" x14ac:dyDescent="0.25">
      <c r="A42" s="54" t="s">
        <v>62</v>
      </c>
      <c r="B42" s="30">
        <v>1</v>
      </c>
      <c r="C42" s="43"/>
      <c r="D42" s="48"/>
      <c r="E42" s="48"/>
      <c r="F42" s="48"/>
      <c r="G42" s="61"/>
    </row>
    <row r="43" spans="1:10" ht="17.25" x14ac:dyDescent="0.25">
      <c r="A43" s="1" t="s">
        <v>64</v>
      </c>
      <c r="B43" s="10" t="str">
        <f>IF(I43=1,"Ja","Nej")</f>
        <v>Ja</v>
      </c>
      <c r="C43" s="43" t="s">
        <v>20</v>
      </c>
      <c r="D43" s="10">
        <f>B38</f>
        <v>0</v>
      </c>
      <c r="E43" s="3" t="s">
        <v>21</v>
      </c>
      <c r="F43" s="4"/>
      <c r="G43" s="21"/>
      <c r="I43">
        <f>IF(B38&lt;=15,1,0)</f>
        <v>1</v>
      </c>
    </row>
    <row r="44" spans="1:10" ht="17.25" x14ac:dyDescent="0.25">
      <c r="A44" s="1" t="s">
        <v>65</v>
      </c>
      <c r="B44" s="44" t="str">
        <f>IF(I44+J44=2,"Ja","Nej")</f>
        <v>Nej</v>
      </c>
      <c r="C44" s="3" t="s">
        <v>66</v>
      </c>
      <c r="D44" s="10">
        <f>16^B42</f>
        <v>16</v>
      </c>
      <c r="E44" s="3" t="s">
        <v>21</v>
      </c>
      <c r="F44" s="4"/>
      <c r="G44" s="21"/>
      <c r="I44" t="str">
        <f>IF(16&lt;B38,"1","0")</f>
        <v>0</v>
      </c>
      <c r="J44" t="str">
        <f>IF(B38&lt;=35,"1","0")</f>
        <v>1</v>
      </c>
    </row>
    <row r="45" spans="1:10" ht="17.25" x14ac:dyDescent="0.25">
      <c r="A45" s="23" t="s">
        <v>67</v>
      </c>
      <c r="B45" s="24" t="str">
        <f>IF(I45+I38=2,"Ja","Nej")</f>
        <v>Nej</v>
      </c>
      <c r="C45" s="25" t="s">
        <v>68</v>
      </c>
      <c r="D45" s="24">
        <f>(B38/2)^B42</f>
        <v>0</v>
      </c>
      <c r="E45" s="25" t="s">
        <v>21</v>
      </c>
      <c r="F45" s="26"/>
      <c r="G45" s="27"/>
      <c r="I45" t="str">
        <f>IF(B38&gt;35,"1","0")</f>
        <v>0</v>
      </c>
    </row>
    <row r="46" spans="1:10" x14ac:dyDescent="0.25">
      <c r="A46" s="105" t="s">
        <v>69</v>
      </c>
      <c r="B46" s="103" t="str">
        <f>IF(I39=0,"Ja","Nej")</f>
        <v>Ja</v>
      </c>
      <c r="C46" s="103"/>
      <c r="D46" s="103"/>
      <c r="E46" s="103"/>
      <c r="F46" s="103"/>
      <c r="G46" s="104"/>
      <c r="I46" t="s">
        <v>72</v>
      </c>
    </row>
    <row r="47" spans="1:10" ht="18" x14ac:dyDescent="0.35">
      <c r="A47" s="54" t="s">
        <v>70</v>
      </c>
      <c r="B47" s="43" t="s">
        <v>41</v>
      </c>
      <c r="C47" s="30" t="s">
        <v>71</v>
      </c>
      <c r="D47" s="81">
        <v>143</v>
      </c>
      <c r="E47" s="48"/>
      <c r="F47" s="48"/>
      <c r="G47" s="61"/>
      <c r="I47" t="s">
        <v>74</v>
      </c>
    </row>
    <row r="48" spans="1:10" ht="18" x14ac:dyDescent="0.35">
      <c r="A48" s="1" t="s">
        <v>73</v>
      </c>
      <c r="B48" s="3" t="s">
        <v>41</v>
      </c>
      <c r="C48" s="34" t="s">
        <v>71</v>
      </c>
      <c r="D48" s="15">
        <v>94</v>
      </c>
      <c r="E48" s="4"/>
      <c r="F48" s="4"/>
      <c r="G48" s="21"/>
    </row>
    <row r="49" spans="1:10" ht="18.75" x14ac:dyDescent="0.35">
      <c r="A49" s="1" t="s">
        <v>64</v>
      </c>
      <c r="B49" s="10" t="str">
        <f>IF(I49=1,"Ja","Nej")</f>
        <v>Ja</v>
      </c>
      <c r="C49" s="1" t="s">
        <v>75</v>
      </c>
      <c r="D49" s="45">
        <f>(D48/D47)*B38</f>
        <v>0</v>
      </c>
      <c r="E49" s="3" t="s">
        <v>21</v>
      </c>
      <c r="F49" s="4"/>
      <c r="G49" s="21"/>
      <c r="I49">
        <f>IF(B38&lt;=15,1,0)</f>
        <v>1</v>
      </c>
    </row>
    <row r="50" spans="1:10" ht="18.75" x14ac:dyDescent="0.35">
      <c r="A50" s="1" t="s">
        <v>65</v>
      </c>
      <c r="B50" s="44" t="str">
        <f>IF(I50+J50=2,"Ja","Nej")</f>
        <v>Nej</v>
      </c>
      <c r="C50" s="1" t="s">
        <v>76</v>
      </c>
      <c r="D50" s="45">
        <f>(D48/D47)*16</f>
        <v>10.517482517482517</v>
      </c>
      <c r="E50" s="3" t="s">
        <v>21</v>
      </c>
      <c r="F50" s="4"/>
      <c r="G50" s="21"/>
      <c r="I50" t="str">
        <f>IF(16&lt;B38,"1","0")</f>
        <v>0</v>
      </c>
      <c r="J50" t="str">
        <f>IF(B38&lt;=35,"1","0")</f>
        <v>1</v>
      </c>
    </row>
    <row r="51" spans="1:10" ht="18.75" x14ac:dyDescent="0.35">
      <c r="A51" s="1" t="s">
        <v>67</v>
      </c>
      <c r="B51" s="10" t="str">
        <f>IF(I51=1,"Ja","Nej")</f>
        <v>Nej</v>
      </c>
      <c r="C51" s="1" t="s">
        <v>77</v>
      </c>
      <c r="D51" s="45">
        <f>(D48/D47)*(B38/2)</f>
        <v>0</v>
      </c>
      <c r="E51" s="3" t="s">
        <v>21</v>
      </c>
      <c r="F51" s="4"/>
      <c r="G51" s="21"/>
      <c r="I51">
        <f>IF(B38&gt;35,1,0)</f>
        <v>0</v>
      </c>
    </row>
    <row r="52" spans="1:10" x14ac:dyDescent="0.25">
      <c r="A52" s="1" t="s">
        <v>78</v>
      </c>
      <c r="B52" s="28">
        <f>B33</f>
        <v>1</v>
      </c>
      <c r="C52" s="46" t="s">
        <v>151</v>
      </c>
      <c r="D52" s="46"/>
      <c r="E52" s="46"/>
      <c r="F52" s="46"/>
      <c r="G52" s="29"/>
    </row>
    <row r="53" spans="1:10" x14ac:dyDescent="0.25">
      <c r="A53" s="32" t="s">
        <v>141</v>
      </c>
    </row>
    <row r="54" spans="1:10" x14ac:dyDescent="0.25">
      <c r="A54" t="s">
        <v>448</v>
      </c>
    </row>
    <row r="55" spans="1:10" ht="18" x14ac:dyDescent="0.35">
      <c r="A55" s="71" t="s">
        <v>366</v>
      </c>
      <c r="B55" s="72" t="s">
        <v>261</v>
      </c>
      <c r="C55" s="72">
        <f>C36</f>
        <v>0</v>
      </c>
      <c r="D55" s="72"/>
      <c r="E55" s="72"/>
      <c r="F55" s="72"/>
      <c r="G55" s="116"/>
      <c r="H55" t="s">
        <v>345</v>
      </c>
      <c r="I55" t="s">
        <v>220</v>
      </c>
      <c r="J55" t="s">
        <v>346</v>
      </c>
    </row>
    <row r="56" spans="1:10" x14ac:dyDescent="0.25">
      <c r="A56" s="54" t="s">
        <v>185</v>
      </c>
      <c r="B56" s="49"/>
      <c r="C56" s="3" t="s">
        <v>184</v>
      </c>
      <c r="D56" s="4"/>
      <c r="E56" s="4"/>
      <c r="F56" s="4"/>
      <c r="G56" s="21"/>
      <c r="H56" s="56">
        <f>RADIANS(E62)</f>
        <v>0</v>
      </c>
      <c r="I56">
        <f>B62*COS(H56)</f>
        <v>0</v>
      </c>
      <c r="J56">
        <f>B62*SIN(H56)</f>
        <v>0</v>
      </c>
    </row>
    <row r="57" spans="1:10" x14ac:dyDescent="0.25">
      <c r="A57" s="54" t="s">
        <v>376</v>
      </c>
      <c r="B57" s="236">
        <f>B33</f>
        <v>1</v>
      </c>
      <c r="C57" s="3" t="s">
        <v>130</v>
      </c>
      <c r="D57" s="4"/>
      <c r="E57" s="4"/>
      <c r="F57" s="4"/>
      <c r="G57" s="21"/>
      <c r="H57" s="56">
        <f>RADIANS(E63)</f>
        <v>1.5707963267948966</v>
      </c>
      <c r="I57">
        <f>B63*COS(H57)</f>
        <v>0</v>
      </c>
      <c r="J57">
        <f>B63*SIN(H57)</f>
        <v>0</v>
      </c>
    </row>
    <row r="58" spans="1:10" x14ac:dyDescent="0.25">
      <c r="A58" s="54" t="s">
        <v>55</v>
      </c>
      <c r="B58" s="49">
        <v>1</v>
      </c>
      <c r="C58" s="3"/>
      <c r="D58" s="4"/>
      <c r="E58" s="4"/>
      <c r="F58" s="4"/>
      <c r="G58" s="21"/>
      <c r="H58" s="56"/>
    </row>
    <row r="59" spans="1:10" x14ac:dyDescent="0.25">
      <c r="A59" s="69" t="s">
        <v>278</v>
      </c>
      <c r="B59" s="81">
        <f>IF(H60=1,1.8,1.5)</f>
        <v>1.8</v>
      </c>
      <c r="C59" s="3"/>
      <c r="D59" s="4"/>
      <c r="E59" s="4"/>
      <c r="F59" s="4"/>
      <c r="G59" s="21"/>
      <c r="H59" s="56"/>
      <c r="I59">
        <f>I56+I57</f>
        <v>0</v>
      </c>
      <c r="J59">
        <f>J56+J57</f>
        <v>0</v>
      </c>
    </row>
    <row r="60" spans="1:10" x14ac:dyDescent="0.25">
      <c r="A60" s="1" t="s">
        <v>238</v>
      </c>
      <c r="B60" s="15"/>
      <c r="C60" s="3" t="s">
        <v>279</v>
      </c>
      <c r="D60" s="4"/>
      <c r="E60" s="4"/>
      <c r="F60" s="4"/>
      <c r="G60" s="21"/>
      <c r="H60">
        <f>IF(C17=90,1,0)</f>
        <v>1</v>
      </c>
    </row>
    <row r="61" spans="1:10" x14ac:dyDescent="0.25">
      <c r="A61" s="1" t="s">
        <v>239</v>
      </c>
      <c r="B61" s="225"/>
      <c r="C61" s="3" t="s">
        <v>279</v>
      </c>
      <c r="D61" s="4"/>
      <c r="E61" s="160"/>
      <c r="F61" s="160"/>
      <c r="G61" s="21"/>
      <c r="H61" t="s">
        <v>345</v>
      </c>
      <c r="I61" t="s">
        <v>220</v>
      </c>
      <c r="J61" t="s">
        <v>346</v>
      </c>
    </row>
    <row r="62" spans="1:10" x14ac:dyDescent="0.25">
      <c r="A62" s="1" t="s">
        <v>355</v>
      </c>
      <c r="B62" s="10">
        <f>B56*B60</f>
        <v>0</v>
      </c>
      <c r="C62" s="54" t="s">
        <v>237</v>
      </c>
      <c r="D62" s="54" t="s">
        <v>7</v>
      </c>
      <c r="E62" s="49">
        <v>0</v>
      </c>
      <c r="F62" s="9" t="s">
        <v>8</v>
      </c>
      <c r="G62" s="21"/>
      <c r="H62" s="56">
        <f>RADIANS(E62)</f>
        <v>0</v>
      </c>
      <c r="I62">
        <f>B59*(B62*COS(H62))</f>
        <v>0</v>
      </c>
      <c r="J62">
        <f>B62*SIN(H62)</f>
        <v>0</v>
      </c>
    </row>
    <row r="63" spans="1:10" x14ac:dyDescent="0.25">
      <c r="A63" s="1" t="s">
        <v>356</v>
      </c>
      <c r="B63" s="10">
        <f>B56*B61</f>
        <v>0</v>
      </c>
      <c r="C63" s="1" t="s">
        <v>237</v>
      </c>
      <c r="D63" s="54" t="s">
        <v>7</v>
      </c>
      <c r="E63" s="2">
        <v>90</v>
      </c>
      <c r="F63" s="9" t="s">
        <v>8</v>
      </c>
      <c r="G63" s="21"/>
      <c r="H63" s="56">
        <f>RADIANS(E63)</f>
        <v>1.5707963267948966</v>
      </c>
      <c r="I63">
        <f>B63*COS(H63)</f>
        <v>0</v>
      </c>
      <c r="J63">
        <f>B63*SIN(H63)</f>
        <v>0</v>
      </c>
    </row>
    <row r="64" spans="1:10" ht="18" x14ac:dyDescent="0.35">
      <c r="A64" s="1" t="s">
        <v>377</v>
      </c>
      <c r="B64" s="205">
        <f>SQRT(I59^2+J59^2)</f>
        <v>0</v>
      </c>
      <c r="C64" s="1" t="s">
        <v>237</v>
      </c>
      <c r="D64" s="54" t="s">
        <v>7</v>
      </c>
      <c r="E64" s="19" t="e">
        <f>DEGREES(ATAN2(I59,J59))</f>
        <v>#DIV/0!</v>
      </c>
      <c r="F64" s="9" t="s">
        <v>8</v>
      </c>
      <c r="G64" s="21"/>
      <c r="H64" s="56"/>
      <c r="I64">
        <f>I62+I63</f>
        <v>0</v>
      </c>
      <c r="J64">
        <f>J62+J63</f>
        <v>0</v>
      </c>
    </row>
    <row r="65" spans="1:10" ht="18" x14ac:dyDescent="0.35">
      <c r="A65" s="1" t="s">
        <v>399</v>
      </c>
      <c r="B65" s="205">
        <f>B57*(B58*(SQRT(I64^2+J64^2)))</f>
        <v>0</v>
      </c>
      <c r="C65" s="1" t="s">
        <v>237</v>
      </c>
      <c r="D65" s="1" t="s">
        <v>7</v>
      </c>
      <c r="E65" s="19" t="e">
        <f>DEGREES(ATAN2(I64,J64))</f>
        <v>#DIV/0!</v>
      </c>
      <c r="F65" s="9" t="s">
        <v>8</v>
      </c>
      <c r="G65" s="21"/>
    </row>
    <row r="66" spans="1:10" x14ac:dyDescent="0.25">
      <c r="A66" t="s">
        <v>9</v>
      </c>
      <c r="B66">
        <v>0.08</v>
      </c>
    </row>
    <row r="67" spans="1:10" x14ac:dyDescent="0.25">
      <c r="A67" t="s">
        <v>10</v>
      </c>
      <c r="B67">
        <v>0.15</v>
      </c>
    </row>
    <row r="68" spans="1:10" ht="18" x14ac:dyDescent="0.35">
      <c r="A68" s="71" t="s">
        <v>398</v>
      </c>
      <c r="B68" s="72" t="s">
        <v>261</v>
      </c>
      <c r="C68" s="72">
        <f>C55</f>
        <v>0</v>
      </c>
      <c r="D68" s="72" t="s">
        <v>425</v>
      </c>
      <c r="E68" s="72"/>
      <c r="F68" s="72"/>
      <c r="G68" s="116"/>
      <c r="H68" t="s">
        <v>345</v>
      </c>
      <c r="I68" t="s">
        <v>220</v>
      </c>
      <c r="J68" t="s">
        <v>346</v>
      </c>
    </row>
    <row r="69" spans="1:10" x14ac:dyDescent="0.25">
      <c r="A69" s="54" t="s">
        <v>185</v>
      </c>
      <c r="B69" s="49">
        <f>B56</f>
        <v>0</v>
      </c>
      <c r="C69" s="3" t="s">
        <v>184</v>
      </c>
      <c r="D69" s="4"/>
      <c r="E69" s="4"/>
      <c r="F69" s="4"/>
      <c r="G69" s="21"/>
      <c r="H69" s="56">
        <f>RADIANS(E74)</f>
        <v>0</v>
      </c>
      <c r="I69">
        <f>B74*COS(H69)</f>
        <v>0</v>
      </c>
      <c r="J69">
        <f>B74*SIN(H69)</f>
        <v>0</v>
      </c>
    </row>
    <row r="70" spans="1:10" x14ac:dyDescent="0.25">
      <c r="A70" s="54" t="s">
        <v>376</v>
      </c>
      <c r="B70" s="226">
        <f>B52</f>
        <v>1</v>
      </c>
      <c r="C70" s="3" t="s">
        <v>130</v>
      </c>
      <c r="D70" s="4"/>
      <c r="E70" s="4"/>
      <c r="F70" s="4"/>
      <c r="G70" s="21"/>
      <c r="H70" s="56">
        <f>RADIANS(E75)</f>
        <v>1.5707963267948966</v>
      </c>
      <c r="I70">
        <f>B75*COS(H70)</f>
        <v>0</v>
      </c>
      <c r="J70">
        <f>B75*SIN(H70)</f>
        <v>0</v>
      </c>
    </row>
    <row r="71" spans="1:10" x14ac:dyDescent="0.25">
      <c r="A71" s="69" t="s">
        <v>278</v>
      </c>
      <c r="B71" s="81">
        <f>B59</f>
        <v>1.8</v>
      </c>
      <c r="C71" s="3"/>
      <c r="D71" s="4"/>
      <c r="E71" s="4"/>
      <c r="F71" s="4"/>
      <c r="G71" s="21"/>
      <c r="H71" s="56"/>
      <c r="I71">
        <f>I69+I70</f>
        <v>0</v>
      </c>
      <c r="J71">
        <f>J69+J70</f>
        <v>0</v>
      </c>
    </row>
    <row r="72" spans="1:10" x14ac:dyDescent="0.25">
      <c r="A72" s="1" t="s">
        <v>238</v>
      </c>
      <c r="B72" s="15"/>
      <c r="C72" s="3" t="s">
        <v>279</v>
      </c>
      <c r="D72" s="4"/>
      <c r="E72" s="4"/>
      <c r="F72" s="4"/>
      <c r="G72" s="21"/>
      <c r="H72">
        <f>IF(B39="AL",1,0)</f>
        <v>0</v>
      </c>
    </row>
    <row r="73" spans="1:10" x14ac:dyDescent="0.25">
      <c r="A73" s="1" t="s">
        <v>239</v>
      </c>
      <c r="B73" s="225"/>
      <c r="C73" s="3" t="s">
        <v>279</v>
      </c>
      <c r="D73" s="4"/>
      <c r="E73" s="160"/>
      <c r="F73" s="160"/>
      <c r="G73" s="21"/>
      <c r="H73" t="s">
        <v>345</v>
      </c>
      <c r="I73" t="s">
        <v>220</v>
      </c>
      <c r="J73" t="s">
        <v>346</v>
      </c>
    </row>
    <row r="74" spans="1:10" x14ac:dyDescent="0.25">
      <c r="A74" s="1" t="s">
        <v>355</v>
      </c>
      <c r="B74" s="10">
        <f>B69*B72</f>
        <v>0</v>
      </c>
      <c r="C74" s="54" t="s">
        <v>237</v>
      </c>
      <c r="D74" s="54" t="s">
        <v>7</v>
      </c>
      <c r="E74" s="49">
        <v>0</v>
      </c>
      <c r="F74" s="9" t="s">
        <v>8</v>
      </c>
      <c r="G74" s="21"/>
      <c r="H74" s="56">
        <f>RADIANS(E74)</f>
        <v>0</v>
      </c>
      <c r="I74">
        <f>B71*(B74*COS(H74))</f>
        <v>0</v>
      </c>
      <c r="J74">
        <f>B74*SIN(H74)</f>
        <v>0</v>
      </c>
    </row>
    <row r="75" spans="1:10" x14ac:dyDescent="0.25">
      <c r="A75" s="1" t="s">
        <v>356</v>
      </c>
      <c r="B75" s="10">
        <f>B69*B73</f>
        <v>0</v>
      </c>
      <c r="C75" s="1" t="s">
        <v>237</v>
      </c>
      <c r="D75" s="54" t="s">
        <v>7</v>
      </c>
      <c r="E75" s="2">
        <v>90</v>
      </c>
      <c r="F75" s="9" t="s">
        <v>8</v>
      </c>
      <c r="G75" s="21"/>
      <c r="H75" s="56">
        <f>RADIANS(E75)</f>
        <v>1.5707963267948966</v>
      </c>
      <c r="I75">
        <f>B75*COS(H75)</f>
        <v>0</v>
      </c>
      <c r="J75">
        <f>B75*SIN(H75)</f>
        <v>0</v>
      </c>
    </row>
    <row r="76" spans="1:10" ht="18" x14ac:dyDescent="0.35">
      <c r="A76" s="1" t="s">
        <v>377</v>
      </c>
      <c r="B76" s="205">
        <f>SQRT(I71^2+J71^2)</f>
        <v>0</v>
      </c>
      <c r="C76" s="1" t="s">
        <v>237</v>
      </c>
      <c r="D76" s="54" t="s">
        <v>7</v>
      </c>
      <c r="E76" s="19" t="e">
        <f>DEGREES(ATAN2(I71,J71))</f>
        <v>#DIV/0!</v>
      </c>
      <c r="F76" s="9" t="s">
        <v>8</v>
      </c>
      <c r="G76" s="21"/>
      <c r="H76" s="56"/>
      <c r="I76">
        <f>I74+I75</f>
        <v>0</v>
      </c>
      <c r="J76">
        <f>J74+J75</f>
        <v>0</v>
      </c>
    </row>
    <row r="77" spans="1:10" ht="18" x14ac:dyDescent="0.35">
      <c r="A77" s="1" t="s">
        <v>390</v>
      </c>
      <c r="B77" s="205">
        <f>B70*(SQRT(I76^2+J76^2))</f>
        <v>0</v>
      </c>
      <c r="C77" s="1" t="s">
        <v>237</v>
      </c>
      <c r="D77" s="1" t="s">
        <v>7</v>
      </c>
      <c r="E77" s="19" t="e">
        <f>DEGREES(ATAN2(I76,J76))</f>
        <v>#DIV/0!</v>
      </c>
      <c r="F77" s="9" t="s">
        <v>8</v>
      </c>
      <c r="G77" s="21"/>
    </row>
    <row r="80" spans="1:10" ht="18" x14ac:dyDescent="0.35">
      <c r="A80" s="71" t="s">
        <v>379</v>
      </c>
      <c r="B80" s="72" t="s">
        <v>5</v>
      </c>
      <c r="C80" s="72">
        <f>C55</f>
        <v>0</v>
      </c>
      <c r="D80" s="72"/>
      <c r="E80" s="72"/>
      <c r="F80" s="72"/>
      <c r="G80" s="73"/>
      <c r="H80" t="s">
        <v>345</v>
      </c>
      <c r="I80" t="s">
        <v>220</v>
      </c>
      <c r="J80" t="s">
        <v>346</v>
      </c>
    </row>
    <row r="81" spans="1:11" ht="18" x14ac:dyDescent="0.35">
      <c r="A81" s="54" t="s">
        <v>347</v>
      </c>
      <c r="B81" s="197" t="e">
        <f>IM!$B$33</f>
        <v>#N/A</v>
      </c>
      <c r="C81" s="69" t="s">
        <v>237</v>
      </c>
      <c r="D81" s="54" t="s">
        <v>7</v>
      </c>
      <c r="E81" s="184" t="e">
        <f>IM!$E$33</f>
        <v>#N/A</v>
      </c>
      <c r="F81" s="20" t="s">
        <v>8</v>
      </c>
      <c r="G81" s="61"/>
      <c r="H81" s="56" t="e">
        <f>RADIANS(E81)</f>
        <v>#N/A</v>
      </c>
      <c r="I81" t="e">
        <f>B81*COS(H81)</f>
        <v>#N/A</v>
      </c>
      <c r="J81" t="e">
        <f>B81*SIN(H81)</f>
        <v>#N/A</v>
      </c>
    </row>
    <row r="82" spans="1:11" ht="18" x14ac:dyDescent="0.35">
      <c r="A82" s="31" t="s">
        <v>348</v>
      </c>
      <c r="B82" s="198" t="e">
        <f>IM!$B$54</f>
        <v>#DIV/0!</v>
      </c>
      <c r="C82" s="199" t="s">
        <v>237</v>
      </c>
      <c r="D82" s="31" t="s">
        <v>7</v>
      </c>
      <c r="E82" s="200" t="e">
        <f>IM!$E$54</f>
        <v>#DIV/0!</v>
      </c>
      <c r="F82" s="201" t="s">
        <v>8</v>
      </c>
      <c r="G82" s="173"/>
      <c r="H82" s="56" t="e">
        <f>RADIANS(E82)</f>
        <v>#DIV/0!</v>
      </c>
      <c r="I82" t="e">
        <f>B82*COS(H82)</f>
        <v>#DIV/0!</v>
      </c>
      <c r="J82" t="e">
        <f>B82*SIN(H82)</f>
        <v>#DIV/0!</v>
      </c>
      <c r="K82" t="s">
        <v>173</v>
      </c>
    </row>
    <row r="83" spans="1:11" ht="18" x14ac:dyDescent="0.35">
      <c r="A83" s="105" t="s">
        <v>383</v>
      </c>
      <c r="B83" s="202"/>
      <c r="C83" s="203"/>
      <c r="D83" s="103"/>
      <c r="E83" s="202"/>
      <c r="F83" s="203"/>
      <c r="G83" s="104"/>
      <c r="H83" s="56"/>
    </row>
    <row r="84" spans="1:11" x14ac:dyDescent="0.25">
      <c r="A84" s="54" t="s">
        <v>303</v>
      </c>
      <c r="B84" s="197"/>
      <c r="C84" s="69" t="s">
        <v>237</v>
      </c>
      <c r="D84" s="54" t="s">
        <v>7</v>
      </c>
      <c r="E84" s="197"/>
      <c r="F84" s="20" t="s">
        <v>8</v>
      </c>
      <c r="G84" s="61"/>
      <c r="H84" s="56">
        <f>RADIANS(E84)</f>
        <v>0</v>
      </c>
      <c r="I84">
        <f>B84*COS(H84)</f>
        <v>0</v>
      </c>
      <c r="J84">
        <f>B84*SIN(H84)</f>
        <v>0</v>
      </c>
    </row>
    <row r="85" spans="1:11" x14ac:dyDescent="0.25">
      <c r="A85" s="1" t="s">
        <v>175</v>
      </c>
      <c r="B85" s="204"/>
      <c r="C85" s="69" t="s">
        <v>237</v>
      </c>
      <c r="D85" s="54" t="s">
        <v>7</v>
      </c>
      <c r="E85" s="204"/>
      <c r="F85" s="20" t="s">
        <v>8</v>
      </c>
      <c r="G85" s="61"/>
      <c r="H85" s="56">
        <f t="shared" ref="H85:H88" si="0">RADIANS(E85)</f>
        <v>0</v>
      </c>
      <c r="I85">
        <f t="shared" ref="I85:I88" si="1">B85*COS(H85)</f>
        <v>0</v>
      </c>
      <c r="J85">
        <f t="shared" ref="J85:J88" si="2">B85*SIN(H85)</f>
        <v>0</v>
      </c>
    </row>
    <row r="86" spans="1:11" x14ac:dyDescent="0.25">
      <c r="A86" s="1" t="s">
        <v>335</v>
      </c>
      <c r="B86" s="204"/>
      <c r="C86" s="69" t="s">
        <v>237</v>
      </c>
      <c r="D86" s="54" t="s">
        <v>7</v>
      </c>
      <c r="E86" s="204"/>
      <c r="F86" s="20" t="s">
        <v>8</v>
      </c>
      <c r="G86" s="61"/>
      <c r="H86" s="56">
        <f t="shared" si="0"/>
        <v>0</v>
      </c>
      <c r="I86">
        <f t="shared" si="1"/>
        <v>0</v>
      </c>
      <c r="J86">
        <f t="shared" si="2"/>
        <v>0</v>
      </c>
    </row>
    <row r="87" spans="1:11" x14ac:dyDescent="0.25">
      <c r="A87" s="1" t="s">
        <v>336</v>
      </c>
      <c r="B87" s="204"/>
      <c r="C87" s="69" t="s">
        <v>237</v>
      </c>
      <c r="D87" s="54" t="s">
        <v>7</v>
      </c>
      <c r="E87" s="204"/>
      <c r="F87" s="20" t="s">
        <v>8</v>
      </c>
      <c r="G87" s="61"/>
      <c r="H87" s="56">
        <f t="shared" si="0"/>
        <v>0</v>
      </c>
      <c r="I87">
        <f t="shared" si="1"/>
        <v>0</v>
      </c>
      <c r="J87">
        <f t="shared" si="2"/>
        <v>0</v>
      </c>
    </row>
    <row r="88" spans="1:11" x14ac:dyDescent="0.25">
      <c r="A88" s="1" t="s">
        <v>337</v>
      </c>
      <c r="B88" s="204"/>
      <c r="C88" s="69" t="s">
        <v>237</v>
      </c>
      <c r="D88" s="54" t="s">
        <v>7</v>
      </c>
      <c r="E88" s="204"/>
      <c r="F88" s="20" t="s">
        <v>8</v>
      </c>
      <c r="G88" s="61"/>
      <c r="H88" s="56">
        <f t="shared" si="0"/>
        <v>0</v>
      </c>
      <c r="I88">
        <f t="shared" si="1"/>
        <v>0</v>
      </c>
      <c r="J88">
        <f t="shared" si="2"/>
        <v>0</v>
      </c>
    </row>
    <row r="89" spans="1:11" ht="18" x14ac:dyDescent="0.35">
      <c r="A89" s="1" t="s">
        <v>381</v>
      </c>
      <c r="B89" s="205" t="e">
        <f>SQRT(I89^2+J89^2)</f>
        <v>#N/A</v>
      </c>
      <c r="C89" s="69" t="s">
        <v>237</v>
      </c>
      <c r="D89" s="54" t="s">
        <v>7</v>
      </c>
      <c r="E89" s="19" t="e">
        <f>DEGREES(ATAN2(I89,J89))</f>
        <v>#N/A</v>
      </c>
      <c r="F89" s="20" t="s">
        <v>8</v>
      </c>
      <c r="G89" s="61"/>
      <c r="I89" t="e">
        <f>I81+I82+I84+I85+I86+I87+I88</f>
        <v>#N/A</v>
      </c>
      <c r="J89" t="e">
        <f>J81+J82+J84+J85+J86+J87+J88</f>
        <v>#N/A</v>
      </c>
    </row>
    <row r="92" spans="1:11" ht="18" x14ac:dyDescent="0.35">
      <c r="A92" s="71" t="s">
        <v>380</v>
      </c>
      <c r="B92" s="72" t="s">
        <v>5</v>
      </c>
      <c r="C92" s="72">
        <f>C80</f>
        <v>0</v>
      </c>
      <c r="D92" s="72"/>
      <c r="E92" s="72"/>
      <c r="F92" s="72"/>
      <c r="G92" s="73"/>
      <c r="H92" t="s">
        <v>345</v>
      </c>
      <c r="I92" t="s">
        <v>220</v>
      </c>
      <c r="J92" t="s">
        <v>346</v>
      </c>
    </row>
    <row r="93" spans="1:11" ht="18" x14ac:dyDescent="0.35">
      <c r="A93" s="54" t="s">
        <v>353</v>
      </c>
      <c r="B93" s="197" t="e">
        <f>IM!$B$34</f>
        <v>#N/A</v>
      </c>
      <c r="C93" s="69" t="s">
        <v>237</v>
      </c>
      <c r="D93" s="54" t="s">
        <v>7</v>
      </c>
      <c r="E93" s="184" t="e">
        <f>IM!$E$34</f>
        <v>#N/A</v>
      </c>
      <c r="F93" s="20" t="s">
        <v>8</v>
      </c>
      <c r="G93" s="61"/>
      <c r="H93" s="56" t="e">
        <f>RADIANS(E93)</f>
        <v>#N/A</v>
      </c>
      <c r="I93" t="e">
        <f>B93*COS(H93)</f>
        <v>#N/A</v>
      </c>
      <c r="J93" t="e">
        <f>B93*SIN(H93)</f>
        <v>#N/A</v>
      </c>
    </row>
    <row r="94" spans="1:11" ht="18" x14ac:dyDescent="0.35">
      <c r="A94" s="31" t="s">
        <v>348</v>
      </c>
      <c r="B94" s="198" t="e">
        <f>B82</f>
        <v>#DIV/0!</v>
      </c>
      <c r="C94" s="199" t="s">
        <v>237</v>
      </c>
      <c r="D94" s="31" t="s">
        <v>7</v>
      </c>
      <c r="E94" s="200" t="e">
        <f>E82</f>
        <v>#DIV/0!</v>
      </c>
      <c r="F94" s="201" t="s">
        <v>8</v>
      </c>
      <c r="G94" s="173"/>
      <c r="H94" s="56" t="e">
        <f>RADIANS(E94)</f>
        <v>#DIV/0!</v>
      </c>
      <c r="I94" t="e">
        <f>B94*COS(H94)</f>
        <v>#DIV/0!</v>
      </c>
      <c r="J94" t="e">
        <f>B94*SIN(H94)</f>
        <v>#DIV/0!</v>
      </c>
    </row>
    <row r="95" spans="1:11" ht="18" x14ac:dyDescent="0.35">
      <c r="A95" s="105" t="s">
        <v>384</v>
      </c>
      <c r="B95" s="202"/>
      <c r="C95" s="203"/>
      <c r="D95" s="103"/>
      <c r="E95" s="202"/>
      <c r="F95" s="203"/>
      <c r="G95" s="104"/>
      <c r="H95" s="56"/>
    </row>
    <row r="96" spans="1:11" x14ac:dyDescent="0.25">
      <c r="A96" s="1" t="str">
        <f>A84</f>
        <v>W1</v>
      </c>
      <c r="B96" s="204"/>
      <c r="C96" s="69" t="s">
        <v>237</v>
      </c>
      <c r="D96" s="54" t="s">
        <v>7</v>
      </c>
      <c r="E96" s="204"/>
      <c r="F96" s="20" t="s">
        <v>8</v>
      </c>
      <c r="G96" s="61"/>
      <c r="H96" s="56">
        <f>RADIANS(E96)</f>
        <v>0</v>
      </c>
      <c r="I96">
        <f>B96*COS(H96)</f>
        <v>0</v>
      </c>
      <c r="J96">
        <f>B96*SIN(H96)</f>
        <v>0</v>
      </c>
    </row>
    <row r="97" spans="1:10" x14ac:dyDescent="0.25">
      <c r="A97" s="1" t="str">
        <f t="shared" ref="A97:A100" si="3">A85</f>
        <v>W2</v>
      </c>
      <c r="B97" s="204"/>
      <c r="C97" s="69" t="s">
        <v>237</v>
      </c>
      <c r="D97" s="54" t="s">
        <v>7</v>
      </c>
      <c r="E97" s="204"/>
      <c r="F97" s="20" t="s">
        <v>8</v>
      </c>
      <c r="G97" s="61"/>
      <c r="H97" s="56">
        <f>RADIANS(E97)</f>
        <v>0</v>
      </c>
      <c r="I97">
        <f t="shared" ref="I97:I100" si="4">B97*COS(H97)</f>
        <v>0</v>
      </c>
      <c r="J97">
        <f t="shared" ref="J97:J100" si="5">B97*SIN(H97)</f>
        <v>0</v>
      </c>
    </row>
    <row r="98" spans="1:10" x14ac:dyDescent="0.25">
      <c r="A98" s="1" t="str">
        <f t="shared" si="3"/>
        <v>W3</v>
      </c>
      <c r="B98" s="204"/>
      <c r="C98" s="69" t="s">
        <v>237</v>
      </c>
      <c r="D98" s="54" t="s">
        <v>7</v>
      </c>
      <c r="E98" s="204"/>
      <c r="F98" s="20" t="s">
        <v>8</v>
      </c>
      <c r="G98" s="61"/>
      <c r="H98" s="56">
        <f t="shared" ref="H98:H100" si="6">RADIANS(E98)</f>
        <v>0</v>
      </c>
      <c r="I98">
        <f t="shared" si="4"/>
        <v>0</v>
      </c>
      <c r="J98">
        <f t="shared" si="5"/>
        <v>0</v>
      </c>
    </row>
    <row r="99" spans="1:10" x14ac:dyDescent="0.25">
      <c r="A99" s="1" t="str">
        <f t="shared" si="3"/>
        <v>W4</v>
      </c>
      <c r="B99" s="204"/>
      <c r="C99" s="69" t="s">
        <v>237</v>
      </c>
      <c r="D99" s="54" t="s">
        <v>7</v>
      </c>
      <c r="E99" s="204"/>
      <c r="F99" s="20" t="s">
        <v>8</v>
      </c>
      <c r="G99" s="61"/>
      <c r="H99" s="56">
        <f t="shared" si="6"/>
        <v>0</v>
      </c>
      <c r="I99">
        <f t="shared" si="4"/>
        <v>0</v>
      </c>
      <c r="J99">
        <f t="shared" si="5"/>
        <v>0</v>
      </c>
    </row>
    <row r="100" spans="1:10" x14ac:dyDescent="0.25">
      <c r="A100" s="1" t="str">
        <f t="shared" si="3"/>
        <v>W5</v>
      </c>
      <c r="B100" s="204"/>
      <c r="C100" s="69" t="s">
        <v>237</v>
      </c>
      <c r="D100" s="54" t="s">
        <v>7</v>
      </c>
      <c r="E100" s="204"/>
      <c r="F100" s="20" t="s">
        <v>8</v>
      </c>
      <c r="G100" s="61"/>
      <c r="H100" s="56">
        <f t="shared" si="6"/>
        <v>0</v>
      </c>
      <c r="I100">
        <f t="shared" si="4"/>
        <v>0</v>
      </c>
      <c r="J100">
        <f t="shared" si="5"/>
        <v>0</v>
      </c>
    </row>
    <row r="101" spans="1:10" ht="18" x14ac:dyDescent="0.35">
      <c r="A101" s="1" t="s">
        <v>382</v>
      </c>
      <c r="B101" s="205" t="e">
        <f>SQRT(I101^2+J101^2)</f>
        <v>#N/A</v>
      </c>
      <c r="C101" s="69" t="s">
        <v>237</v>
      </c>
      <c r="D101" s="54" t="s">
        <v>7</v>
      </c>
      <c r="E101" s="19" t="e">
        <f>DEGREES(ATAN2(I101,J101))</f>
        <v>#N/A</v>
      </c>
      <c r="F101" s="20" t="s">
        <v>8</v>
      </c>
      <c r="G101" s="61"/>
      <c r="I101" t="e">
        <f>I93+I94+I96+I97+I98+I99+I100</f>
        <v>#N/A</v>
      </c>
      <c r="J101" t="e">
        <f>J93+J94+J96+J97+J98+J99+J100</f>
        <v>#N/A</v>
      </c>
    </row>
    <row r="104" spans="1:10" ht="18" x14ac:dyDescent="0.35">
      <c r="A104" s="71" t="s">
        <v>236</v>
      </c>
      <c r="B104" s="82" t="s">
        <v>5</v>
      </c>
      <c r="C104" s="78">
        <f>C6</f>
        <v>0</v>
      </c>
      <c r="D104" s="78"/>
      <c r="E104" s="72"/>
      <c r="F104" s="74"/>
      <c r="G104" s="117"/>
    </row>
    <row r="105" spans="1:10" ht="18" x14ac:dyDescent="0.35">
      <c r="A105" s="1" t="s">
        <v>166</v>
      </c>
      <c r="B105" s="34">
        <v>400</v>
      </c>
      <c r="C105" s="3" t="s">
        <v>12</v>
      </c>
      <c r="D105" s="4"/>
      <c r="E105" s="4"/>
      <c r="F105" s="26"/>
      <c r="G105" s="27"/>
    </row>
    <row r="106" spans="1:10" ht="18" x14ac:dyDescent="0.35">
      <c r="A106" s="3" t="s">
        <v>432</v>
      </c>
      <c r="B106" s="204" t="e">
        <f>B89</f>
        <v>#N/A</v>
      </c>
      <c r="C106" s="69" t="s">
        <v>237</v>
      </c>
      <c r="D106" s="54" t="s">
        <v>7</v>
      </c>
      <c r="E106" s="184">
        <f>E97</f>
        <v>0</v>
      </c>
      <c r="F106" s="9" t="s">
        <v>8</v>
      </c>
      <c r="G106" s="21"/>
    </row>
    <row r="107" spans="1:10" ht="18" x14ac:dyDescent="0.35">
      <c r="A107" s="54" t="s">
        <v>434</v>
      </c>
      <c r="B107" s="91" t="e">
        <f>B105/(SQRT(3)*B106)</f>
        <v>#N/A</v>
      </c>
      <c r="C107" s="1" t="s">
        <v>80</v>
      </c>
      <c r="D107" s="1" t="s">
        <v>7</v>
      </c>
      <c r="E107" s="208" t="e">
        <f>E89</f>
        <v>#N/A</v>
      </c>
      <c r="F107" s="9" t="s">
        <v>8</v>
      </c>
      <c r="G107" s="21"/>
    </row>
    <row r="110" spans="1:10" ht="18" x14ac:dyDescent="0.35">
      <c r="A110" s="71" t="s">
        <v>438</v>
      </c>
      <c r="B110" s="82" t="s">
        <v>5</v>
      </c>
      <c r="C110" s="78">
        <f>C104</f>
        <v>0</v>
      </c>
      <c r="D110" s="78"/>
      <c r="E110" s="72"/>
      <c r="F110" s="74"/>
      <c r="G110" s="117"/>
    </row>
    <row r="111" spans="1:10" ht="18" x14ac:dyDescent="0.35">
      <c r="A111" s="1" t="s">
        <v>166</v>
      </c>
      <c r="B111" s="34">
        <v>400</v>
      </c>
      <c r="C111" s="121" t="s">
        <v>12</v>
      </c>
      <c r="D111" s="122"/>
      <c r="E111" s="122"/>
      <c r="F111" s="124"/>
      <c r="G111" s="125"/>
    </row>
    <row r="112" spans="1:10" ht="18" x14ac:dyDescent="0.35">
      <c r="A112" s="3" t="s">
        <v>433</v>
      </c>
      <c r="B112" s="204" t="e">
        <f>B101</f>
        <v>#N/A</v>
      </c>
      <c r="C112" s="69" t="s">
        <v>237</v>
      </c>
      <c r="D112" s="54" t="s">
        <v>7</v>
      </c>
      <c r="E112" s="184" t="e">
        <f>E101</f>
        <v>#N/A</v>
      </c>
      <c r="F112" s="9" t="s">
        <v>8</v>
      </c>
      <c r="G112" s="21"/>
    </row>
    <row r="113" spans="1:10" ht="18" x14ac:dyDescent="0.35">
      <c r="A113" s="54" t="s">
        <v>437</v>
      </c>
      <c r="B113" s="91" t="e">
        <f>B111/(SQRT(3)*B112)</f>
        <v>#N/A</v>
      </c>
      <c r="C113" s="1" t="s">
        <v>80</v>
      </c>
      <c r="D113" s="1" t="s">
        <v>7</v>
      </c>
      <c r="E113" s="186" t="e">
        <f>-E112</f>
        <v>#N/A</v>
      </c>
      <c r="F113" s="9" t="s">
        <v>8</v>
      </c>
      <c r="G113" s="21"/>
    </row>
    <row r="116" spans="1:10" x14ac:dyDescent="0.25">
      <c r="A116" s="71" t="s">
        <v>4</v>
      </c>
      <c r="B116" s="72" t="s">
        <v>5</v>
      </c>
      <c r="C116" s="74">
        <f>C6</f>
        <v>0</v>
      </c>
      <c r="D116" s="74"/>
      <c r="E116" s="74"/>
      <c r="F116" s="74"/>
      <c r="G116" s="117"/>
      <c r="I116">
        <f>IF(B17="CU",1,0)</f>
        <v>0</v>
      </c>
      <c r="J116">
        <f>IF(B17="AL",1,0)</f>
        <v>0</v>
      </c>
    </row>
    <row r="117" spans="1:10" x14ac:dyDescent="0.25">
      <c r="A117" s="54" t="s">
        <v>23</v>
      </c>
      <c r="B117" s="134">
        <f>I117+J117</f>
        <v>0</v>
      </c>
      <c r="C117" s="3"/>
      <c r="D117" s="4" t="s">
        <v>447</v>
      </c>
      <c r="E117" s="4"/>
      <c r="F117" s="4"/>
      <c r="G117" s="21"/>
      <c r="I117">
        <f>IF(I116=1,143,0)</f>
        <v>0</v>
      </c>
      <c r="J117">
        <f>IF(J116=1,94,0)</f>
        <v>0</v>
      </c>
    </row>
    <row r="118" spans="1:10" ht="17.25" x14ac:dyDescent="0.25">
      <c r="A118" s="1" t="s">
        <v>20</v>
      </c>
      <c r="B118" s="219">
        <f>D32</f>
        <v>0</v>
      </c>
      <c r="C118" s="43" t="s">
        <v>21</v>
      </c>
      <c r="D118" s="51"/>
      <c r="E118" s="51"/>
      <c r="F118" s="51"/>
      <c r="G118" s="173"/>
    </row>
    <row r="119" spans="1:10" ht="18" x14ac:dyDescent="0.35">
      <c r="A119" s="1" t="s">
        <v>339</v>
      </c>
      <c r="B119" s="227">
        <f>B12</f>
        <v>0</v>
      </c>
      <c r="C119" s="25" t="s">
        <v>80</v>
      </c>
      <c r="D119" s="26"/>
      <c r="E119" s="26"/>
      <c r="F119" s="26"/>
      <c r="G119" s="27"/>
    </row>
    <row r="120" spans="1:10" ht="17.25" x14ac:dyDescent="0.25">
      <c r="A120" s="1" t="s">
        <v>245</v>
      </c>
      <c r="B120" s="38"/>
      <c r="C120" s="3" t="s">
        <v>32</v>
      </c>
      <c r="D120" s="4" t="s">
        <v>240</v>
      </c>
      <c r="E120" s="4"/>
      <c r="F120" s="4"/>
      <c r="G120" s="21"/>
    </row>
    <row r="121" spans="1:10" ht="17.25" x14ac:dyDescent="0.25">
      <c r="A121" s="1" t="s">
        <v>93</v>
      </c>
      <c r="B121" s="141">
        <f>(B117*B118)^2</f>
        <v>0</v>
      </c>
      <c r="C121" s="43" t="s">
        <v>32</v>
      </c>
      <c r="D121" s="48"/>
      <c r="E121" s="51"/>
      <c r="F121" s="51"/>
      <c r="G121" s="173"/>
    </row>
    <row r="122" spans="1:10" ht="17.25" x14ac:dyDescent="0.25">
      <c r="A122" s="3" t="s">
        <v>246</v>
      </c>
      <c r="B122" s="28" t="s">
        <v>195</v>
      </c>
      <c r="C122" s="118"/>
      <c r="D122" s="118" t="str">
        <f>IF(B120&lt;=B121,"OK","Ikke OK")</f>
        <v>OK</v>
      </c>
      <c r="E122" s="3"/>
      <c r="F122" s="4"/>
      <c r="G122" s="21"/>
    </row>
    <row r="125" spans="1:10" x14ac:dyDescent="0.25">
      <c r="A125" s="71" t="s">
        <v>97</v>
      </c>
      <c r="B125" s="72" t="s">
        <v>5</v>
      </c>
      <c r="C125" s="72">
        <f>C116</f>
        <v>0</v>
      </c>
      <c r="D125" s="72"/>
      <c r="E125" s="72"/>
      <c r="F125" s="72"/>
      <c r="G125" s="116"/>
    </row>
    <row r="126" spans="1:10" x14ac:dyDescent="0.25">
      <c r="A126" s="105" t="s">
        <v>96</v>
      </c>
      <c r="B126" s="238" t="s">
        <v>470</v>
      </c>
      <c r="C126" s="103"/>
      <c r="D126" s="103"/>
      <c r="E126" s="103"/>
      <c r="F126" s="103"/>
      <c r="G126" s="104"/>
      <c r="H126" t="s">
        <v>453</v>
      </c>
    </row>
    <row r="127" spans="1:10" ht="18" x14ac:dyDescent="0.35">
      <c r="A127" s="1" t="s">
        <v>177</v>
      </c>
      <c r="B127" s="187">
        <f>B9</f>
        <v>0</v>
      </c>
      <c r="C127" s="251" t="s">
        <v>2</v>
      </c>
      <c r="D127" s="252"/>
      <c r="E127" s="4"/>
      <c r="F127" s="4"/>
      <c r="G127" s="21"/>
    </row>
    <row r="128" spans="1:10" ht="18" x14ac:dyDescent="0.35">
      <c r="A128" s="1" t="s">
        <v>439</v>
      </c>
      <c r="B128" s="204" t="e">
        <f>B113*10^3</f>
        <v>#N/A</v>
      </c>
      <c r="C128" s="3" t="s">
        <v>2</v>
      </c>
      <c r="D128" s="194"/>
      <c r="E128" s="4"/>
      <c r="F128" s="4"/>
      <c r="G128" s="21"/>
    </row>
    <row r="129" spans="1:14" ht="18" x14ac:dyDescent="0.35">
      <c r="A129" s="3" t="s">
        <v>468</v>
      </c>
      <c r="B129" s="10">
        <f>5*B127</f>
        <v>0</v>
      </c>
      <c r="C129" s="48" t="s">
        <v>2</v>
      </c>
      <c r="D129" s="241"/>
      <c r="E129" s="4"/>
      <c r="F129" s="4"/>
      <c r="G129" s="21"/>
    </row>
    <row r="130" spans="1:14" ht="18" x14ac:dyDescent="0.35">
      <c r="A130" s="3" t="s">
        <v>458</v>
      </c>
      <c r="B130" s="28" t="s">
        <v>97</v>
      </c>
      <c r="C130" s="46"/>
      <c r="D130" s="46"/>
      <c r="E130" s="239" t="e">
        <f>IF(B129&lt;=B128,"OK","Ikke OK")</f>
        <v>#N/A</v>
      </c>
      <c r="F130" s="4"/>
      <c r="G130" s="21"/>
    </row>
    <row r="131" spans="1:14" x14ac:dyDescent="0.25">
      <c r="A131" s="105" t="s">
        <v>95</v>
      </c>
      <c r="B131" s="238" t="s">
        <v>470</v>
      </c>
      <c r="C131" s="238"/>
      <c r="D131" s="103"/>
      <c r="E131" s="103"/>
      <c r="F131" s="103"/>
      <c r="G131" s="104"/>
    </row>
    <row r="132" spans="1:14" ht="18" x14ac:dyDescent="0.35">
      <c r="A132" s="1" t="s">
        <v>177</v>
      </c>
      <c r="B132" s="187">
        <f>B127</f>
        <v>0</v>
      </c>
      <c r="C132" s="251" t="s">
        <v>2</v>
      </c>
      <c r="D132" s="252"/>
      <c r="E132" s="4"/>
      <c r="F132" s="4"/>
      <c r="G132" s="21"/>
    </row>
    <row r="133" spans="1:14" ht="18" x14ac:dyDescent="0.35">
      <c r="A133" s="1" t="s">
        <v>439</v>
      </c>
      <c r="B133" s="204" t="e">
        <f>B128</f>
        <v>#N/A</v>
      </c>
      <c r="C133" s="3" t="s">
        <v>2</v>
      </c>
      <c r="D133" s="194"/>
      <c r="E133" s="4"/>
      <c r="F133" s="4"/>
      <c r="G133" s="21"/>
    </row>
    <row r="134" spans="1:14" ht="18" x14ac:dyDescent="0.35">
      <c r="A134" s="3" t="s">
        <v>469</v>
      </c>
      <c r="B134" s="10">
        <f>10*B132</f>
        <v>0</v>
      </c>
      <c r="C134" s="48" t="s">
        <v>2</v>
      </c>
      <c r="D134" s="241"/>
      <c r="E134" s="4"/>
      <c r="F134" s="4"/>
      <c r="G134" s="21"/>
    </row>
    <row r="135" spans="1:14" ht="18" x14ac:dyDescent="0.35">
      <c r="A135" s="3" t="s">
        <v>458</v>
      </c>
      <c r="B135" s="28" t="s">
        <v>97</v>
      </c>
      <c r="C135" s="46"/>
      <c r="D135" s="46"/>
      <c r="E135" s="239" t="e">
        <f>IF(B134&lt;=B133,"OK","Ikke OK")</f>
        <v>#N/A</v>
      </c>
      <c r="F135" s="4"/>
      <c r="G135" s="21"/>
    </row>
    <row r="137" spans="1:14" x14ac:dyDescent="0.25">
      <c r="K137" s="66" t="s">
        <v>270</v>
      </c>
    </row>
    <row r="138" spans="1:14" x14ac:dyDescent="0.25">
      <c r="A138" s="71" t="s">
        <v>260</v>
      </c>
      <c r="B138" s="72" t="s">
        <v>261</v>
      </c>
      <c r="C138" s="72">
        <f>C125</f>
        <v>0</v>
      </c>
      <c r="D138" s="72"/>
      <c r="E138" s="72"/>
      <c r="F138" s="72"/>
      <c r="G138" s="73"/>
      <c r="K138" t="s">
        <v>269</v>
      </c>
    </row>
    <row r="139" spans="1:14" ht="18" x14ac:dyDescent="0.35">
      <c r="A139" s="1" t="s">
        <v>472</v>
      </c>
      <c r="B139" s="178">
        <f>40*10^-3</f>
        <v>0.04</v>
      </c>
      <c r="C139" s="3" t="s">
        <v>19</v>
      </c>
      <c r="D139" s="4"/>
      <c r="E139" s="4"/>
      <c r="F139" s="4"/>
      <c r="G139" s="21"/>
    </row>
    <row r="140" spans="1:14" ht="18" x14ac:dyDescent="0.35">
      <c r="A140" s="1" t="s">
        <v>262</v>
      </c>
      <c r="B140" s="15">
        <f>IF(J140=1,M140+N140,M141+N141)</f>
        <v>0.4</v>
      </c>
      <c r="C140" s="3" t="s">
        <v>19</v>
      </c>
      <c r="D140" s="4" t="s">
        <v>445</v>
      </c>
      <c r="E140" s="4"/>
      <c r="F140" s="4"/>
      <c r="G140" s="21"/>
      <c r="I140" t="s">
        <v>267</v>
      </c>
      <c r="J140">
        <f>IF(B3="TT",1,0)</f>
        <v>0</v>
      </c>
      <c r="K140" s="86">
        <v>0</v>
      </c>
      <c r="L140">
        <f>IF(K140=1,63,32)</f>
        <v>32</v>
      </c>
      <c r="M140">
        <f>IF(B9&lt;=L140,0.2,0)</f>
        <v>0.2</v>
      </c>
      <c r="N140">
        <f>IF(B9&gt;L140,1,0)</f>
        <v>0</v>
      </c>
    </row>
    <row r="141" spans="1:14" ht="18" x14ac:dyDescent="0.35">
      <c r="A141" s="1" t="s">
        <v>365</v>
      </c>
      <c r="B141" s="28" t="s">
        <v>260</v>
      </c>
      <c r="C141" s="46"/>
      <c r="D141" s="29" t="str">
        <f>IF(B139&lt;=B140,"OK","Ikke OK")</f>
        <v>OK</v>
      </c>
      <c r="E141" s="4"/>
      <c r="F141" s="4"/>
      <c r="G141" s="21"/>
      <c r="I141" t="s">
        <v>268</v>
      </c>
      <c r="J141">
        <f>IF(B3="TT",0,1)</f>
        <v>1</v>
      </c>
      <c r="K141" s="86">
        <v>0</v>
      </c>
      <c r="L141">
        <f>IF(K141=1,63,32)</f>
        <v>32</v>
      </c>
      <c r="M141">
        <f>IF(B9&lt;=L141,0.4,0)</f>
        <v>0.4</v>
      </c>
      <c r="N141">
        <f>IF(B9&gt;L141,5,0)</f>
        <v>0</v>
      </c>
    </row>
    <row r="144" spans="1:14" x14ac:dyDescent="0.25">
      <c r="A144" s="71" t="s">
        <v>441</v>
      </c>
      <c r="B144" s="72" t="s">
        <v>5</v>
      </c>
      <c r="C144" s="72">
        <f>C138</f>
        <v>0</v>
      </c>
      <c r="D144" s="72"/>
      <c r="E144" s="72"/>
      <c r="F144" s="72"/>
      <c r="G144" s="73"/>
    </row>
    <row r="145" spans="1:7" ht="18" x14ac:dyDescent="0.35">
      <c r="A145" s="54" t="s">
        <v>177</v>
      </c>
      <c r="B145" s="187">
        <f>B9</f>
        <v>0</v>
      </c>
      <c r="C145" s="43" t="s">
        <v>2</v>
      </c>
      <c r="D145" s="48"/>
      <c r="E145" s="48"/>
      <c r="F145" s="48"/>
      <c r="G145" s="61"/>
    </row>
    <row r="146" spans="1:7" ht="18" x14ac:dyDescent="0.35">
      <c r="A146" s="1" t="s">
        <v>442</v>
      </c>
      <c r="B146" s="15">
        <v>32</v>
      </c>
      <c r="C146" s="3" t="s">
        <v>2</v>
      </c>
      <c r="D146" s="4" t="s">
        <v>443</v>
      </c>
      <c r="E146" s="4"/>
      <c r="F146" s="4"/>
      <c r="G146" s="21"/>
    </row>
    <row r="147" spans="1:7" ht="18" x14ac:dyDescent="0.35">
      <c r="A147" s="1" t="s">
        <v>444</v>
      </c>
      <c r="B147" s="14" t="str">
        <f>IF(B145&gt;B146,"Ikke RCD","RCD")</f>
        <v>RCD</v>
      </c>
      <c r="C147" s="3"/>
      <c r="D147" s="4"/>
      <c r="E147" s="4"/>
      <c r="F147" s="4"/>
      <c r="G147" s="21"/>
    </row>
    <row r="149" spans="1:7" x14ac:dyDescent="0.25">
      <c r="A149" s="51" t="s">
        <v>473</v>
      </c>
    </row>
  </sheetData>
  <mergeCells count="4">
    <mergeCell ref="C7:D7"/>
    <mergeCell ref="C9:D9"/>
    <mergeCell ref="C127:D127"/>
    <mergeCell ref="C132:D13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77"/>
  <sheetViews>
    <sheetView workbookViewId="0">
      <selection activeCell="B20" sqref="B20"/>
    </sheetView>
  </sheetViews>
  <sheetFormatPr defaultRowHeight="15" x14ac:dyDescent="0.25"/>
  <cols>
    <col min="1" max="1" width="32" customWidth="1"/>
    <col min="2" max="6" width="10.7109375" customWidth="1"/>
    <col min="7" max="7" width="5.7109375" customWidth="1"/>
    <col min="9" max="9" width="12" bestFit="1" customWidth="1"/>
  </cols>
  <sheetData>
    <row r="3" spans="1:9" x14ac:dyDescent="0.25">
      <c r="A3" s="71" t="s">
        <v>186</v>
      </c>
      <c r="B3" s="72"/>
      <c r="C3" s="72"/>
      <c r="D3" s="151"/>
      <c r="E3" s="72"/>
      <c r="F3" s="74"/>
      <c r="G3" s="117"/>
    </row>
    <row r="4" spans="1:9" ht="18" x14ac:dyDescent="0.35">
      <c r="A4" s="54" t="s">
        <v>1</v>
      </c>
      <c r="B4" s="60"/>
      <c r="C4" s="251" t="s">
        <v>2</v>
      </c>
      <c r="D4" s="252"/>
      <c r="E4" s="4"/>
      <c r="F4" s="4"/>
      <c r="G4" s="21"/>
    </row>
    <row r="5" spans="1:9" ht="18" x14ac:dyDescent="0.35">
      <c r="A5" s="1" t="s">
        <v>226</v>
      </c>
      <c r="B5" s="35"/>
      <c r="C5" s="255" t="s">
        <v>80</v>
      </c>
      <c r="D5" s="256"/>
      <c r="E5" s="122"/>
      <c r="F5" s="122"/>
      <c r="G5" s="123"/>
    </row>
    <row r="6" spans="1:9" ht="18" x14ac:dyDescent="0.35">
      <c r="A6" s="1" t="s">
        <v>179</v>
      </c>
      <c r="B6" s="38"/>
      <c r="C6" s="251" t="s">
        <v>80</v>
      </c>
      <c r="D6" s="252"/>
      <c r="E6" s="4"/>
      <c r="F6" s="4"/>
      <c r="G6" s="21"/>
    </row>
    <row r="7" spans="1:9" ht="18.75" x14ac:dyDescent="0.35">
      <c r="A7" s="1" t="s">
        <v>212</v>
      </c>
      <c r="B7" s="38"/>
      <c r="C7" s="39" t="s">
        <v>196</v>
      </c>
      <c r="D7" s="41"/>
      <c r="E7" s="4"/>
      <c r="F7" s="4"/>
      <c r="G7" s="21"/>
      <c r="I7" t="s">
        <v>202</v>
      </c>
    </row>
    <row r="8" spans="1:9" x14ac:dyDescent="0.25">
      <c r="A8" s="1" t="s">
        <v>176</v>
      </c>
      <c r="B8" s="162" t="s">
        <v>259</v>
      </c>
      <c r="C8" s="163"/>
      <c r="D8" s="163"/>
      <c r="E8" s="163"/>
      <c r="F8" s="164"/>
      <c r="G8" s="1"/>
    </row>
    <row r="9" spans="1:9" ht="18" x14ac:dyDescent="0.35">
      <c r="A9" s="1" t="s">
        <v>177</v>
      </c>
      <c r="B9" s="81"/>
      <c r="C9" s="25" t="s">
        <v>2</v>
      </c>
      <c r="D9" s="26"/>
      <c r="E9" s="26"/>
      <c r="F9" s="26"/>
      <c r="G9" s="27"/>
    </row>
    <row r="10" spans="1:9" ht="18" x14ac:dyDescent="0.35">
      <c r="A10" s="23" t="s">
        <v>178</v>
      </c>
      <c r="B10" s="166" t="str">
        <f>IF(B9&gt;=B4,"OK","Ikke OK")</f>
        <v>OK</v>
      </c>
      <c r="C10" s="3"/>
      <c r="D10" s="41"/>
      <c r="E10" s="4"/>
      <c r="F10" s="4"/>
      <c r="G10" s="21"/>
    </row>
    <row r="11" spans="1:9" x14ac:dyDescent="0.25">
      <c r="A11" s="71" t="s">
        <v>191</v>
      </c>
      <c r="B11" s="78">
        <f>B3</f>
        <v>0</v>
      </c>
      <c r="C11" s="99"/>
      <c r="D11" s="167"/>
      <c r="E11" s="98"/>
      <c r="F11" s="98"/>
      <c r="G11" s="168"/>
    </row>
    <row r="12" spans="1:9" ht="18" x14ac:dyDescent="0.35">
      <c r="A12" s="1" t="s">
        <v>226</v>
      </c>
      <c r="B12" s="189"/>
      <c r="C12" s="3" t="s">
        <v>80</v>
      </c>
      <c r="D12" s="4"/>
      <c r="E12" s="4"/>
      <c r="F12" s="4"/>
      <c r="G12" s="21"/>
    </row>
    <row r="13" spans="1:9" x14ac:dyDescent="0.25">
      <c r="A13" s="31" t="s">
        <v>190</v>
      </c>
      <c r="B13" s="54" t="s">
        <v>188</v>
      </c>
      <c r="C13" s="30" t="s">
        <v>189</v>
      </c>
      <c r="D13" s="81"/>
      <c r="E13" s="48"/>
      <c r="F13" s="48"/>
      <c r="G13" s="61"/>
    </row>
    <row r="14" spans="1:9" ht="18" x14ac:dyDescent="0.35">
      <c r="A14" s="1" t="s">
        <v>257</v>
      </c>
      <c r="B14" s="24">
        <f>B5*D13</f>
        <v>0</v>
      </c>
      <c r="C14" s="25" t="s">
        <v>80</v>
      </c>
      <c r="D14" s="26"/>
      <c r="E14" s="4"/>
      <c r="F14" s="4"/>
      <c r="G14" s="21"/>
    </row>
    <row r="15" spans="1:9" ht="18" x14ac:dyDescent="0.35">
      <c r="A15" s="3" t="s">
        <v>258</v>
      </c>
      <c r="B15" s="28" t="s">
        <v>4</v>
      </c>
      <c r="C15" s="165"/>
      <c r="D15" s="29" t="str">
        <f>IF(B6&gt;=B5,"OK","Ikke OK")</f>
        <v>OK</v>
      </c>
      <c r="E15" s="3"/>
      <c r="F15" s="4"/>
      <c r="G15" s="21"/>
    </row>
    <row r="18" spans="1:10" x14ac:dyDescent="0.25">
      <c r="A18" s="71" t="s">
        <v>195</v>
      </c>
      <c r="B18" s="72">
        <f>B3</f>
        <v>0</v>
      </c>
      <c r="C18" s="72"/>
      <c r="D18" s="72"/>
      <c r="E18" s="72"/>
      <c r="F18" s="72"/>
      <c r="G18" s="116"/>
      <c r="I18" t="s">
        <v>426</v>
      </c>
    </row>
    <row r="19" spans="1:10" ht="18.75" x14ac:dyDescent="0.35">
      <c r="A19" s="54" t="s">
        <v>197</v>
      </c>
      <c r="B19" s="30">
        <f>B7</f>
        <v>0</v>
      </c>
      <c r="C19" s="39" t="s">
        <v>196</v>
      </c>
      <c r="D19" s="41"/>
      <c r="E19" s="4"/>
      <c r="F19" s="4"/>
      <c r="G19" s="21"/>
    </row>
    <row r="20" spans="1:10" ht="18.75" x14ac:dyDescent="0.35">
      <c r="A20" s="1" t="s">
        <v>199</v>
      </c>
      <c r="B20" s="2">
        <f>'Dim. MCCB'!B130</f>
        <v>0</v>
      </c>
      <c r="C20" s="3" t="s">
        <v>196</v>
      </c>
      <c r="D20" s="4"/>
      <c r="E20" s="4"/>
      <c r="F20" s="4"/>
      <c r="G20" s="21"/>
    </row>
    <row r="21" spans="1:10" ht="18.75" x14ac:dyDescent="0.35">
      <c r="A21" s="1" t="s">
        <v>200</v>
      </c>
      <c r="B21" s="28" t="s">
        <v>31</v>
      </c>
      <c r="C21" s="118" t="str">
        <f>IF(B20&lt;=B19,"OK","Ikke OK")</f>
        <v>OK</v>
      </c>
      <c r="D21" s="3"/>
      <c r="E21" s="4"/>
      <c r="F21" s="4"/>
      <c r="G21" s="21"/>
    </row>
    <row r="23" spans="1:10" x14ac:dyDescent="0.25">
      <c r="A23" s="51" t="s">
        <v>427</v>
      </c>
    </row>
    <row r="24" spans="1:10" ht="18" x14ac:dyDescent="0.35">
      <c r="A24" s="71" t="s">
        <v>366</v>
      </c>
      <c r="B24" s="72">
        <f>B11</f>
        <v>0</v>
      </c>
      <c r="C24" s="72"/>
      <c r="D24" s="72"/>
      <c r="E24" s="72"/>
      <c r="F24" s="72"/>
      <c r="G24" s="116"/>
      <c r="I24" t="s">
        <v>187</v>
      </c>
    </row>
    <row r="25" spans="1:10" x14ac:dyDescent="0.25">
      <c r="A25" s="54" t="s">
        <v>185</v>
      </c>
      <c r="B25" s="30"/>
      <c r="C25" s="3" t="s">
        <v>184</v>
      </c>
      <c r="D25" s="4"/>
      <c r="E25" s="4"/>
      <c r="F25" s="4"/>
      <c r="G25" s="21"/>
    </row>
    <row r="26" spans="1:10" ht="18" x14ac:dyDescent="0.35">
      <c r="A26" s="105" t="s">
        <v>367</v>
      </c>
      <c r="B26" s="161"/>
      <c r="C26" s="161"/>
      <c r="D26" s="161"/>
      <c r="E26" s="161"/>
      <c r="F26" s="161"/>
      <c r="G26" s="104"/>
      <c r="H26" t="s">
        <v>345</v>
      </c>
      <c r="I26" t="s">
        <v>220</v>
      </c>
      <c r="J26" t="s">
        <v>346</v>
      </c>
    </row>
    <row r="27" spans="1:10" ht="18" x14ac:dyDescent="0.35">
      <c r="A27" s="1" t="s">
        <v>180</v>
      </c>
      <c r="B27" s="38"/>
      <c r="C27" s="1" t="s">
        <v>237</v>
      </c>
      <c r="D27" s="54" t="s">
        <v>7</v>
      </c>
      <c r="E27" s="2">
        <v>0</v>
      </c>
      <c r="F27" s="9" t="s">
        <v>8</v>
      </c>
      <c r="G27" s="21"/>
      <c r="H27" s="56">
        <f>RADIANS(E27)</f>
        <v>0</v>
      </c>
      <c r="I27">
        <f>B27*COS(H27)</f>
        <v>0</v>
      </c>
      <c r="J27">
        <f>B27*SIN(H27)</f>
        <v>0</v>
      </c>
    </row>
    <row r="28" spans="1:10" ht="18" x14ac:dyDescent="0.35">
      <c r="A28" s="23" t="s">
        <v>181</v>
      </c>
      <c r="B28" s="38"/>
      <c r="C28" s="1" t="s">
        <v>237</v>
      </c>
      <c r="D28" s="54" t="s">
        <v>7</v>
      </c>
      <c r="E28" s="2">
        <v>90</v>
      </c>
      <c r="F28" s="9" t="s">
        <v>8</v>
      </c>
      <c r="G28" s="21"/>
      <c r="H28" s="56">
        <f>RADIANS(E28)</f>
        <v>1.5707963267948966</v>
      </c>
      <c r="I28">
        <f>B28*COS(H28)</f>
        <v>0</v>
      </c>
      <c r="J28">
        <f>B28*SIN(H28)</f>
        <v>0</v>
      </c>
    </row>
    <row r="29" spans="1:10" ht="18" x14ac:dyDescent="0.35">
      <c r="A29" s="1" t="s">
        <v>357</v>
      </c>
      <c r="B29" s="205">
        <f>SQRT(J29^2+I29^2)</f>
        <v>0</v>
      </c>
      <c r="C29" s="1" t="s">
        <v>237</v>
      </c>
      <c r="D29" s="54" t="s">
        <v>7</v>
      </c>
      <c r="E29" s="19" t="e">
        <f>DEGREES(ATAN2(J29,I29))</f>
        <v>#DIV/0!</v>
      </c>
      <c r="F29" s="9" t="s">
        <v>8</v>
      </c>
      <c r="G29" s="21"/>
      <c r="H29" s="56"/>
      <c r="I29">
        <f>I27+I28</f>
        <v>0</v>
      </c>
      <c r="J29">
        <f>J27+J28</f>
        <v>0</v>
      </c>
    </row>
    <row r="30" spans="1:10" ht="18" x14ac:dyDescent="0.35">
      <c r="A30" s="25" t="s">
        <v>253</v>
      </c>
      <c r="B30" s="85" t="e">
        <f>400/(SQRT(3)*(#REF!))</f>
        <v>#REF!</v>
      </c>
      <c r="C30" s="3" t="s">
        <v>2</v>
      </c>
      <c r="D30" s="4"/>
      <c r="E30" s="4"/>
      <c r="F30" s="4"/>
      <c r="G30" s="21"/>
    </row>
    <row r="31" spans="1:10" ht="18" x14ac:dyDescent="0.35">
      <c r="A31" s="105" t="s">
        <v>368</v>
      </c>
      <c r="B31" s="103"/>
      <c r="C31" s="103"/>
      <c r="D31" s="103"/>
      <c r="E31" s="103"/>
      <c r="F31" s="103"/>
      <c r="G31" s="104"/>
      <c r="H31" t="s">
        <v>345</v>
      </c>
      <c r="I31" t="s">
        <v>220</v>
      </c>
      <c r="J31" t="s">
        <v>346</v>
      </c>
    </row>
    <row r="32" spans="1:10" ht="18" x14ac:dyDescent="0.35">
      <c r="A32" s="1" t="s">
        <v>182</v>
      </c>
      <c r="B32" s="38">
        <v>0.41</v>
      </c>
      <c r="C32" s="1" t="s">
        <v>237</v>
      </c>
      <c r="D32" s="54" t="s">
        <v>7</v>
      </c>
      <c r="E32" s="2">
        <v>0</v>
      </c>
      <c r="F32" s="9" t="s">
        <v>8</v>
      </c>
      <c r="G32" s="21"/>
      <c r="H32" s="56">
        <f>RADIANS(E32)</f>
        <v>0</v>
      </c>
      <c r="I32">
        <f>B32*COS(H32)</f>
        <v>0.41</v>
      </c>
      <c r="J32">
        <f>B32*SIN(H32)</f>
        <v>0</v>
      </c>
    </row>
    <row r="33" spans="1:12" ht="18" x14ac:dyDescent="0.35">
      <c r="A33" s="1" t="s">
        <v>183</v>
      </c>
      <c r="B33" s="38">
        <v>0.24</v>
      </c>
      <c r="C33" s="1" t="s">
        <v>237</v>
      </c>
      <c r="D33" s="54" t="s">
        <v>7</v>
      </c>
      <c r="E33" s="2">
        <v>90</v>
      </c>
      <c r="F33" s="9" t="s">
        <v>8</v>
      </c>
      <c r="G33" s="21"/>
      <c r="H33" s="56">
        <f>RADIANS(E33)</f>
        <v>1.5707963267948966</v>
      </c>
      <c r="I33">
        <f>B33*COS(H33)</f>
        <v>1.470178145890344E-17</v>
      </c>
      <c r="J33">
        <f>B33*SIN(H33)</f>
        <v>0.24</v>
      </c>
    </row>
    <row r="34" spans="1:12" ht="18" x14ac:dyDescent="0.35">
      <c r="A34" s="1" t="s">
        <v>357</v>
      </c>
      <c r="B34" s="205">
        <f>SQRT(J34^2+I34^2)</f>
        <v>0.47507894080878804</v>
      </c>
      <c r="C34" s="1" t="s">
        <v>237</v>
      </c>
      <c r="D34" s="54" t="s">
        <v>7</v>
      </c>
      <c r="E34" s="19">
        <f>DEGREES(ATAN2(J34,I34))</f>
        <v>59.656751115760429</v>
      </c>
      <c r="F34" s="9" t="s">
        <v>8</v>
      </c>
      <c r="G34" s="21"/>
      <c r="H34" s="56"/>
      <c r="I34">
        <f>I32+I33</f>
        <v>0.41</v>
      </c>
      <c r="J34">
        <f>J32+J33</f>
        <v>0.24</v>
      </c>
    </row>
    <row r="35" spans="1:12" ht="18" x14ac:dyDescent="0.35">
      <c r="A35" s="1" t="s">
        <v>254</v>
      </c>
      <c r="B35" s="85" t="e">
        <f>400/(SQRT(3)*(#REF!))</f>
        <v>#REF!</v>
      </c>
      <c r="C35" s="3" t="s">
        <v>80</v>
      </c>
      <c r="D35" s="4"/>
      <c r="E35" s="4"/>
      <c r="F35" s="4"/>
      <c r="G35" s="21"/>
    </row>
    <row r="36" spans="1:12" x14ac:dyDescent="0.25">
      <c r="L36" t="s">
        <v>192</v>
      </c>
    </row>
    <row r="38" spans="1:12" ht="18" x14ac:dyDescent="0.35">
      <c r="A38" s="71" t="s">
        <v>334</v>
      </c>
      <c r="B38" s="72" t="s">
        <v>261</v>
      </c>
      <c r="C38" s="72" t="s">
        <v>303</v>
      </c>
      <c r="D38" s="72"/>
      <c r="E38" s="72"/>
      <c r="F38" s="72"/>
      <c r="G38" s="116"/>
    </row>
    <row r="39" spans="1:12" x14ac:dyDescent="0.25">
      <c r="A39" s="54" t="s">
        <v>185</v>
      </c>
      <c r="B39" s="2"/>
      <c r="C39" s="3" t="s">
        <v>184</v>
      </c>
      <c r="D39" s="4"/>
      <c r="E39" s="4"/>
      <c r="F39" s="4"/>
      <c r="G39" s="21"/>
    </row>
    <row r="40" spans="1:12" x14ac:dyDescent="0.25">
      <c r="A40" s="1" t="s">
        <v>238</v>
      </c>
      <c r="B40" s="15"/>
      <c r="C40" s="3" t="s">
        <v>279</v>
      </c>
      <c r="D40" s="4"/>
      <c r="E40" s="4"/>
      <c r="F40" s="4"/>
      <c r="G40" s="21"/>
    </row>
    <row r="41" spans="1:12" x14ac:dyDescent="0.25">
      <c r="A41" s="1" t="s">
        <v>239</v>
      </c>
      <c r="B41" s="15"/>
      <c r="C41" s="3" t="s">
        <v>279</v>
      </c>
      <c r="D41" s="4"/>
      <c r="E41" s="160"/>
      <c r="F41" s="160"/>
      <c r="G41" s="21"/>
      <c r="H41" t="s">
        <v>345</v>
      </c>
      <c r="I41" t="s">
        <v>220</v>
      </c>
      <c r="J41" t="s">
        <v>346</v>
      </c>
    </row>
    <row r="42" spans="1:12" x14ac:dyDescent="0.25">
      <c r="A42" s="1" t="s">
        <v>355</v>
      </c>
      <c r="B42" s="10">
        <f>B39*B40</f>
        <v>0</v>
      </c>
      <c r="C42" s="1" t="s">
        <v>237</v>
      </c>
      <c r="D42" s="54" t="s">
        <v>7</v>
      </c>
      <c r="E42" s="2">
        <v>0</v>
      </c>
      <c r="F42" s="9" t="s">
        <v>8</v>
      </c>
      <c r="G42" s="21"/>
      <c r="H42" s="56">
        <f>RADIANS(E42)</f>
        <v>0</v>
      </c>
      <c r="I42">
        <f>B42*COS(H42)</f>
        <v>0</v>
      </c>
      <c r="J42">
        <f>B42*SIN(H42)</f>
        <v>0</v>
      </c>
    </row>
    <row r="43" spans="1:12" x14ac:dyDescent="0.25">
      <c r="A43" s="1" t="s">
        <v>356</v>
      </c>
      <c r="B43" s="10">
        <f>B39*B41</f>
        <v>0</v>
      </c>
      <c r="C43" s="1" t="s">
        <v>237</v>
      </c>
      <c r="D43" s="54" t="s">
        <v>7</v>
      </c>
      <c r="E43" s="2">
        <v>90</v>
      </c>
      <c r="F43" s="9" t="s">
        <v>8</v>
      </c>
      <c r="G43" s="21"/>
      <c r="H43" s="56">
        <f>RADIANS(E43)</f>
        <v>1.5707963267948966</v>
      </c>
      <c r="I43">
        <f>B43*COS(H43)</f>
        <v>0</v>
      </c>
      <c r="J43">
        <f>B43*SIN(H43)</f>
        <v>0</v>
      </c>
    </row>
    <row r="44" spans="1:12" ht="18" x14ac:dyDescent="0.35">
      <c r="A44" s="1" t="s">
        <v>357</v>
      </c>
      <c r="B44" s="205">
        <f>SQRT(I44^2+J44^2)</f>
        <v>0</v>
      </c>
      <c r="C44" s="1" t="s">
        <v>237</v>
      </c>
      <c r="D44" s="54" t="s">
        <v>7</v>
      </c>
      <c r="E44" s="19" t="e">
        <f>DEGREES(ATAN2(I44,J44))</f>
        <v>#DIV/0!</v>
      </c>
      <c r="F44" s="9" t="s">
        <v>8</v>
      </c>
      <c r="G44" s="21"/>
      <c r="H44" s="56"/>
      <c r="I44">
        <f>I42+I43</f>
        <v>0</v>
      </c>
      <c r="J44">
        <f>J42+J43</f>
        <v>0</v>
      </c>
    </row>
    <row r="47" spans="1:12" ht="18" x14ac:dyDescent="0.35">
      <c r="A47" s="71" t="s">
        <v>369</v>
      </c>
      <c r="B47" s="72" t="s">
        <v>261</v>
      </c>
      <c r="C47" s="72" t="s">
        <v>303</v>
      </c>
      <c r="D47" s="72"/>
      <c r="E47" s="72"/>
      <c r="F47" s="72"/>
      <c r="G47" s="116"/>
    </row>
    <row r="48" spans="1:12" x14ac:dyDescent="0.25">
      <c r="A48" s="54" t="s">
        <v>185</v>
      </c>
      <c r="B48" s="2">
        <f>B39</f>
        <v>0</v>
      </c>
      <c r="C48" s="3" t="s">
        <v>184</v>
      </c>
      <c r="D48" s="4"/>
      <c r="E48" s="4"/>
      <c r="F48" s="4"/>
      <c r="G48" s="21"/>
    </row>
    <row r="49" spans="1:12" x14ac:dyDescent="0.25">
      <c r="A49" s="1" t="s">
        <v>238</v>
      </c>
      <c r="B49" s="15"/>
      <c r="C49" s="3" t="s">
        <v>279</v>
      </c>
      <c r="D49" s="4"/>
      <c r="E49" s="4"/>
      <c r="F49" s="4"/>
      <c r="G49" s="21"/>
    </row>
    <row r="50" spans="1:12" x14ac:dyDescent="0.25">
      <c r="A50" s="1" t="s">
        <v>239</v>
      </c>
      <c r="B50" s="15"/>
      <c r="C50" s="3" t="s">
        <v>279</v>
      </c>
      <c r="D50" s="4"/>
      <c r="E50" s="160"/>
      <c r="F50" s="160"/>
      <c r="G50" s="21"/>
      <c r="H50" t="s">
        <v>345</v>
      </c>
      <c r="I50" t="s">
        <v>220</v>
      </c>
      <c r="J50" t="s">
        <v>346</v>
      </c>
    </row>
    <row r="51" spans="1:12" x14ac:dyDescent="0.25">
      <c r="A51" s="1" t="s">
        <v>355</v>
      </c>
      <c r="B51" s="10">
        <f>B48*B49</f>
        <v>0</v>
      </c>
      <c r="C51" s="1" t="s">
        <v>237</v>
      </c>
      <c r="D51" s="54" t="s">
        <v>7</v>
      </c>
      <c r="E51" s="2">
        <v>0</v>
      </c>
      <c r="F51" s="9" t="s">
        <v>8</v>
      </c>
      <c r="G51" s="21"/>
      <c r="H51" s="56">
        <f>RADIANS(E51)</f>
        <v>0</v>
      </c>
      <c r="I51">
        <f>B51*COS(H51)</f>
        <v>0</v>
      </c>
      <c r="J51">
        <f>B51*SIN(H51)</f>
        <v>0</v>
      </c>
    </row>
    <row r="52" spans="1:12" x14ac:dyDescent="0.25">
      <c r="A52" s="1" t="s">
        <v>356</v>
      </c>
      <c r="B52" s="10">
        <f>B48*B50</f>
        <v>0</v>
      </c>
      <c r="C52" s="1" t="s">
        <v>237</v>
      </c>
      <c r="D52" s="54" t="s">
        <v>7</v>
      </c>
      <c r="E52" s="2">
        <v>90</v>
      </c>
      <c r="F52" s="9" t="s">
        <v>8</v>
      </c>
      <c r="G52" s="21"/>
      <c r="H52" s="56">
        <f>RADIANS(E52)</f>
        <v>1.5707963267948966</v>
      </c>
      <c r="I52">
        <f>B52*COS(H52)</f>
        <v>0</v>
      </c>
      <c r="J52">
        <f>B52*SIN(H52)</f>
        <v>0</v>
      </c>
    </row>
    <row r="53" spans="1:12" ht="18" x14ac:dyDescent="0.35">
      <c r="A53" s="1" t="s">
        <v>357</v>
      </c>
      <c r="B53" s="205">
        <f>SQRT(I53^2+J53^2)</f>
        <v>0</v>
      </c>
      <c r="C53" s="1" t="s">
        <v>237</v>
      </c>
      <c r="D53" s="54" t="s">
        <v>7</v>
      </c>
      <c r="E53" s="19" t="e">
        <f>DEGREES(ATAN2(I53,J53))</f>
        <v>#DIV/0!</v>
      </c>
      <c r="F53" s="9" t="s">
        <v>8</v>
      </c>
      <c r="G53" s="21"/>
      <c r="H53" s="56"/>
      <c r="I53">
        <f>I51+I52</f>
        <v>0</v>
      </c>
      <c r="J53">
        <f>J51+J52</f>
        <v>0</v>
      </c>
    </row>
    <row r="55" spans="1:12" x14ac:dyDescent="0.25">
      <c r="L55" t="s">
        <v>193</v>
      </c>
    </row>
    <row r="56" spans="1:12" ht="18" x14ac:dyDescent="0.35">
      <c r="A56" s="71" t="s">
        <v>344</v>
      </c>
      <c r="B56" s="72">
        <f>B18</f>
        <v>0</v>
      </c>
      <c r="C56" s="72"/>
      <c r="D56" s="72"/>
      <c r="E56" s="72"/>
      <c r="F56" s="72"/>
      <c r="G56" s="73"/>
      <c r="H56" t="s">
        <v>345</v>
      </c>
      <c r="I56" t="s">
        <v>220</v>
      </c>
      <c r="J56" t="s">
        <v>346</v>
      </c>
    </row>
    <row r="57" spans="1:12" ht="18" x14ac:dyDescent="0.35">
      <c r="A57" s="54" t="s">
        <v>347</v>
      </c>
      <c r="B57" s="197" t="e">
        <f>IM!$B$33</f>
        <v>#N/A</v>
      </c>
      <c r="C57" s="69" t="s">
        <v>237</v>
      </c>
      <c r="D57" s="54" t="s">
        <v>7</v>
      </c>
      <c r="E57" s="184" t="e">
        <f>IM!$E$33</f>
        <v>#N/A</v>
      </c>
      <c r="F57" s="20" t="s">
        <v>8</v>
      </c>
      <c r="G57" s="61"/>
      <c r="H57" s="56" t="e">
        <f>RADIANS(E57)</f>
        <v>#N/A</v>
      </c>
      <c r="I57" t="e">
        <f>B57*COS(H57)</f>
        <v>#N/A</v>
      </c>
      <c r="J57" t="e">
        <f>B57*SIN(H57)</f>
        <v>#N/A</v>
      </c>
    </row>
    <row r="58" spans="1:12" ht="18" x14ac:dyDescent="0.35">
      <c r="A58" s="31" t="s">
        <v>348</v>
      </c>
      <c r="B58" s="198" t="e">
        <f>IM!B54</f>
        <v>#DIV/0!</v>
      </c>
      <c r="C58" s="199" t="s">
        <v>237</v>
      </c>
      <c r="D58" s="31" t="s">
        <v>7</v>
      </c>
      <c r="E58" s="200" t="e">
        <f>IM!E54</f>
        <v>#DIV/0!</v>
      </c>
      <c r="F58" s="201" t="s">
        <v>8</v>
      </c>
      <c r="G58" s="173"/>
      <c r="H58" s="56" t="e">
        <f>RADIANS(E58)</f>
        <v>#DIV/0!</v>
      </c>
      <c r="I58" t="e">
        <f>B58*COS(H58)</f>
        <v>#DIV/0!</v>
      </c>
      <c r="J58" t="e">
        <f>B58*SIN(H58)</f>
        <v>#DIV/0!</v>
      </c>
    </row>
    <row r="59" spans="1:12" ht="18" x14ac:dyDescent="0.35">
      <c r="A59" s="105" t="s">
        <v>5</v>
      </c>
      <c r="B59" s="202" t="s">
        <v>349</v>
      </c>
      <c r="C59" s="203"/>
      <c r="D59" s="103"/>
      <c r="E59" s="202" t="s">
        <v>350</v>
      </c>
      <c r="F59" s="203"/>
      <c r="G59" s="104"/>
      <c r="H59" s="56"/>
    </row>
    <row r="60" spans="1:12" x14ac:dyDescent="0.25">
      <c r="A60" s="1" t="s">
        <v>303</v>
      </c>
      <c r="B60" s="204"/>
      <c r="C60" s="69" t="s">
        <v>237</v>
      </c>
      <c r="D60" s="54" t="s">
        <v>7</v>
      </c>
      <c r="E60" s="204"/>
      <c r="F60" s="20" t="s">
        <v>8</v>
      </c>
      <c r="G60" s="61"/>
      <c r="H60" s="56">
        <f>RADIANS(E60)</f>
        <v>0</v>
      </c>
      <c r="I60">
        <f>B60*COS(H60)</f>
        <v>0</v>
      </c>
      <c r="J60">
        <f>B60*SIN(H60)</f>
        <v>0</v>
      </c>
    </row>
    <row r="61" spans="1:12" x14ac:dyDescent="0.25">
      <c r="A61" s="1" t="s">
        <v>175</v>
      </c>
      <c r="B61" s="204"/>
      <c r="C61" s="69" t="s">
        <v>237</v>
      </c>
      <c r="D61" s="54" t="s">
        <v>7</v>
      </c>
      <c r="E61" s="204"/>
      <c r="F61" s="20" t="s">
        <v>8</v>
      </c>
      <c r="G61" s="61"/>
      <c r="H61" s="56">
        <f>RADIANS(E61)</f>
        <v>0</v>
      </c>
      <c r="I61">
        <f t="shared" ref="I61:I64" si="0">B61*COS(H61)</f>
        <v>0</v>
      </c>
      <c r="J61">
        <f t="shared" ref="J61:J64" si="1">B61*SIN(H61)</f>
        <v>0</v>
      </c>
    </row>
    <row r="62" spans="1:12" x14ac:dyDescent="0.25">
      <c r="A62" s="1" t="s">
        <v>335</v>
      </c>
      <c r="B62" s="204"/>
      <c r="C62" s="69" t="s">
        <v>237</v>
      </c>
      <c r="D62" s="54" t="s">
        <v>7</v>
      </c>
      <c r="E62" s="204"/>
      <c r="F62" s="20" t="s">
        <v>8</v>
      </c>
      <c r="G62" s="61"/>
      <c r="H62" s="56">
        <f t="shared" ref="H62:H64" si="2">RADIANS(E62)</f>
        <v>0</v>
      </c>
      <c r="I62">
        <f t="shared" si="0"/>
        <v>0</v>
      </c>
      <c r="J62">
        <f t="shared" si="1"/>
        <v>0</v>
      </c>
    </row>
    <row r="63" spans="1:12" x14ac:dyDescent="0.25">
      <c r="A63" s="1" t="s">
        <v>336</v>
      </c>
      <c r="B63" s="204"/>
      <c r="C63" s="69" t="s">
        <v>237</v>
      </c>
      <c r="D63" s="54" t="s">
        <v>7</v>
      </c>
      <c r="E63" s="204"/>
      <c r="F63" s="20" t="s">
        <v>8</v>
      </c>
      <c r="G63" s="61"/>
      <c r="H63" s="56">
        <f t="shared" si="2"/>
        <v>0</v>
      </c>
      <c r="I63">
        <f t="shared" si="0"/>
        <v>0</v>
      </c>
      <c r="J63">
        <f t="shared" si="1"/>
        <v>0</v>
      </c>
    </row>
    <row r="64" spans="1:12" x14ac:dyDescent="0.25">
      <c r="A64" s="1" t="s">
        <v>337</v>
      </c>
      <c r="B64" s="204"/>
      <c r="C64" s="69" t="s">
        <v>237</v>
      </c>
      <c r="D64" s="54" t="s">
        <v>7</v>
      </c>
      <c r="E64" s="204"/>
      <c r="F64" s="20" t="s">
        <v>8</v>
      </c>
      <c r="G64" s="61"/>
      <c r="H64" s="56">
        <f t="shared" si="2"/>
        <v>0</v>
      </c>
      <c r="I64">
        <f t="shared" si="0"/>
        <v>0</v>
      </c>
      <c r="J64">
        <f t="shared" si="1"/>
        <v>0</v>
      </c>
    </row>
    <row r="65" spans="1:10" ht="18" x14ac:dyDescent="0.35">
      <c r="A65" s="1" t="s">
        <v>351</v>
      </c>
      <c r="B65" s="205" t="e">
        <f>SQRT(I65^2+J65^2)</f>
        <v>#N/A</v>
      </c>
      <c r="C65" s="69" t="s">
        <v>237</v>
      </c>
      <c r="D65" s="54" t="s">
        <v>7</v>
      </c>
      <c r="E65" s="19" t="e">
        <f>DEGREES(ATAN2(I65,J65))</f>
        <v>#N/A</v>
      </c>
      <c r="F65" s="20" t="s">
        <v>8</v>
      </c>
      <c r="G65" s="61"/>
      <c r="I65" t="e">
        <f>I57+I58+I60+I61+I62+I63+I64</f>
        <v>#N/A</v>
      </c>
      <c r="J65" t="e">
        <f>J57+J58+J60+J61+J62+J63+J64</f>
        <v>#N/A</v>
      </c>
    </row>
    <row r="68" spans="1:10" ht="18" x14ac:dyDescent="0.35">
      <c r="A68" s="71" t="s">
        <v>352</v>
      </c>
      <c r="B68" s="72">
        <f>B18</f>
        <v>0</v>
      </c>
      <c r="C68" s="72"/>
      <c r="D68" s="72"/>
      <c r="E68" s="72"/>
      <c r="F68" s="72"/>
      <c r="G68" s="73"/>
      <c r="H68" t="s">
        <v>345</v>
      </c>
      <c r="I68" t="s">
        <v>220</v>
      </c>
      <c r="J68" t="s">
        <v>346</v>
      </c>
    </row>
    <row r="69" spans="1:10" ht="18" x14ac:dyDescent="0.35">
      <c r="A69" s="54" t="s">
        <v>353</v>
      </c>
      <c r="B69" s="197" t="e">
        <f>IM!$B$34</f>
        <v>#N/A</v>
      </c>
      <c r="C69" s="69" t="s">
        <v>237</v>
      </c>
      <c r="D69" s="54" t="s">
        <v>7</v>
      </c>
      <c r="E69" s="184" t="e">
        <f>IM!$E$34</f>
        <v>#N/A</v>
      </c>
      <c r="F69" s="20" t="s">
        <v>8</v>
      </c>
      <c r="G69" s="61"/>
      <c r="H69" s="56" t="e">
        <f>RADIANS(E69)</f>
        <v>#N/A</v>
      </c>
      <c r="I69" t="e">
        <f>B69*COS(H69)</f>
        <v>#N/A</v>
      </c>
      <c r="J69" t="e">
        <f>B69*SIN(H69)</f>
        <v>#N/A</v>
      </c>
    </row>
    <row r="70" spans="1:10" ht="18" x14ac:dyDescent="0.35">
      <c r="A70" s="31" t="s">
        <v>348</v>
      </c>
      <c r="B70" s="198" t="e">
        <f>B58</f>
        <v>#DIV/0!</v>
      </c>
      <c r="C70" s="199" t="s">
        <v>237</v>
      </c>
      <c r="D70" s="31" t="s">
        <v>7</v>
      </c>
      <c r="E70" s="200" t="e">
        <f>E58</f>
        <v>#DIV/0!</v>
      </c>
      <c r="F70" s="201" t="s">
        <v>8</v>
      </c>
      <c r="G70" s="173"/>
      <c r="H70" s="56" t="e">
        <f>RADIANS(E70)</f>
        <v>#DIV/0!</v>
      </c>
      <c r="I70" t="e">
        <f>B70*COS(H70)</f>
        <v>#DIV/0!</v>
      </c>
      <c r="J70" t="e">
        <f>B70*SIN(H70)</f>
        <v>#DIV/0!</v>
      </c>
    </row>
    <row r="71" spans="1:10" ht="18" x14ac:dyDescent="0.35">
      <c r="A71" s="105" t="s">
        <v>5</v>
      </c>
      <c r="B71" s="202" t="s">
        <v>349</v>
      </c>
      <c r="C71" s="203"/>
      <c r="D71" s="103"/>
      <c r="E71" s="202" t="s">
        <v>350</v>
      </c>
      <c r="F71" s="203"/>
      <c r="G71" s="104"/>
      <c r="H71" s="56"/>
    </row>
    <row r="72" spans="1:10" x14ac:dyDescent="0.25">
      <c r="A72" s="1" t="s">
        <v>303</v>
      </c>
      <c r="B72" s="204"/>
      <c r="C72" s="69" t="s">
        <v>237</v>
      </c>
      <c r="D72" s="54" t="s">
        <v>7</v>
      </c>
      <c r="E72" s="204"/>
      <c r="F72" s="20" t="s">
        <v>8</v>
      </c>
      <c r="G72" s="61"/>
      <c r="H72" s="56">
        <f>RADIANS(E72)</f>
        <v>0</v>
      </c>
      <c r="I72">
        <f>B72*COS(H72)</f>
        <v>0</v>
      </c>
      <c r="J72">
        <f>B72*SIN(H72)</f>
        <v>0</v>
      </c>
    </row>
    <row r="73" spans="1:10" x14ac:dyDescent="0.25">
      <c r="A73" s="1" t="s">
        <v>175</v>
      </c>
      <c r="B73" s="204"/>
      <c r="C73" s="69" t="s">
        <v>237</v>
      </c>
      <c r="D73" s="54" t="s">
        <v>7</v>
      </c>
      <c r="E73" s="204"/>
      <c r="F73" s="20" t="s">
        <v>8</v>
      </c>
      <c r="G73" s="61"/>
      <c r="H73" s="56">
        <f>RADIANS(E73)</f>
        <v>0</v>
      </c>
      <c r="I73">
        <f t="shared" ref="I73:I76" si="3">B73*COS(H73)</f>
        <v>0</v>
      </c>
      <c r="J73">
        <f t="shared" ref="J73:J76" si="4">B73*SIN(H73)</f>
        <v>0</v>
      </c>
    </row>
    <row r="74" spans="1:10" x14ac:dyDescent="0.25">
      <c r="A74" s="1" t="s">
        <v>335</v>
      </c>
      <c r="B74" s="204"/>
      <c r="C74" s="69" t="s">
        <v>237</v>
      </c>
      <c r="D74" s="54" t="s">
        <v>7</v>
      </c>
      <c r="E74" s="204"/>
      <c r="F74" s="20" t="s">
        <v>8</v>
      </c>
      <c r="G74" s="61"/>
      <c r="H74" s="56">
        <f t="shared" ref="H74:H76" si="5">RADIANS(E74)</f>
        <v>0</v>
      </c>
      <c r="I74">
        <f t="shared" si="3"/>
        <v>0</v>
      </c>
      <c r="J74">
        <f t="shared" si="4"/>
        <v>0</v>
      </c>
    </row>
    <row r="75" spans="1:10" x14ac:dyDescent="0.25">
      <c r="A75" s="1" t="s">
        <v>336</v>
      </c>
      <c r="B75" s="204"/>
      <c r="C75" s="69" t="s">
        <v>237</v>
      </c>
      <c r="D75" s="54" t="s">
        <v>7</v>
      </c>
      <c r="E75" s="204"/>
      <c r="F75" s="20" t="s">
        <v>8</v>
      </c>
      <c r="G75" s="61"/>
      <c r="H75" s="56">
        <f t="shared" si="5"/>
        <v>0</v>
      </c>
      <c r="I75">
        <f t="shared" si="3"/>
        <v>0</v>
      </c>
      <c r="J75">
        <f t="shared" si="4"/>
        <v>0</v>
      </c>
    </row>
    <row r="76" spans="1:10" x14ac:dyDescent="0.25">
      <c r="A76" s="1" t="s">
        <v>337</v>
      </c>
      <c r="B76" s="204"/>
      <c r="C76" s="69" t="s">
        <v>237</v>
      </c>
      <c r="D76" s="54" t="s">
        <v>7</v>
      </c>
      <c r="E76" s="204"/>
      <c r="F76" s="20" t="s">
        <v>8</v>
      </c>
      <c r="G76" s="61"/>
      <c r="H76" s="56">
        <f t="shared" si="5"/>
        <v>0</v>
      </c>
      <c r="I76">
        <f t="shared" si="3"/>
        <v>0</v>
      </c>
      <c r="J76">
        <f t="shared" si="4"/>
        <v>0</v>
      </c>
    </row>
    <row r="77" spans="1:10" ht="18" x14ac:dyDescent="0.35">
      <c r="A77" s="1" t="s">
        <v>354</v>
      </c>
      <c r="B77" s="205" t="e">
        <f>SQRT(I77^2+J77^2)</f>
        <v>#N/A</v>
      </c>
      <c r="C77" s="69" t="s">
        <v>237</v>
      </c>
      <c r="D77" s="54" t="s">
        <v>7</v>
      </c>
      <c r="E77" s="19" t="e">
        <f>DEGREES(ATAN2(I77,J77))</f>
        <v>#N/A</v>
      </c>
      <c r="F77" s="20" t="s">
        <v>8</v>
      </c>
      <c r="G77" s="61"/>
      <c r="I77" t="e">
        <f>I69+I70+I72+I73+I74+I75+I76</f>
        <v>#N/A</v>
      </c>
      <c r="J77" t="e">
        <f>J69+J70+J72+J73+J74+J75+J76</f>
        <v>#N/A</v>
      </c>
    </row>
  </sheetData>
  <mergeCells count="3">
    <mergeCell ref="C4:D4"/>
    <mergeCell ref="C5:D5"/>
    <mergeCell ref="C6:D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9"/>
  <sheetViews>
    <sheetView topLeftCell="A38" workbookViewId="0">
      <selection activeCell="B37" sqref="B37"/>
    </sheetView>
  </sheetViews>
  <sheetFormatPr defaultRowHeight="15" x14ac:dyDescent="0.25"/>
  <cols>
    <col min="1" max="1" width="32" customWidth="1"/>
    <col min="2" max="6" width="10.7109375" customWidth="1"/>
    <col min="7" max="7" width="5.7109375" customWidth="1"/>
  </cols>
  <sheetData>
    <row r="3" spans="1:10" x14ac:dyDescent="0.25">
      <c r="A3" s="71" t="s">
        <v>103</v>
      </c>
      <c r="B3" s="72" t="s">
        <v>89</v>
      </c>
      <c r="C3" s="72"/>
      <c r="D3" s="72"/>
      <c r="E3" s="72"/>
      <c r="F3" s="74"/>
      <c r="G3" s="117"/>
    </row>
    <row r="4" spans="1:10" ht="18" x14ac:dyDescent="0.35">
      <c r="A4" s="54" t="s">
        <v>1</v>
      </c>
      <c r="B4" s="220"/>
      <c r="C4" s="31" t="s">
        <v>2</v>
      </c>
      <c r="D4" s="31" t="s">
        <v>7</v>
      </c>
      <c r="E4" s="210"/>
      <c r="F4" s="18" t="s">
        <v>8</v>
      </c>
      <c r="G4" s="27"/>
    </row>
    <row r="5" spans="1:10" x14ac:dyDescent="0.25">
      <c r="A5" s="1" t="s">
        <v>109</v>
      </c>
      <c r="B5" s="85">
        <f>COS(E4*PI()/180)</f>
        <v>1</v>
      </c>
      <c r="C5" s="25"/>
      <c r="D5" s="26"/>
      <c r="E5" s="26"/>
      <c r="F5" s="26"/>
      <c r="G5" s="27"/>
    </row>
    <row r="6" spans="1:10" x14ac:dyDescent="0.25">
      <c r="A6" s="1" t="s">
        <v>108</v>
      </c>
      <c r="B6" s="62">
        <f>SIN(E4*PI()/180)</f>
        <v>0</v>
      </c>
      <c r="C6" s="3"/>
      <c r="D6" s="4"/>
      <c r="E6" s="4"/>
      <c r="F6" s="4"/>
      <c r="G6" s="21"/>
    </row>
    <row r="7" spans="1:10" ht="18" x14ac:dyDescent="0.35">
      <c r="A7" s="1" t="s">
        <v>104</v>
      </c>
      <c r="B7" s="38"/>
      <c r="C7" s="9" t="s">
        <v>13</v>
      </c>
      <c r="D7" s="4"/>
      <c r="E7" s="4"/>
      <c r="F7" s="4"/>
      <c r="G7" s="21"/>
    </row>
    <row r="8" spans="1:10" ht="18" x14ac:dyDescent="0.35">
      <c r="A8" s="1" t="s">
        <v>105</v>
      </c>
      <c r="B8" s="38"/>
      <c r="C8" s="9" t="s">
        <v>13</v>
      </c>
      <c r="D8" s="4"/>
      <c r="E8" s="4"/>
      <c r="F8" s="4"/>
      <c r="G8" s="21"/>
    </row>
    <row r="9" spans="1:10" ht="18" x14ac:dyDescent="0.35">
      <c r="A9" s="23" t="s">
        <v>106</v>
      </c>
      <c r="B9" s="34"/>
      <c r="C9" s="3" t="s">
        <v>107</v>
      </c>
      <c r="D9" s="4"/>
      <c r="E9" s="4"/>
      <c r="F9" s="4"/>
      <c r="G9" s="21"/>
    </row>
    <row r="10" spans="1:10" ht="18" x14ac:dyDescent="0.35">
      <c r="A10" s="9" t="s">
        <v>110</v>
      </c>
      <c r="B10" s="4"/>
      <c r="C10" s="61"/>
      <c r="D10" s="156">
        <f>B4*B9*(1.25*(B7*B5)+(B8*B6))</f>
        <v>0</v>
      </c>
      <c r="E10" s="43" t="s">
        <v>12</v>
      </c>
      <c r="F10" s="48"/>
      <c r="G10" s="61"/>
      <c r="H10" s="65" t="s">
        <v>138</v>
      </c>
    </row>
    <row r="11" spans="1:10" ht="18" x14ac:dyDescent="0.35">
      <c r="A11" s="9" t="s">
        <v>250</v>
      </c>
      <c r="B11" s="4"/>
      <c r="C11" s="61"/>
      <c r="D11" s="85">
        <f>B4*B9*2*(1.25*(B7*B5)+(B8*B6))</f>
        <v>0</v>
      </c>
      <c r="E11" s="3" t="s">
        <v>12</v>
      </c>
      <c r="F11" s="4"/>
      <c r="G11" s="21"/>
      <c r="H11" s="65" t="s">
        <v>139</v>
      </c>
    </row>
    <row r="12" spans="1:10" x14ac:dyDescent="0.25">
      <c r="G12" s="65"/>
    </row>
    <row r="14" spans="1:10" x14ac:dyDescent="0.25">
      <c r="A14" s="71" t="s">
        <v>103</v>
      </c>
      <c r="B14" s="72" t="s">
        <v>89</v>
      </c>
      <c r="C14" s="72"/>
      <c r="D14" s="72"/>
      <c r="E14" s="72"/>
      <c r="F14" s="74"/>
      <c r="G14" s="117"/>
      <c r="J14" s="53"/>
    </row>
    <row r="15" spans="1:10" ht="18" x14ac:dyDescent="0.35">
      <c r="A15" s="54" t="s">
        <v>1</v>
      </c>
      <c r="B15" s="49"/>
      <c r="C15" s="31" t="s">
        <v>2</v>
      </c>
      <c r="D15" s="31" t="s">
        <v>7</v>
      </c>
      <c r="F15" s="18" t="s">
        <v>8</v>
      </c>
      <c r="G15" s="27"/>
    </row>
    <row r="16" spans="1:10" x14ac:dyDescent="0.25">
      <c r="A16" s="1" t="s">
        <v>109</v>
      </c>
      <c r="B16" s="85">
        <f>COS(E15*PI()/180)</f>
        <v>1</v>
      </c>
      <c r="C16" s="25"/>
      <c r="D16" s="26"/>
      <c r="E16" s="26"/>
      <c r="F16" s="26"/>
      <c r="G16" s="27"/>
    </row>
    <row r="17" spans="1:8" x14ac:dyDescent="0.25">
      <c r="A17" s="1" t="s">
        <v>108</v>
      </c>
      <c r="B17" s="62">
        <f>SIN(E15*PI()/180)</f>
        <v>0</v>
      </c>
      <c r="C17" s="3"/>
      <c r="D17" s="4"/>
      <c r="E17" s="4"/>
      <c r="F17" s="4"/>
      <c r="G17" s="21"/>
    </row>
    <row r="18" spans="1:8" ht="18" x14ac:dyDescent="0.35">
      <c r="A18" s="1" t="s">
        <v>104</v>
      </c>
      <c r="B18" s="38"/>
      <c r="C18" s="9" t="s">
        <v>13</v>
      </c>
      <c r="D18" s="4"/>
      <c r="E18" s="4"/>
      <c r="F18" s="4"/>
      <c r="G18" s="21"/>
    </row>
    <row r="19" spans="1:8" ht="18" x14ac:dyDescent="0.35">
      <c r="A19" s="1" t="s">
        <v>105</v>
      </c>
      <c r="B19" s="38"/>
      <c r="C19" s="9" t="s">
        <v>13</v>
      </c>
      <c r="D19" s="4"/>
      <c r="E19" s="4"/>
      <c r="F19" s="4"/>
      <c r="G19" s="21"/>
    </row>
    <row r="20" spans="1:8" ht="18" x14ac:dyDescent="0.35">
      <c r="A20" s="23" t="s">
        <v>106</v>
      </c>
      <c r="B20" s="34"/>
      <c r="C20" s="3" t="s">
        <v>107</v>
      </c>
      <c r="D20" s="4"/>
      <c r="E20" s="4"/>
      <c r="F20" s="4"/>
      <c r="G20" s="21"/>
    </row>
    <row r="21" spans="1:8" ht="18" x14ac:dyDescent="0.35">
      <c r="A21" s="9" t="s">
        <v>110</v>
      </c>
      <c r="B21" s="4"/>
      <c r="C21" s="61"/>
      <c r="D21" s="156">
        <f>B15*B20*(1.25*(B18*B16)+(B19*B17))</f>
        <v>0</v>
      </c>
      <c r="E21" s="43" t="s">
        <v>12</v>
      </c>
      <c r="F21" s="48"/>
      <c r="G21" s="61"/>
      <c r="H21" s="65" t="s">
        <v>138</v>
      </c>
    </row>
    <row r="22" spans="1:8" ht="18" x14ac:dyDescent="0.35">
      <c r="A22" s="9" t="s">
        <v>250</v>
      </c>
      <c r="B22" s="4"/>
      <c r="C22" s="61"/>
      <c r="D22" s="85">
        <f>B15*B20*2*(1.25*(B18*B16)+(B19*B17))</f>
        <v>0</v>
      </c>
      <c r="E22" s="3" t="s">
        <v>12</v>
      </c>
      <c r="F22" s="4"/>
      <c r="G22" s="21"/>
      <c r="H22" s="65" t="s">
        <v>139</v>
      </c>
    </row>
    <row r="25" spans="1:8" x14ac:dyDescent="0.25">
      <c r="A25" s="71" t="s">
        <v>103</v>
      </c>
      <c r="B25" s="72" t="s">
        <v>89</v>
      </c>
      <c r="C25" s="72"/>
      <c r="D25" s="72"/>
      <c r="E25" s="72"/>
      <c r="F25" s="74"/>
      <c r="G25" s="117"/>
    </row>
    <row r="26" spans="1:8" ht="18" x14ac:dyDescent="0.35">
      <c r="A26" s="54" t="s">
        <v>1</v>
      </c>
      <c r="B26" s="49"/>
      <c r="C26" s="31" t="s">
        <v>2</v>
      </c>
      <c r="D26" s="31" t="s">
        <v>7</v>
      </c>
      <c r="F26" s="18" t="s">
        <v>8</v>
      </c>
      <c r="G26" s="27"/>
    </row>
    <row r="27" spans="1:8" x14ac:dyDescent="0.25">
      <c r="A27" s="1" t="s">
        <v>109</v>
      </c>
      <c r="B27" s="85">
        <f>COS(E26*PI()/180)</f>
        <v>1</v>
      </c>
      <c r="C27" s="25"/>
      <c r="D27" s="26"/>
      <c r="E27" s="26"/>
      <c r="F27" s="26"/>
      <c r="G27" s="27"/>
    </row>
    <row r="28" spans="1:8" x14ac:dyDescent="0.25">
      <c r="A28" s="1" t="s">
        <v>108</v>
      </c>
      <c r="B28" s="62">
        <f>SIN(E26*PI()/180)</f>
        <v>0</v>
      </c>
      <c r="C28" s="3"/>
      <c r="D28" s="4"/>
      <c r="E28" s="4"/>
      <c r="F28" s="4"/>
      <c r="G28" s="21"/>
    </row>
    <row r="29" spans="1:8" ht="18" x14ac:dyDescent="0.35">
      <c r="A29" s="1" t="s">
        <v>104</v>
      </c>
      <c r="B29" s="38"/>
      <c r="C29" s="9" t="s">
        <v>13</v>
      </c>
      <c r="D29" s="4"/>
      <c r="E29" s="4"/>
      <c r="F29" s="4"/>
      <c r="G29" s="21"/>
    </row>
    <row r="30" spans="1:8" ht="18" x14ac:dyDescent="0.35">
      <c r="A30" s="1" t="s">
        <v>105</v>
      </c>
      <c r="B30" s="38"/>
      <c r="C30" s="9" t="s">
        <v>13</v>
      </c>
      <c r="D30" s="4"/>
      <c r="E30" s="4"/>
      <c r="F30" s="4"/>
      <c r="G30" s="21"/>
    </row>
    <row r="31" spans="1:8" ht="18" x14ac:dyDescent="0.35">
      <c r="A31" s="23" t="s">
        <v>106</v>
      </c>
      <c r="B31" s="34"/>
      <c r="C31" s="3" t="s">
        <v>107</v>
      </c>
      <c r="D31" s="4"/>
      <c r="E31" s="4"/>
      <c r="F31" s="4"/>
      <c r="G31" s="21"/>
    </row>
    <row r="32" spans="1:8" ht="18" x14ac:dyDescent="0.35">
      <c r="A32" s="9" t="s">
        <v>110</v>
      </c>
      <c r="B32" s="4"/>
      <c r="C32" s="61"/>
      <c r="D32" s="156">
        <f>B26*B31*(1.25*(B29*B27)+(B30*B28))</f>
        <v>0</v>
      </c>
      <c r="E32" s="43" t="s">
        <v>12</v>
      </c>
      <c r="F32" s="48"/>
      <c r="G32" s="61"/>
      <c r="H32" s="65" t="s">
        <v>138</v>
      </c>
    </row>
    <row r="33" spans="1:8" ht="18" x14ac:dyDescent="0.35">
      <c r="A33" s="9" t="s">
        <v>250</v>
      </c>
      <c r="B33" s="4"/>
      <c r="C33" s="61"/>
      <c r="D33" s="85">
        <f>B27*B32*2*(1.25*(B30*B28)+(B31*B29))</f>
        <v>0</v>
      </c>
      <c r="E33" s="3" t="s">
        <v>12</v>
      </c>
      <c r="F33" s="4"/>
      <c r="G33" s="21"/>
      <c r="H33" s="65" t="s">
        <v>139</v>
      </c>
    </row>
    <row r="36" spans="1:8" x14ac:dyDescent="0.25">
      <c r="A36" s="158" t="s">
        <v>252</v>
      </c>
      <c r="B36" s="72"/>
      <c r="C36" s="72"/>
      <c r="D36" s="72"/>
      <c r="E36" s="72"/>
      <c r="F36" s="72"/>
      <c r="G36" s="73"/>
    </row>
    <row r="37" spans="1:8" ht="18" x14ac:dyDescent="0.35">
      <c r="A37" s="69" t="s">
        <v>111</v>
      </c>
      <c r="B37" s="60"/>
      <c r="C37" s="3" t="s">
        <v>12</v>
      </c>
      <c r="D37" s="4"/>
      <c r="E37" s="4"/>
      <c r="F37" s="4"/>
      <c r="G37" s="21"/>
    </row>
    <row r="38" spans="1:8" ht="18" x14ac:dyDescent="0.35">
      <c r="A38" s="1" t="s">
        <v>113</v>
      </c>
      <c r="B38" s="34">
        <v>230</v>
      </c>
      <c r="C38" s="3" t="s">
        <v>12</v>
      </c>
      <c r="D38" s="4"/>
      <c r="E38" s="4"/>
      <c r="F38" s="4"/>
      <c r="G38" s="21"/>
    </row>
    <row r="39" spans="1:8" ht="18" x14ac:dyDescent="0.35">
      <c r="A39" s="1" t="s">
        <v>112</v>
      </c>
      <c r="B39" s="89">
        <f>B37/B38*100</f>
        <v>0</v>
      </c>
      <c r="C39" s="3" t="s">
        <v>115</v>
      </c>
      <c r="D39" s="4"/>
      <c r="E39" s="4"/>
      <c r="F39" s="4"/>
      <c r="G39" s="21"/>
      <c r="H39" t="s">
        <v>114</v>
      </c>
    </row>
    <row r="40" spans="1:8" x14ac:dyDescent="0.25">
      <c r="H40" t="s">
        <v>251</v>
      </c>
    </row>
    <row r="42" spans="1:8" x14ac:dyDescent="0.25">
      <c r="A42" s="71" t="s">
        <v>273</v>
      </c>
      <c r="B42" s="72" t="s">
        <v>5</v>
      </c>
      <c r="C42" s="72"/>
      <c r="D42" s="72"/>
      <c r="E42" s="72"/>
      <c r="F42" s="72"/>
      <c r="G42" s="73"/>
    </row>
    <row r="43" spans="1:8" ht="18" x14ac:dyDescent="0.35">
      <c r="A43" s="1" t="s">
        <v>113</v>
      </c>
      <c r="B43" s="2">
        <v>230</v>
      </c>
      <c r="C43" s="3" t="s">
        <v>12</v>
      </c>
      <c r="D43" s="4"/>
      <c r="E43" s="4"/>
      <c r="F43" s="4"/>
      <c r="G43" s="21"/>
    </row>
    <row r="44" spans="1:8" x14ac:dyDescent="0.25">
      <c r="A44" s="1" t="s">
        <v>274</v>
      </c>
      <c r="B44" s="2"/>
      <c r="C44" s="3" t="s">
        <v>115</v>
      </c>
      <c r="D44" s="4"/>
      <c r="E44" s="4"/>
      <c r="F44" s="4"/>
      <c r="G44" s="21"/>
    </row>
    <row r="45" spans="1:8" ht="18" x14ac:dyDescent="0.35">
      <c r="A45" s="16" t="s">
        <v>275</v>
      </c>
      <c r="B45" s="10">
        <f>(B43/100)*B44</f>
        <v>0</v>
      </c>
      <c r="C45" s="3" t="s">
        <v>12</v>
      </c>
      <c r="D45" s="4"/>
      <c r="E45" s="4"/>
      <c r="F45" s="4"/>
      <c r="G45" s="21"/>
    </row>
    <row r="46" spans="1:8" ht="18" x14ac:dyDescent="0.35">
      <c r="A46" s="16" t="s">
        <v>276</v>
      </c>
      <c r="B46" s="2"/>
      <c r="C46" s="3" t="s">
        <v>2</v>
      </c>
      <c r="D46" s="4"/>
      <c r="E46" s="4"/>
      <c r="F46" s="4"/>
      <c r="G46" s="21"/>
    </row>
    <row r="47" spans="1:8" x14ac:dyDescent="0.25">
      <c r="A47" s="16" t="s">
        <v>109</v>
      </c>
      <c r="B47" s="2"/>
      <c r="C47" s="3"/>
      <c r="D47" s="4"/>
      <c r="E47" s="4"/>
      <c r="F47" s="4"/>
      <c r="G47" s="21"/>
    </row>
    <row r="48" spans="1:8" x14ac:dyDescent="0.25">
      <c r="A48" s="16" t="s">
        <v>185</v>
      </c>
      <c r="B48" s="2"/>
      <c r="C48" s="3" t="s">
        <v>107</v>
      </c>
      <c r="D48" s="4"/>
      <c r="E48" s="4"/>
      <c r="F48" s="4"/>
      <c r="G48" s="21"/>
    </row>
    <row r="49" spans="1:8" x14ac:dyDescent="0.25">
      <c r="A49" s="16" t="s">
        <v>277</v>
      </c>
      <c r="B49" s="2"/>
      <c r="C49" s="3"/>
      <c r="D49" s="4"/>
      <c r="E49" s="4"/>
      <c r="F49" s="4"/>
      <c r="G49" s="21"/>
      <c r="H49" t="s">
        <v>286</v>
      </c>
    </row>
    <row r="50" spans="1:8" x14ac:dyDescent="0.25">
      <c r="A50" s="16" t="s">
        <v>278</v>
      </c>
      <c r="B50" s="15">
        <v>1.25</v>
      </c>
      <c r="C50" s="3"/>
      <c r="D50" s="4"/>
      <c r="E50" s="4"/>
      <c r="F50" s="4"/>
      <c r="G50" s="21"/>
      <c r="H50" t="s">
        <v>287</v>
      </c>
    </row>
    <row r="51" spans="1:8" ht="18" x14ac:dyDescent="0.35">
      <c r="A51" s="16" t="s">
        <v>280</v>
      </c>
      <c r="B51" s="13" t="e">
        <f>B45/(B49*B46*B48*B50*B47)</f>
        <v>#DIV/0!</v>
      </c>
      <c r="C51" s="9" t="s">
        <v>279</v>
      </c>
      <c r="D51" s="4"/>
      <c r="E51" s="4"/>
      <c r="F51" s="4"/>
      <c r="G51" s="21"/>
    </row>
    <row r="52" spans="1:8" x14ac:dyDescent="0.25">
      <c r="A52" s="16" t="s">
        <v>282</v>
      </c>
      <c r="B52" s="1" t="s">
        <v>41</v>
      </c>
      <c r="C52" s="179">
        <v>13</v>
      </c>
      <c r="D52" s="23" t="s">
        <v>281</v>
      </c>
      <c r="E52" s="86">
        <v>4.6100000000000003</v>
      </c>
      <c r="F52" s="18" t="s">
        <v>279</v>
      </c>
      <c r="G52" s="27"/>
    </row>
    <row r="53" spans="1:8" ht="17.25" x14ac:dyDescent="0.25">
      <c r="A53" s="16" t="s">
        <v>20</v>
      </c>
      <c r="B53" s="15">
        <v>4</v>
      </c>
      <c r="C53" s="3" t="s">
        <v>21</v>
      </c>
      <c r="D53" s="4"/>
      <c r="E53" s="4"/>
      <c r="F53" s="4"/>
      <c r="G53" s="21"/>
    </row>
    <row r="54" spans="1:8" ht="18" x14ac:dyDescent="0.35">
      <c r="A54" s="16" t="s">
        <v>283</v>
      </c>
      <c r="B54" s="13">
        <f>B49*B46*B48*(E52*B50*B47)</f>
        <v>0</v>
      </c>
      <c r="C54" s="3" t="s">
        <v>12</v>
      </c>
      <c r="D54" s="4"/>
      <c r="E54" s="4"/>
      <c r="F54" s="4"/>
      <c r="G54" s="21"/>
    </row>
    <row r="55" spans="1:8" ht="18" x14ac:dyDescent="0.35">
      <c r="A55" s="16" t="s">
        <v>284</v>
      </c>
      <c r="B55" s="19">
        <f>B54/B43*100</f>
        <v>0</v>
      </c>
      <c r="C55" s="3" t="s">
        <v>115</v>
      </c>
      <c r="D55" s="4"/>
      <c r="E55" s="4"/>
      <c r="F55" s="4"/>
      <c r="G55" s="21"/>
    </row>
    <row r="56" spans="1:8" ht="18" x14ac:dyDescent="0.35">
      <c r="A56" s="16" t="s">
        <v>285</v>
      </c>
      <c r="B56" s="10" t="str">
        <f>IF(B54&lt;=B45,"OK","Ikke OK")</f>
        <v>OK</v>
      </c>
      <c r="C56" s="3"/>
      <c r="D56" s="4"/>
      <c r="E56" s="4"/>
      <c r="F56" s="4"/>
      <c r="G56" s="21"/>
    </row>
    <row r="59" spans="1:8" x14ac:dyDescent="0.25">
      <c r="A59" s="18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"/>
  <sheetViews>
    <sheetView workbookViewId="0">
      <selection activeCell="C12" sqref="C12"/>
    </sheetView>
  </sheetViews>
  <sheetFormatPr defaultRowHeight="15" x14ac:dyDescent="0.25"/>
  <cols>
    <col min="1" max="1" width="32" customWidth="1"/>
    <col min="2" max="6" width="10.7109375" customWidth="1"/>
    <col min="7" max="7" width="5.7109375" customWidth="1"/>
  </cols>
  <sheetData>
    <row r="3" spans="1:8" x14ac:dyDescent="0.25">
      <c r="A3" s="71" t="s">
        <v>117</v>
      </c>
      <c r="B3" s="72" t="s">
        <v>5</v>
      </c>
      <c r="C3" s="74"/>
      <c r="D3" s="142"/>
      <c r="E3" s="74"/>
      <c r="F3" s="142"/>
      <c r="G3" s="117"/>
    </row>
    <row r="4" spans="1:8" ht="18" x14ac:dyDescent="0.35">
      <c r="A4" s="54" t="s">
        <v>118</v>
      </c>
      <c r="B4" s="30"/>
      <c r="C4" s="3"/>
      <c r="D4" s="4"/>
      <c r="E4" s="4"/>
      <c r="F4" s="4"/>
      <c r="G4" s="21"/>
      <c r="H4" t="s">
        <v>429</v>
      </c>
    </row>
    <row r="5" spans="1:8" ht="18" x14ac:dyDescent="0.35">
      <c r="A5" s="1" t="s">
        <v>1</v>
      </c>
      <c r="B5" s="157"/>
      <c r="C5" s="3"/>
      <c r="D5" s="4"/>
      <c r="E5" s="4"/>
      <c r="F5" s="4"/>
      <c r="G5" s="21"/>
    </row>
    <row r="6" spans="1:8" ht="18" x14ac:dyDescent="0.35">
      <c r="A6" s="1" t="s">
        <v>119</v>
      </c>
      <c r="B6" s="85" t="e">
        <f>(B4/(3*B5))*100</f>
        <v>#DIV/0!</v>
      </c>
      <c r="C6" s="3"/>
      <c r="D6" s="4"/>
      <c r="E6" s="4"/>
      <c r="F6" s="4"/>
      <c r="G6" s="21"/>
    </row>
    <row r="7" spans="1:8" ht="18" x14ac:dyDescent="0.35">
      <c r="A7" s="1" t="s">
        <v>120</v>
      </c>
      <c r="B7" s="38">
        <v>0.86</v>
      </c>
      <c r="C7" s="3"/>
      <c r="D7" s="4"/>
      <c r="E7" s="4"/>
      <c r="F7" s="4"/>
      <c r="G7" s="21"/>
      <c r="H7" t="s">
        <v>121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zoomScaleNormal="100" workbookViewId="0">
      <selection activeCell="B7" sqref="B7"/>
    </sheetView>
  </sheetViews>
  <sheetFormatPr defaultRowHeight="15" x14ac:dyDescent="0.25"/>
  <cols>
    <col min="1" max="1" width="32" customWidth="1"/>
    <col min="2" max="6" width="10.7109375" customWidth="1"/>
    <col min="7" max="7" width="5.7109375" customWidth="1"/>
  </cols>
  <sheetData>
    <row r="2" spans="1:7" x14ac:dyDescent="0.25">
      <c r="A2" t="s">
        <v>153</v>
      </c>
    </row>
    <row r="5" spans="1:7" x14ac:dyDescent="0.25">
      <c r="A5" s="135" t="s">
        <v>150</v>
      </c>
      <c r="B5" s="136"/>
      <c r="C5" s="136"/>
      <c r="D5" s="159"/>
      <c r="E5" s="159"/>
      <c r="F5" s="159"/>
      <c r="G5" s="137"/>
    </row>
    <row r="6" spans="1:7" ht="18" x14ac:dyDescent="0.35">
      <c r="A6" s="54" t="s">
        <v>203</v>
      </c>
      <c r="B6" s="209"/>
      <c r="C6" s="3" t="s">
        <v>2</v>
      </c>
      <c r="D6" s="4"/>
      <c r="E6" s="160"/>
      <c r="F6" s="4"/>
      <c r="G6" s="21"/>
    </row>
    <row r="7" spans="1:7" ht="18" x14ac:dyDescent="0.35">
      <c r="A7" s="1" t="s">
        <v>142</v>
      </c>
      <c r="B7" s="210"/>
      <c r="C7" s="9" t="s">
        <v>8</v>
      </c>
      <c r="D7" s="4"/>
      <c r="E7" s="4"/>
      <c r="F7" s="4"/>
      <c r="G7" s="21"/>
    </row>
    <row r="8" spans="1:7" ht="18.75" x14ac:dyDescent="0.35">
      <c r="A8" s="1" t="s">
        <v>152</v>
      </c>
      <c r="B8" s="37">
        <f>COS(B7*PI()/180)</f>
        <v>1</v>
      </c>
      <c r="C8" s="3"/>
      <c r="D8" s="4"/>
      <c r="E8" s="4"/>
      <c r="F8" s="160"/>
      <c r="G8" s="21"/>
    </row>
    <row r="9" spans="1:7" ht="18" x14ac:dyDescent="0.35">
      <c r="A9" s="1" t="s">
        <v>218</v>
      </c>
      <c r="B9" s="37">
        <f>B6*B8</f>
        <v>0</v>
      </c>
      <c r="C9" s="3" t="s">
        <v>2</v>
      </c>
      <c r="D9" s="4"/>
      <c r="E9" s="4"/>
      <c r="F9" s="4"/>
      <c r="G9" s="21"/>
    </row>
    <row r="10" spans="1:7" ht="18" x14ac:dyDescent="0.35">
      <c r="A10" s="1" t="s">
        <v>147</v>
      </c>
      <c r="B10" s="37">
        <f>DEGREES(ACOS(B11))</f>
        <v>25.841932763167126</v>
      </c>
      <c r="C10" s="9" t="s">
        <v>8</v>
      </c>
      <c r="D10" s="4"/>
      <c r="E10" s="4"/>
      <c r="F10" s="4"/>
      <c r="G10" s="21"/>
    </row>
    <row r="11" spans="1:7" ht="18" x14ac:dyDescent="0.35">
      <c r="A11" s="1" t="s">
        <v>143</v>
      </c>
      <c r="B11" s="35">
        <v>0.9</v>
      </c>
      <c r="C11" s="3"/>
      <c r="D11" s="4"/>
      <c r="E11" s="4"/>
      <c r="F11" s="4"/>
      <c r="G11" s="21"/>
    </row>
    <row r="12" spans="1:7" ht="18" x14ac:dyDescent="0.35">
      <c r="A12" s="1" t="s">
        <v>144</v>
      </c>
      <c r="B12" s="37">
        <f>B9*(TAN(B7*PI()/180)-TAN(B10*PI()/180))</f>
        <v>0</v>
      </c>
      <c r="C12" s="3" t="s">
        <v>2</v>
      </c>
      <c r="D12" s="4"/>
      <c r="E12" s="4"/>
      <c r="F12" s="4"/>
      <c r="G12" s="21"/>
    </row>
    <row r="13" spans="1:7" ht="18" x14ac:dyDescent="0.35">
      <c r="A13" s="1" t="s">
        <v>145</v>
      </c>
      <c r="B13" s="37">
        <f>(B12*0.4*SQRT(3))</f>
        <v>0</v>
      </c>
      <c r="C13" s="3" t="s">
        <v>146</v>
      </c>
      <c r="D13" s="4"/>
      <c r="E13" s="4"/>
      <c r="F13" s="4"/>
      <c r="G13" s="21"/>
    </row>
    <row r="14" spans="1:7" ht="18" x14ac:dyDescent="0.35">
      <c r="A14" s="1" t="s">
        <v>148</v>
      </c>
      <c r="B14" s="35"/>
      <c r="C14" s="3" t="s">
        <v>146</v>
      </c>
      <c r="D14" s="4"/>
      <c r="E14" s="4"/>
      <c r="F14" s="4"/>
      <c r="G14" s="21"/>
    </row>
    <row r="15" spans="1:7" ht="18" x14ac:dyDescent="0.35">
      <c r="A15" s="1" t="s">
        <v>149</v>
      </c>
      <c r="B15" s="37" t="e">
        <f>B13/B14</f>
        <v>#DIV/0!</v>
      </c>
      <c r="C15" s="3" t="s">
        <v>151</v>
      </c>
      <c r="D15" s="4"/>
      <c r="E15" s="4"/>
      <c r="F15" s="4"/>
      <c r="G15" s="21"/>
    </row>
    <row r="16" spans="1:7" x14ac:dyDescent="0.25">
      <c r="A16" s="1" t="s">
        <v>204</v>
      </c>
      <c r="B16" s="59">
        <v>6</v>
      </c>
      <c r="C16" s="3" t="s">
        <v>151</v>
      </c>
      <c r="D16" s="4"/>
      <c r="E16" s="4"/>
      <c r="F16" s="4"/>
      <c r="G16" s="21"/>
    </row>
    <row r="19" spans="1:7" x14ac:dyDescent="0.25">
      <c r="A19" s="71" t="s">
        <v>205</v>
      </c>
      <c r="B19" s="72"/>
      <c r="C19" s="72"/>
      <c r="D19" s="151"/>
      <c r="E19" s="151"/>
      <c r="F19" s="151"/>
      <c r="G19" s="116"/>
    </row>
    <row r="20" spans="1:7" ht="18" x14ac:dyDescent="0.35">
      <c r="A20" s="54" t="s">
        <v>206</v>
      </c>
      <c r="B20" s="211">
        <f>B14*B16</f>
        <v>0</v>
      </c>
      <c r="C20" s="3" t="s">
        <v>146</v>
      </c>
      <c r="D20" s="4"/>
      <c r="E20" s="4"/>
      <c r="F20" s="4"/>
      <c r="G20" s="21"/>
    </row>
    <row r="21" spans="1:7" ht="18" x14ac:dyDescent="0.35">
      <c r="A21" s="1" t="s">
        <v>207</v>
      </c>
      <c r="B21" s="37">
        <f>B20/(SQRT(3)*0.4)</f>
        <v>0</v>
      </c>
      <c r="C21" s="3" t="s">
        <v>2</v>
      </c>
      <c r="D21" s="4"/>
      <c r="E21" s="4"/>
      <c r="F21" s="4"/>
      <c r="G21" s="21"/>
    </row>
    <row r="22" spans="1:7" ht="18" x14ac:dyDescent="0.35">
      <c r="A22" s="1" t="s">
        <v>208</v>
      </c>
      <c r="B22" s="37">
        <f>SIN(B7*PI()/180)*B6</f>
        <v>0</v>
      </c>
      <c r="C22" s="3" t="s">
        <v>2</v>
      </c>
      <c r="D22" s="4"/>
      <c r="E22" s="4"/>
      <c r="F22" s="4"/>
      <c r="G22" s="21"/>
    </row>
    <row r="23" spans="1:7" ht="18" x14ac:dyDescent="0.35">
      <c r="A23" s="1" t="s">
        <v>209</v>
      </c>
      <c r="B23" s="37">
        <f>B22-B21</f>
        <v>0</v>
      </c>
      <c r="C23" s="3" t="s">
        <v>2</v>
      </c>
      <c r="D23" s="4"/>
      <c r="E23" s="4"/>
      <c r="F23" s="4"/>
      <c r="G23" s="21"/>
    </row>
    <row r="24" spans="1:7" ht="18.75" x14ac:dyDescent="0.35">
      <c r="A24" s="1" t="s">
        <v>210</v>
      </c>
      <c r="B24" s="59">
        <f>SQRT(B9^2+B23^2)</f>
        <v>0</v>
      </c>
      <c r="C24" s="121" t="s">
        <v>2</v>
      </c>
      <c r="D24" s="122"/>
      <c r="E24" s="122"/>
      <c r="F24" s="122"/>
      <c r="G24" s="123"/>
    </row>
    <row r="25" spans="1:7" ht="18" x14ac:dyDescent="0.35">
      <c r="A25" s="1" t="s">
        <v>211</v>
      </c>
      <c r="B25" s="59" t="e">
        <f>B9/B24</f>
        <v>#DIV/0!</v>
      </c>
      <c r="C25" s="121"/>
      <c r="D25" s="122"/>
      <c r="E25" s="122"/>
      <c r="F25" s="122"/>
      <c r="G25" s="123"/>
    </row>
    <row r="26" spans="1:7" ht="17.25" x14ac:dyDescent="0.25">
      <c r="A26" s="1" t="s">
        <v>297</v>
      </c>
      <c r="B26" s="45" t="e">
        <f>DEGREES(ACOS(B25))</f>
        <v>#DIV/0!</v>
      </c>
      <c r="C26" s="9" t="s">
        <v>8</v>
      </c>
      <c r="D26" s="4"/>
      <c r="E26" s="4"/>
      <c r="F26" s="4"/>
      <c r="G26" s="2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31"/>
  <sheetViews>
    <sheetView topLeftCell="A9" workbookViewId="0">
      <selection activeCell="K30" sqref="K30"/>
    </sheetView>
  </sheetViews>
  <sheetFormatPr defaultRowHeight="15" x14ac:dyDescent="0.25"/>
  <cols>
    <col min="1" max="1" width="32" customWidth="1"/>
    <col min="2" max="6" width="10.7109375" customWidth="1"/>
    <col min="7" max="7" width="5.7109375" customWidth="1"/>
  </cols>
  <sheetData>
    <row r="3" spans="1:7" x14ac:dyDescent="0.25">
      <c r="A3" s="71" t="s">
        <v>308</v>
      </c>
      <c r="B3" s="72" t="s">
        <v>5</v>
      </c>
      <c r="C3" s="72"/>
      <c r="D3" s="72"/>
      <c r="E3" s="72"/>
      <c r="F3" s="72"/>
      <c r="G3" s="73"/>
    </row>
    <row r="4" spans="1:7" ht="18" x14ac:dyDescent="0.35">
      <c r="A4" s="1" t="s">
        <v>1</v>
      </c>
      <c r="B4" s="2"/>
      <c r="C4" s="3" t="s">
        <v>2</v>
      </c>
      <c r="D4" s="4"/>
      <c r="E4" s="4"/>
      <c r="F4" s="4"/>
      <c r="G4" s="21"/>
    </row>
    <row r="5" spans="1:7" ht="18" x14ac:dyDescent="0.35">
      <c r="A5" s="1" t="s">
        <v>310</v>
      </c>
      <c r="B5" s="189"/>
      <c r="C5" s="3" t="s">
        <v>2</v>
      </c>
      <c r="D5" s="4"/>
      <c r="E5" s="4"/>
      <c r="F5" s="4"/>
      <c r="G5" s="21"/>
    </row>
    <row r="6" spans="1:7" x14ac:dyDescent="0.25">
      <c r="A6" s="1" t="s">
        <v>301</v>
      </c>
      <c r="B6" s="189"/>
      <c r="C6" s="3" t="s">
        <v>130</v>
      </c>
      <c r="D6" s="4"/>
      <c r="E6" s="4"/>
      <c r="F6" s="4"/>
      <c r="G6" s="21"/>
    </row>
    <row r="7" spans="1:7" ht="18" x14ac:dyDescent="0.35">
      <c r="A7" s="1" t="s">
        <v>311</v>
      </c>
      <c r="B7" s="10">
        <f>B5*B6</f>
        <v>0</v>
      </c>
      <c r="C7" s="3" t="s">
        <v>2</v>
      </c>
      <c r="D7" s="4"/>
      <c r="E7" s="4"/>
      <c r="F7" s="4"/>
      <c r="G7" s="21"/>
    </row>
    <row r="8" spans="1:7" ht="18" x14ac:dyDescent="0.35">
      <c r="A8" s="1" t="s">
        <v>309</v>
      </c>
      <c r="B8" s="193" t="e">
        <f>(B4/B7)*100</f>
        <v>#DIV/0!</v>
      </c>
      <c r="C8" s="3" t="s">
        <v>115</v>
      </c>
      <c r="D8" s="4"/>
      <c r="E8" s="4"/>
      <c r="F8" s="4"/>
      <c r="G8" s="21"/>
    </row>
    <row r="10" spans="1:7" x14ac:dyDescent="0.25">
      <c r="A10" t="s">
        <v>92</v>
      </c>
    </row>
    <row r="12" spans="1:7" x14ac:dyDescent="0.25">
      <c r="A12" s="100" t="s">
        <v>126</v>
      </c>
      <c r="B12" s="100" t="s">
        <v>89</v>
      </c>
      <c r="C12" s="100"/>
      <c r="D12" s="100"/>
      <c r="E12" s="100"/>
      <c r="F12" s="100"/>
      <c r="G12" s="115"/>
    </row>
    <row r="13" spans="1:7" ht="18" x14ac:dyDescent="0.35">
      <c r="A13" s="43" t="s">
        <v>11</v>
      </c>
      <c r="B13" s="30">
        <v>0.4</v>
      </c>
      <c r="C13" s="51" t="s">
        <v>86</v>
      </c>
      <c r="D13" s="51"/>
      <c r="E13" s="51"/>
      <c r="F13" s="51"/>
      <c r="G13" s="51"/>
    </row>
    <row r="14" spans="1:7" x14ac:dyDescent="0.25">
      <c r="A14" s="3" t="s">
        <v>122</v>
      </c>
      <c r="B14" s="34"/>
      <c r="C14" s="51" t="s">
        <v>123</v>
      </c>
      <c r="D14" s="51"/>
      <c r="E14" s="51"/>
      <c r="F14" s="51"/>
      <c r="G14" s="51"/>
    </row>
    <row r="15" spans="1:7" x14ac:dyDescent="0.25">
      <c r="A15" s="3" t="s">
        <v>124</v>
      </c>
      <c r="B15" s="34"/>
      <c r="C15" s="51"/>
      <c r="D15" s="51"/>
      <c r="E15" s="51"/>
      <c r="F15" s="51"/>
      <c r="G15" s="51"/>
    </row>
    <row r="16" spans="1:7" ht="18" x14ac:dyDescent="0.35">
      <c r="A16" s="3" t="s">
        <v>125</v>
      </c>
      <c r="B16" s="64" t="e">
        <f>B14/(SQRT(3)*B13*B15)</f>
        <v>#DIV/0!</v>
      </c>
      <c r="C16" s="51" t="s">
        <v>2</v>
      </c>
      <c r="D16" s="51"/>
      <c r="E16" s="51"/>
      <c r="F16" s="51"/>
      <c r="G16" s="51"/>
    </row>
    <row r="19" spans="1:8" x14ac:dyDescent="0.25">
      <c r="A19" s="71" t="s">
        <v>127</v>
      </c>
      <c r="B19" s="72" t="s">
        <v>136</v>
      </c>
      <c r="C19" s="72"/>
      <c r="D19" s="72"/>
      <c r="E19" s="151"/>
      <c r="F19" s="151"/>
      <c r="G19" s="116"/>
    </row>
    <row r="20" spans="1:8" x14ac:dyDescent="0.25">
      <c r="A20" s="43" t="s">
        <v>128</v>
      </c>
      <c r="B20" s="30"/>
      <c r="C20" s="3"/>
      <c r="D20" s="4"/>
      <c r="E20" s="4"/>
      <c r="F20" s="4"/>
      <c r="G20" s="21"/>
      <c r="H20" t="s">
        <v>133</v>
      </c>
    </row>
    <row r="21" spans="1:8" x14ac:dyDescent="0.25">
      <c r="A21" s="3" t="s">
        <v>129</v>
      </c>
      <c r="B21" s="34"/>
      <c r="C21" s="3" t="s">
        <v>130</v>
      </c>
      <c r="D21" s="4"/>
      <c r="E21" s="4"/>
      <c r="F21" s="4"/>
      <c r="G21" s="21"/>
      <c r="H21" t="s">
        <v>134</v>
      </c>
    </row>
    <row r="22" spans="1:8" ht="18" x14ac:dyDescent="0.35">
      <c r="A22" s="3" t="s">
        <v>1</v>
      </c>
      <c r="B22" s="157"/>
      <c r="C22" s="3" t="s">
        <v>2</v>
      </c>
      <c r="D22" s="4"/>
      <c r="E22" s="4"/>
      <c r="F22" s="4"/>
      <c r="G22" s="21"/>
      <c r="H22" t="s">
        <v>135</v>
      </c>
    </row>
    <row r="23" spans="1:8" ht="18" x14ac:dyDescent="0.35">
      <c r="A23" s="3" t="s">
        <v>11</v>
      </c>
      <c r="B23" s="34">
        <v>0.4</v>
      </c>
      <c r="C23" s="3" t="s">
        <v>86</v>
      </c>
      <c r="D23" s="4"/>
      <c r="E23" s="4"/>
      <c r="F23" s="4"/>
      <c r="G23" s="21"/>
    </row>
    <row r="24" spans="1:8" ht="18" x14ac:dyDescent="0.35">
      <c r="A24" s="3" t="s">
        <v>131</v>
      </c>
      <c r="B24" s="37">
        <f>B20*B21*B22*SQRT(3)*B23</f>
        <v>0</v>
      </c>
      <c r="C24" s="3" t="s">
        <v>132</v>
      </c>
      <c r="D24" s="4"/>
      <c r="E24" s="4"/>
      <c r="F24" s="4"/>
      <c r="G24" s="21"/>
    </row>
    <row r="27" spans="1:8" ht="18" x14ac:dyDescent="0.35">
      <c r="A27" s="71" t="s">
        <v>421</v>
      </c>
      <c r="B27" s="72"/>
      <c r="C27" s="72"/>
      <c r="D27" s="72"/>
      <c r="E27" s="72"/>
      <c r="F27" s="72"/>
      <c r="G27" s="73"/>
    </row>
    <row r="28" spans="1:8" ht="18" x14ac:dyDescent="0.35">
      <c r="A28" s="1" t="s">
        <v>113</v>
      </c>
      <c r="B28" s="2">
        <v>230</v>
      </c>
      <c r="C28" s="3" t="s">
        <v>12</v>
      </c>
      <c r="D28" s="4"/>
      <c r="E28" s="4"/>
      <c r="F28" s="4"/>
      <c r="G28" s="21"/>
    </row>
    <row r="29" spans="1:8" x14ac:dyDescent="0.25">
      <c r="A29" s="1" t="s">
        <v>422</v>
      </c>
      <c r="B29" s="2"/>
      <c r="C29" s="3" t="s">
        <v>2</v>
      </c>
      <c r="D29" s="4"/>
      <c r="E29" s="4"/>
      <c r="F29" s="4"/>
      <c r="G29" s="21"/>
    </row>
    <row r="30" spans="1:8" x14ac:dyDescent="0.25">
      <c r="A30" s="1" t="s">
        <v>423</v>
      </c>
      <c r="B30" s="2"/>
      <c r="C30" s="3"/>
      <c r="D30" s="4"/>
      <c r="E30" s="4"/>
      <c r="F30" s="4"/>
      <c r="G30" s="21"/>
    </row>
    <row r="31" spans="1:8" ht="18" x14ac:dyDescent="0.35">
      <c r="A31" s="1" t="s">
        <v>424</v>
      </c>
      <c r="B31" s="19">
        <f>(B29*B30)/B28</f>
        <v>0</v>
      </c>
      <c r="C31" s="3" t="s">
        <v>2</v>
      </c>
      <c r="D31" s="4"/>
      <c r="E31" s="4"/>
      <c r="F31" s="4"/>
      <c r="G31" s="2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>
      <selection activeCell="L16" sqref="L16"/>
    </sheetView>
  </sheetViews>
  <sheetFormatPr defaultRowHeight="15" x14ac:dyDescent="0.25"/>
  <cols>
    <col min="1" max="1" width="28.7109375" customWidth="1"/>
    <col min="3" max="3" width="12.42578125" bestFit="1" customWidth="1"/>
  </cols>
  <sheetData>
    <row r="1" spans="1:5" x14ac:dyDescent="0.25">
      <c r="A1" t="s">
        <v>488</v>
      </c>
    </row>
    <row r="3" spans="1:5" x14ac:dyDescent="0.25">
      <c r="A3" s="71" t="s">
        <v>314</v>
      </c>
      <c r="B3" s="72"/>
      <c r="C3" s="73"/>
    </row>
    <row r="4" spans="1:5" x14ac:dyDescent="0.25">
      <c r="A4" s="1" t="s">
        <v>315</v>
      </c>
      <c r="B4" s="2"/>
      <c r="C4" s="1"/>
    </row>
    <row r="5" spans="1:5" x14ac:dyDescent="0.25">
      <c r="A5" s="1" t="s">
        <v>316</v>
      </c>
      <c r="B5" s="2"/>
      <c r="C5" s="1"/>
    </row>
    <row r="6" spans="1:5" ht="18" x14ac:dyDescent="0.35">
      <c r="A6" s="1" t="s">
        <v>317</v>
      </c>
      <c r="B6" s="10">
        <f>D6+E6</f>
        <v>0</v>
      </c>
      <c r="C6" s="1"/>
      <c r="D6">
        <f>IF(B4=1,85,0)</f>
        <v>0</v>
      </c>
      <c r="E6">
        <f>IF(B5=1,850,0)</f>
        <v>0</v>
      </c>
    </row>
    <row r="7" spans="1:5" ht="18.75" x14ac:dyDescent="0.35">
      <c r="A7" s="1" t="s">
        <v>318</v>
      </c>
      <c r="C7" s="1" t="s">
        <v>319</v>
      </c>
    </row>
    <row r="8" spans="1:5" ht="18" x14ac:dyDescent="0.35">
      <c r="A8" s="1" t="s">
        <v>320</v>
      </c>
      <c r="B8" s="2"/>
      <c r="C8" s="1" t="s">
        <v>107</v>
      </c>
    </row>
    <row r="9" spans="1:5" ht="18" x14ac:dyDescent="0.35">
      <c r="A9" s="1" t="s">
        <v>321</v>
      </c>
      <c r="B9" s="2"/>
      <c r="C9" s="1" t="s">
        <v>107</v>
      </c>
    </row>
    <row r="10" spans="1:5" ht="18" x14ac:dyDescent="0.35">
      <c r="A10" s="1" t="s">
        <v>322</v>
      </c>
      <c r="B10" s="2"/>
      <c r="C10" s="1" t="s">
        <v>107</v>
      </c>
    </row>
    <row r="11" spans="1:5" ht="18" x14ac:dyDescent="0.35">
      <c r="A11" s="183" t="s">
        <v>323</v>
      </c>
      <c r="B11" s="2"/>
      <c r="C11" s="1" t="s">
        <v>324</v>
      </c>
    </row>
    <row r="12" spans="1:5" ht="18" x14ac:dyDescent="0.35">
      <c r="A12" s="1" t="s">
        <v>325</v>
      </c>
      <c r="B12" s="10">
        <f>(2*B8+B9)+(0.4*B10)+(0.2*B11)</f>
        <v>0</v>
      </c>
      <c r="C12" s="1"/>
    </row>
    <row r="13" spans="1:5" ht="18" x14ac:dyDescent="0.35">
      <c r="A13" s="1" t="s">
        <v>326</v>
      </c>
      <c r="B13" s="19" t="e">
        <f>B6/(B12*B7)</f>
        <v>#DIV/0!</v>
      </c>
      <c r="C13" s="1"/>
    </row>
    <row r="31" spans="1:4" x14ac:dyDescent="0.25">
      <c r="A31" s="71" t="s">
        <v>327</v>
      </c>
      <c r="B31" s="72"/>
      <c r="C31" s="72"/>
      <c r="D31" s="73"/>
    </row>
    <row r="32" spans="1:4" x14ac:dyDescent="0.25">
      <c r="A32" s="169"/>
      <c r="B32" s="170" t="s">
        <v>328</v>
      </c>
      <c r="C32" s="171"/>
      <c r="D32" s="172"/>
    </row>
    <row r="33" spans="1:4" x14ac:dyDescent="0.25">
      <c r="A33" s="15"/>
      <c r="B33" s="170" t="s">
        <v>331</v>
      </c>
      <c r="C33" s="171"/>
      <c r="D33" s="172"/>
    </row>
    <row r="34" spans="1:4" x14ac:dyDescent="0.25">
      <c r="A34" s="10"/>
      <c r="B34" s="170" t="s">
        <v>329</v>
      </c>
      <c r="C34" s="171"/>
      <c r="D34" s="172"/>
    </row>
    <row r="35" spans="1:4" x14ac:dyDescent="0.25">
      <c r="A35" s="47"/>
      <c r="B35" s="170" t="s">
        <v>330</v>
      </c>
      <c r="C35" s="171"/>
      <c r="D35" s="172"/>
    </row>
    <row r="36" spans="1:4" x14ac:dyDescent="0.25">
      <c r="A36" s="189"/>
      <c r="B36" s="170" t="s">
        <v>332</v>
      </c>
      <c r="C36" s="171"/>
      <c r="D36" s="172"/>
    </row>
    <row r="37" spans="1:4" x14ac:dyDescent="0.25">
      <c r="A37" s="14"/>
      <c r="B37" s="170" t="s">
        <v>255</v>
      </c>
      <c r="C37" s="171"/>
      <c r="D37" s="17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</vt:lpstr>
      <vt:lpstr>Dim. MCCB</vt:lpstr>
      <vt:lpstr>Dim. MCB</vt:lpstr>
      <vt:lpstr>Dim. SM</vt:lpstr>
      <vt:lpstr>Dim. MMS</vt:lpstr>
      <vt:lpstr>Dim. RCBO</vt:lpstr>
      <vt:lpstr>Dim. KS</vt:lpstr>
      <vt:lpstr>SP</vt:lpstr>
      <vt:lpstr>OH</vt:lpstr>
      <vt:lpstr>FK</vt:lpstr>
      <vt:lpstr>BL</vt:lpstr>
      <vt:lpstr>transient overspænding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Ghaith Al-Maliki</dc:creator>
  <cp:lastModifiedBy>Ghaith</cp:lastModifiedBy>
  <dcterms:created xsi:type="dcterms:W3CDTF">2023-08-23T07:07:27Z</dcterms:created>
  <dcterms:modified xsi:type="dcterms:W3CDTF">2025-07-30T18:40:42Z</dcterms:modified>
</cp:coreProperties>
</file>