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lets" sheetId="1" state="visible" r:id="rId2"/>
    <sheet name="Outlets" sheetId="2" state="visible" r:id="rId3"/>
    <sheet name="Sheet1" sheetId="3" state="visible" r:id="rId4"/>
    <sheet name="Plant" sheetId="4" state="visible" r:id="rId5"/>
    <sheet name="Liquids" sheetId="5" state="visible" r:id="rId6"/>
    <sheet name="Rollup" sheetId="6" state="visible" r:id="rId7"/>
    <sheet name="Sheet2" sheetId="7" state="visible" r:id="rId8"/>
    <sheet name="CALC" sheetId="8" state="hidden" r:id="rId9"/>
    <sheet name="FlowCal" sheetId="9" state="visible" r:id="rId10"/>
    <sheet name="Model Output" sheetId="10" state="visible" r:id="rId11"/>
    <sheet name="Model CS" sheetId="11" state="visible" r:id="rId12"/>
    <sheet name="Recovery" sheetId="12" state="visible" r:id="rId13"/>
    <sheet name="H2O" sheetId="13" state="visible" r:id="rId14"/>
    <sheet name="FlowCal Raw" sheetId="14" state="visible" r:id="rId15"/>
  </sheets>
  <externalReferences>
    <externalReference r:id="rId16"/>
    <externalReference r:id="rId17"/>
  </externalReferences>
  <definedNames>
    <definedName function="false" hidden="true" localSheetId="5" name="_xlnm._FilterDatabase" vbProcedure="false">Rollup!$A$1:$BP$150</definedName>
    <definedName function="false" hidden="false" name="Adjust" vbProcedure="false">'[1]H2O Adjust'!$A$2:$M$66</definedName>
    <definedName function="false" hidden="false" name="All_Data" vbProcedure="false">Rollup!$A$4:$BP$154</definedName>
    <definedName function="false" hidden="false" name="CompOut" vbProcedure="false">'Model CS'!$B$47:$M$60</definedName>
    <definedName function="false" hidden="false" name="Coms" vbProcedure="false">[1]Input!$B$4:$CW$17</definedName>
    <definedName function="false" hidden="false" name="Envl" vbProcedure="false">[1]Envelope!$B$1:$BH$37</definedName>
    <definedName function="false" hidden="false" name="Equiv_MCF" vbProcedure="false">Liquids!$R$3:$BI$19</definedName>
    <definedName function="false" hidden="false" name="FlowCal" vbProcedure="false">'[1]FlowCal Data'!$A$2:$P$122</definedName>
    <definedName function="false" hidden="false" name="h2o" vbProcedure="false">H2O!$A$2:$B$65</definedName>
    <definedName function="false" hidden="false" name="Hypo" vbProcedure="false">[1]Validation!$A$2:$G$77</definedName>
    <definedName function="false" hidden="false" name="RawData" vbProcedure="false">[1]ReceiptPoints!$A$2:$P$148</definedName>
    <definedName function="false" hidden="false" name="Target" vbProcedure="false">'Model Output'!$A$40</definedName>
    <definedName function="false" hidden="false" name="WorkData" vbProcedure="false">'[1]FlowCal Data'!$A$2:$P$150</definedName>
    <definedName function="false" hidden="false" localSheetId="11" name="All_Data" vbProcedure="false">[2]Rollup!$A$4:$BP$143</definedName>
    <definedName function="false" hidden="false" localSheetId="11" name="Equiv_MCF" vbProcedure="false">[2]Liquids!$R$3:$BI$19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0" authorId="0">
      <text>
        <r>
          <rPr>
            <sz val="11"/>
            <color rgb="FF000000"/>
            <rFont val="Calibri"/>
            <family val="2"/>
            <charset val="1"/>
          </rPr>
          <t xml:space="preserve">Widiker, Todd:
</t>
        </r>
        <r>
          <rPr>
            <sz val="9"/>
            <color rgb="FF000000"/>
            <rFont val="Tahoma"/>
            <family val="2"/>
            <charset val="1"/>
          </rPr>
          <t xml:space="preserve">NGL Tickets cut using SPL data for December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28" authorId="0">
      <text>
        <r>
          <rPr>
            <sz val="11"/>
            <color rgb="FF000000"/>
            <rFont val="Calibri"/>
            <family val="2"/>
            <charset val="1"/>
          </rPr>
          <t xml:space="preserve">Widiker, Todd:
</t>
        </r>
        <r>
          <rPr>
            <sz val="9"/>
            <color rgb="FF000000"/>
            <rFont val="Tahoma"/>
            <family val="2"/>
            <charset val="1"/>
          </rPr>
          <t xml:space="preserve">Volume per RS.  Update when statement arrives.
Set to capture on Outlets tab.</t>
        </r>
      </text>
    </comment>
  </commentList>
</comments>
</file>

<file path=xl/sharedStrings.xml><?xml version="1.0" encoding="utf-8"?>
<sst xmlns="http://schemas.openxmlformats.org/spreadsheetml/2006/main" count="2165" uniqueCount="458">
  <si>
    <t xml:space="preserve">Mcf</t>
  </si>
  <si>
    <t xml:space="preserve">CO2</t>
  </si>
  <si>
    <t xml:space="preserve">N2</t>
  </si>
  <si>
    <t xml:space="preserve">C1</t>
  </si>
  <si>
    <t xml:space="preserve">C2</t>
  </si>
  <si>
    <t xml:space="preserve">C3</t>
  </si>
  <si>
    <t xml:space="preserve">ISOC4</t>
  </si>
  <si>
    <t xml:space="preserve">NC4</t>
  </si>
  <si>
    <t xml:space="preserve">ISOC5</t>
  </si>
  <si>
    <t xml:space="preserve">NC5</t>
  </si>
  <si>
    <t xml:space="preserve">C6+</t>
  </si>
  <si>
    <t xml:space="preserve">Total</t>
  </si>
  <si>
    <t xml:space="preserve">Loss/Gain C5+</t>
  </si>
  <si>
    <t xml:space="preserve">mmBtu</t>
  </si>
  <si>
    <t xml:space="preserve">HV</t>
  </si>
  <si>
    <t xml:space="preserve">Reported</t>
  </si>
  <si>
    <t xml:space="preserve">Ratio</t>
  </si>
  <si>
    <t xml:space="preserve">Total Receipts</t>
  </si>
  <si>
    <t xml:space="preserve">C5+ Mcf Receipts</t>
  </si>
  <si>
    <t xml:space="preserve">Deliveries and Consumed</t>
  </si>
  <si>
    <t xml:space="preserve">Gain/(Loss)</t>
  </si>
  <si>
    <t xml:space="preserve">C5+ Mcf</t>
  </si>
  <si>
    <t xml:space="preserve">% Gain/(Loss)</t>
  </si>
  <si>
    <t xml:space="preserve">C5+ As Condensate Bbls</t>
  </si>
  <si>
    <t xml:space="preserve">Field Condensate Price</t>
  </si>
  <si>
    <t xml:space="preserve">Inlet Comp</t>
  </si>
  <si>
    <t xml:space="preserve">Outlet Comp</t>
  </si>
  <si>
    <t xml:space="preserve">Serial Number</t>
  </si>
  <si>
    <t xml:space="preserve">Name</t>
  </si>
  <si>
    <t xml:space="preserve">1.01.1</t>
  </si>
  <si>
    <t xml:space="preserve">1.01.2</t>
  </si>
  <si>
    <t xml:space="preserve">1.01.3</t>
  </si>
  <si>
    <t xml:space="preserve">1.01.4</t>
  </si>
  <si>
    <t xml:space="preserve">1.01.5</t>
  </si>
  <si>
    <t xml:space="preserve">1.01.6</t>
  </si>
  <si>
    <t xml:space="preserve">1.01.7</t>
  </si>
  <si>
    <t xml:space="preserve">1.01.8</t>
  </si>
  <si>
    <t xml:space="preserve">1.01.9</t>
  </si>
  <si>
    <t xml:space="preserve">1.10.1</t>
  </si>
  <si>
    <t xml:space="preserve">2.02.6</t>
  </si>
  <si>
    <t xml:space="preserve">2.02.7</t>
  </si>
  <si>
    <t xml:space="preserve">2.03.1</t>
  </si>
  <si>
    <t xml:space="preserve">2.03.2</t>
  </si>
  <si>
    <t xml:space="preserve">2.03.3</t>
  </si>
  <si>
    <t xml:space="preserve">2.03.4</t>
  </si>
  <si>
    <t xml:space="preserve">2.03.5</t>
  </si>
  <si>
    <t xml:space="preserve">2.03.6</t>
  </si>
  <si>
    <t xml:space="preserve">2.03.7</t>
  </si>
  <si>
    <t xml:space="preserve">2.03.8</t>
  </si>
  <si>
    <t xml:space="preserve">2.03.9</t>
  </si>
  <si>
    <t xml:space="preserve">2.05.1</t>
  </si>
  <si>
    <t xml:space="preserve">2.05.5</t>
  </si>
  <si>
    <t xml:space="preserve">2.07.1</t>
  </si>
  <si>
    <t xml:space="preserve">2.07.2</t>
  </si>
  <si>
    <t xml:space="preserve">2.10.10</t>
  </si>
  <si>
    <t xml:space="preserve">2.10.11</t>
  </si>
  <si>
    <t xml:space="preserve">2.10.12</t>
  </si>
  <si>
    <t xml:space="preserve">2.10.13</t>
  </si>
  <si>
    <t xml:space="preserve">2.10.2</t>
  </si>
  <si>
    <t xml:space="preserve">2.10.4</t>
  </si>
  <si>
    <t xml:space="preserve">2.10.5</t>
  </si>
  <si>
    <t xml:space="preserve">2.10.6</t>
  </si>
  <si>
    <t xml:space="preserve">2.10.7</t>
  </si>
  <si>
    <t xml:space="preserve">2.10.8</t>
  </si>
  <si>
    <t xml:space="preserve">2.10.9</t>
  </si>
  <si>
    <t xml:space="preserve">2.11.2</t>
  </si>
  <si>
    <t xml:space="preserve">2.11.3</t>
  </si>
  <si>
    <t xml:space="preserve">2.12.1</t>
  </si>
  <si>
    <t xml:space="preserve">2.12.2</t>
  </si>
  <si>
    <t xml:space="preserve">2.13.1</t>
  </si>
  <si>
    <t xml:space="preserve">2.13.2</t>
  </si>
  <si>
    <t xml:space="preserve">2.13.3</t>
  </si>
  <si>
    <t xml:space="preserve">2.14.1</t>
  </si>
  <si>
    <t xml:space="preserve">2.15.1</t>
  </si>
  <si>
    <t xml:space="preserve">2.15.2</t>
  </si>
  <si>
    <t xml:space="preserve">2.15.3</t>
  </si>
  <si>
    <t xml:space="preserve">2.16.1</t>
  </si>
  <si>
    <t xml:space="preserve">2.17.1</t>
  </si>
  <si>
    <t xml:space="preserve">2.17.2</t>
  </si>
  <si>
    <t xml:space="preserve">2.17.3</t>
  </si>
  <si>
    <t xml:space="preserve">2.17.4</t>
  </si>
  <si>
    <t xml:space="preserve">2.17.5</t>
  </si>
  <si>
    <t xml:space="preserve">2.17.6</t>
  </si>
  <si>
    <t xml:space="preserve">2.18.1</t>
  </si>
  <si>
    <t xml:space="preserve">2.18.2</t>
  </si>
  <si>
    <t xml:space="preserve">2.18.3</t>
  </si>
  <si>
    <t xml:space="preserve">Total Out</t>
  </si>
  <si>
    <t xml:space="preserve">Buyback</t>
  </si>
  <si>
    <t xml:space="preserve">3.00.2</t>
  </si>
  <si>
    <t xml:space="preserve">3.00.5</t>
  </si>
  <si>
    <t xml:space="preserve">3.00.6</t>
  </si>
  <si>
    <t xml:space="preserve">3.00.7</t>
  </si>
  <si>
    <t xml:space="preserve">3.00.8</t>
  </si>
  <si>
    <t xml:space="preserve">3.00.9</t>
  </si>
  <si>
    <t xml:space="preserve">3.00.11</t>
  </si>
  <si>
    <t xml:space="preserve">3.00.12</t>
  </si>
  <si>
    <t xml:space="preserve">3.00.15</t>
  </si>
  <si>
    <t xml:space="preserve">3.00.16</t>
  </si>
  <si>
    <t xml:space="preserve">3.00.4</t>
  </si>
  <si>
    <t xml:space="preserve">3.00.19</t>
  </si>
  <si>
    <t xml:space="preserve">4.01.1</t>
  </si>
  <si>
    <t xml:space="preserve">3.00.17</t>
  </si>
  <si>
    <t xml:space="preserve">Field Fuel</t>
  </si>
  <si>
    <t xml:space="preserve">Field Fuel/Flare</t>
  </si>
  <si>
    <t xml:space="preserve">BD7</t>
  </si>
  <si>
    <t xml:space="preserve">BD8</t>
  </si>
  <si>
    <t xml:space="preserve">BD31</t>
  </si>
  <si>
    <t xml:space="preserve">BD11</t>
  </si>
  <si>
    <t xml:space="preserve">BD6</t>
  </si>
  <si>
    <t xml:space="preserve">BD16</t>
  </si>
  <si>
    <t xml:space="preserve">BD15</t>
  </si>
  <si>
    <t xml:space="preserve">BD20</t>
  </si>
  <si>
    <t xml:space="preserve">BD25</t>
  </si>
  <si>
    <t xml:space="preserve">BD12</t>
  </si>
  <si>
    <t xml:space="preserve">BD17</t>
  </si>
  <si>
    <t xml:space="preserve">BD18</t>
  </si>
  <si>
    <t xml:space="preserve">BD30</t>
  </si>
  <si>
    <t xml:space="preserve">5.00.35</t>
  </si>
  <si>
    <t xml:space="preserve">5.00.15</t>
  </si>
  <si>
    <t xml:space="preserve">5.00.21</t>
  </si>
  <si>
    <t xml:space="preserve">5.00.22</t>
  </si>
  <si>
    <t xml:space="preserve">5.00.23</t>
  </si>
  <si>
    <t xml:space="preserve">5.00.24</t>
  </si>
  <si>
    <t xml:space="preserve">5.00.28</t>
  </si>
  <si>
    <t xml:space="preserve">5.00.29</t>
  </si>
  <si>
    <t xml:space="preserve">5.00.32</t>
  </si>
  <si>
    <t xml:space="preserve">5.00.33</t>
  </si>
  <si>
    <t xml:space="preserve">5.00.34</t>
  </si>
  <si>
    <t xml:space="preserve">5.00.8</t>
  </si>
  <si>
    <t xml:space="preserve">5.00.2</t>
  </si>
  <si>
    <t xml:space="preserve">5.00.36</t>
  </si>
  <si>
    <t xml:space="preserve">Plant Fuel</t>
  </si>
  <si>
    <t xml:space="preserve">5.00.6</t>
  </si>
  <si>
    <t xml:space="preserve">5.00.7</t>
  </si>
  <si>
    <t xml:space="preserve">5.00.11</t>
  </si>
  <si>
    <t xml:space="preserve">5.00.18</t>
  </si>
  <si>
    <t xml:space="preserve">5.00.19</t>
  </si>
  <si>
    <t xml:space="preserve">Amine Treater</t>
  </si>
  <si>
    <t xml:space="preserve">5.00.5</t>
  </si>
  <si>
    <t xml:space="preserve">Liquids</t>
  </si>
  <si>
    <t xml:space="preserve">University Cond</t>
  </si>
  <si>
    <t xml:space="preserve">Ameredev Cond</t>
  </si>
  <si>
    <t xml:space="preserve">Bluto Cond</t>
  </si>
  <si>
    <t xml:space="preserve">Abigail Cond</t>
  </si>
  <si>
    <t xml:space="preserve">Oasis Cond</t>
  </si>
  <si>
    <t xml:space="preserve">Coyote Cond</t>
  </si>
  <si>
    <t xml:space="preserve">Pliny The Elder Cond</t>
  </si>
  <si>
    <t xml:space="preserve">Cypress Cond</t>
  </si>
  <si>
    <t xml:space="preserve">Money Graham Cond</t>
  </si>
  <si>
    <t xml:space="preserve">Welcome to Golden Cond</t>
  </si>
  <si>
    <t xml:space="preserve">Nailed It A Cond</t>
  </si>
  <si>
    <t xml:space="preserve">Nailed It B Cond</t>
  </si>
  <si>
    <t xml:space="preserve">Lowe Cond</t>
  </si>
  <si>
    <t xml:space="preserve">Tribute Cond</t>
  </si>
  <si>
    <t xml:space="preserve">Field Condensate</t>
  </si>
  <si>
    <t xml:space="preserve">Plant Condensate</t>
  </si>
  <si>
    <t xml:space="preserve">NGL</t>
  </si>
  <si>
    <t xml:space="preserve">Elliq</t>
  </si>
  <si>
    <t xml:space="preserve">Gas Sales</t>
  </si>
  <si>
    <t xml:space="preserve">10.00.1</t>
  </si>
  <si>
    <t xml:space="preserve">10.00.2</t>
  </si>
  <si>
    <t xml:space="preserve">10.00.3</t>
  </si>
  <si>
    <t xml:space="preserve">10.00.4</t>
  </si>
  <si>
    <t xml:space="preserve">5.00.1</t>
  </si>
  <si>
    <t xml:space="preserve">enlk</t>
  </si>
  <si>
    <t xml:space="preserve">Plant Inlet Meters</t>
  </si>
  <si>
    <t xml:space="preserve">Plant Inlet</t>
  </si>
  <si>
    <t xml:space="preserve">Plant Condesate</t>
  </si>
  <si>
    <t xml:space="preserve">Plant NGL</t>
  </si>
  <si>
    <t xml:space="preserve">Net</t>
  </si>
  <si>
    <t xml:space="preserve">Plant Discharge</t>
  </si>
  <si>
    <t xml:space="preserve">Discharge Meters</t>
  </si>
  <si>
    <t xml:space="preserve">Total RP</t>
  </si>
  <si>
    <t xml:space="preserve">Field Blowdown</t>
  </si>
  <si>
    <t xml:space="preserve">Field Flare</t>
  </si>
  <si>
    <t xml:space="preserve">Enlink</t>
  </si>
  <si>
    <t xml:space="preserve">Plant Discharge Meters</t>
  </si>
  <si>
    <t xml:space="preserve">Check Meters</t>
  </si>
  <si>
    <t xml:space="preserve">Plant Fuel/Flare</t>
  </si>
  <si>
    <t xml:space="preserve">3.00.1</t>
  </si>
  <si>
    <t xml:space="preserve">8.00.2</t>
  </si>
  <si>
    <t xml:space="preserve">8.00.5</t>
  </si>
  <si>
    <t xml:space="preserve">Ideal Gas Volumes</t>
  </si>
  <si>
    <t xml:space="preserve">Mole fractions</t>
  </si>
  <si>
    <t xml:space="preserve">Compressibility</t>
  </si>
  <si>
    <t xml:space="preserve">BBl</t>
  </si>
  <si>
    <t xml:space="preserve">H2S</t>
  </si>
  <si>
    <t xml:space="preserve">mcf real</t>
  </si>
  <si>
    <t xml:space="preserve">msf ideal</t>
  </si>
  <si>
    <t xml:space="preserve">Z-Factor</t>
  </si>
  <si>
    <t xml:space="preserve">ELLiq</t>
  </si>
  <si>
    <t xml:space="preserve">Compositions</t>
  </si>
  <si>
    <t xml:space="preserve">University</t>
  </si>
  <si>
    <t xml:space="preserve">Ameredev</t>
  </si>
  <si>
    <t xml:space="preserve">Bluto</t>
  </si>
  <si>
    <t xml:space="preserve">Abigail</t>
  </si>
  <si>
    <t xml:space="preserve">Oasis</t>
  </si>
  <si>
    <t xml:space="preserve">Coyote</t>
  </si>
  <si>
    <t xml:space="preserve">Pliny The Elder</t>
  </si>
  <si>
    <t xml:space="preserve">Cypress</t>
  </si>
  <si>
    <t xml:space="preserve">Cypress 34</t>
  </si>
  <si>
    <t xml:space="preserve">Money Graham</t>
  </si>
  <si>
    <t xml:space="preserve">Welcome to Golden</t>
  </si>
  <si>
    <t xml:space="preserve">Nailed It A</t>
  </si>
  <si>
    <t xml:space="preserve">Nailed It B</t>
  </si>
  <si>
    <t xml:space="preserve">Component Volume</t>
  </si>
  <si>
    <t xml:space="preserve">Component Heating Content</t>
  </si>
  <si>
    <t xml:space="preserve">Component Liquid</t>
  </si>
  <si>
    <t xml:space="preserve">Difference</t>
  </si>
  <si>
    <t xml:space="preserve">% Diff</t>
  </si>
  <si>
    <t xml:space="preserve">Calc HV</t>
  </si>
  <si>
    <t xml:space="preserve">Reported HV</t>
  </si>
  <si>
    <t xml:space="preserve">Gateway 22-2H</t>
  </si>
  <si>
    <t xml:space="preserve">Gateway 38-2H</t>
  </si>
  <si>
    <t xml:space="preserve">Allman 24-68</t>
  </si>
  <si>
    <t xml:space="preserve">Johnny Cash 23-2H</t>
  </si>
  <si>
    <t xml:space="preserve">Muddy Waters 30-2H</t>
  </si>
  <si>
    <t xml:space="preserve">BB King 32-2H</t>
  </si>
  <si>
    <t xml:space="preserve">Santana 29-2H</t>
  </si>
  <si>
    <t xml:space="preserve">Orbison 28-6H</t>
  </si>
  <si>
    <t xml:space="preserve">Johnny Cash 2</t>
  </si>
  <si>
    <t xml:space="preserve">Cypress 33 A Sales</t>
  </si>
  <si>
    <t xml:space="preserve">EPNG Check MTR #1</t>
  </si>
  <si>
    <t xml:space="preserve">EPNG Check MTR #2</t>
  </si>
  <si>
    <t xml:space="preserve">ONEOK Check MTR #1</t>
  </si>
  <si>
    <t xml:space="preserve">ONEOK Check MTR #2</t>
  </si>
  <si>
    <t xml:space="preserve">Pinon CDP #1</t>
  </si>
  <si>
    <t xml:space="preserve">Pinon CDP #2</t>
  </si>
  <si>
    <t xml:space="preserve">Cosmo CDP MTR #1</t>
  </si>
  <si>
    <t xml:space="preserve">Cosmo CDP MTR #2</t>
  </si>
  <si>
    <t xml:space="preserve">Four Points CDP MTR #1</t>
  </si>
  <si>
    <t xml:space="preserve">Four Points CDP MTR #2</t>
  </si>
  <si>
    <t xml:space="preserve">Wise West CDP MTR # 1</t>
  </si>
  <si>
    <t xml:space="preserve">Wise West CDP MTR # 2</t>
  </si>
  <si>
    <t xml:space="preserve">Penner CDP MTR #1</t>
  </si>
  <si>
    <t xml:space="preserve">Penner CDP MTR #2</t>
  </si>
  <si>
    <t xml:space="preserve">Pronghorn CDP</t>
  </si>
  <si>
    <t xml:space="preserve">Monument Draw CDP MTR #1</t>
  </si>
  <si>
    <t xml:space="preserve">West Quito CDP #2</t>
  </si>
  <si>
    <t xml:space="preserve">University CDP MTR #1</t>
  </si>
  <si>
    <t xml:space="preserve">US Energy 4320 CDP</t>
  </si>
  <si>
    <t xml:space="preserve">Nailed It B CDP</t>
  </si>
  <si>
    <t xml:space="preserve">Cypress 33 B CDP MTR #1</t>
  </si>
  <si>
    <t xml:space="preserve">Cypress 33 B CDP MTR #2</t>
  </si>
  <si>
    <t xml:space="preserve">Money Graham B CDP</t>
  </si>
  <si>
    <t xml:space="preserve">Money Graham A CDP MTR #2</t>
  </si>
  <si>
    <t xml:space="preserve">Pliny The Elder CDP</t>
  </si>
  <si>
    <t xml:space="preserve">Cypress 34 A CDP</t>
  </si>
  <si>
    <t xml:space="preserve">Welcome to Golden CDP MTR #1</t>
  </si>
  <si>
    <t xml:space="preserve">Welcome to Golden CDP MTR #2</t>
  </si>
  <si>
    <t xml:space="preserve">Cypress 34 B CDP</t>
  </si>
  <si>
    <t xml:space="preserve">Nailed It A CDP</t>
  </si>
  <si>
    <t xml:space="preserve">Bluto CDP</t>
  </si>
  <si>
    <t xml:space="preserve">DF Ranch CDP</t>
  </si>
  <si>
    <t xml:space="preserve">Quito CDP MTR #1</t>
  </si>
  <si>
    <t xml:space="preserve">Quito CDP MTR #2</t>
  </si>
  <si>
    <t xml:space="preserve">Brazos CDP</t>
  </si>
  <si>
    <t xml:space="preserve">Abigail CDP</t>
  </si>
  <si>
    <t xml:space="preserve">Emma CDP</t>
  </si>
  <si>
    <t xml:space="preserve">Crestwood CDP</t>
  </si>
  <si>
    <t xml:space="preserve">Jim Ed CDP</t>
  </si>
  <si>
    <t xml:space="preserve">Parker CDP</t>
  </si>
  <si>
    <t xml:space="preserve">Parker 2 CDP</t>
  </si>
  <si>
    <t xml:space="preserve">Rock Ridge Federal CDP</t>
  </si>
  <si>
    <t xml:space="preserve">Roy CDP</t>
  </si>
  <si>
    <t xml:space="preserve">Flat Head CDP</t>
  </si>
  <si>
    <t xml:space="preserve">Jeff East CDP</t>
  </si>
  <si>
    <t xml:space="preserve">Gillette CDP</t>
  </si>
  <si>
    <t xml:space="preserve">Yellowtail CDP</t>
  </si>
  <si>
    <t xml:space="preserve">Wild Jenny CDP</t>
  </si>
  <si>
    <t xml:space="preserve">Mazer CDP</t>
  </si>
  <si>
    <t xml:space="preserve">King George CDP</t>
  </si>
  <si>
    <t xml:space="preserve">Rick Vaughn CDP</t>
  </si>
  <si>
    <t xml:space="preserve">2.19.1</t>
  </si>
  <si>
    <t xml:space="preserve">China Draw CDP</t>
  </si>
  <si>
    <t xml:space="preserve">Emma BuyBack</t>
  </si>
  <si>
    <t xml:space="preserve">Nailed It B BuyBack</t>
  </si>
  <si>
    <t xml:space="preserve">3.00.13</t>
  </si>
  <si>
    <t xml:space="preserve">Wild Jenny BuyBack</t>
  </si>
  <si>
    <t xml:space="preserve">3.00.14</t>
  </si>
  <si>
    <t xml:space="preserve">Cypress 33 B Buyback</t>
  </si>
  <si>
    <t xml:space="preserve">Jeff East BuyBack</t>
  </si>
  <si>
    <t xml:space="preserve">Flat Head BuyBack</t>
  </si>
  <si>
    <t xml:space="preserve">Gillette BuyBack</t>
  </si>
  <si>
    <t xml:space="preserve">Yellowtail BuyBack</t>
  </si>
  <si>
    <t xml:space="preserve">Welcome To Golden BuyBack</t>
  </si>
  <si>
    <t xml:space="preserve">3.00.21</t>
  </si>
  <si>
    <t xml:space="preserve">Rick Vaughn BuyBack</t>
  </si>
  <si>
    <t xml:space="preserve">Johnny Cash 2 BuyBack</t>
  </si>
  <si>
    <t xml:space="preserve">Pliny The Elder BuyBack</t>
  </si>
  <si>
    <t xml:space="preserve">Nailed It A BuyBack</t>
  </si>
  <si>
    <t xml:space="preserve">Money Graham BuyBack</t>
  </si>
  <si>
    <t xml:space="preserve">Cypress BuyBack</t>
  </si>
  <si>
    <t xml:space="preserve">Parker BuyBack</t>
  </si>
  <si>
    <t xml:space="preserve">Atlantic Master BuyBack</t>
  </si>
  <si>
    <t xml:space="preserve">EPNG BuyBack Fuel</t>
  </si>
  <si>
    <t xml:space="preserve">Pecos 2 LP Fuel</t>
  </si>
  <si>
    <t xml:space="preserve">Pliny The Elder Compressor Fuel</t>
  </si>
  <si>
    <t xml:space="preserve">Pecos 1 HP Fuel</t>
  </si>
  <si>
    <t xml:space="preserve">Pecos 2 HP Fuel</t>
  </si>
  <si>
    <t xml:space="preserve">Lowe Compressor Fuel</t>
  </si>
  <si>
    <t xml:space="preserve">Nailed It A Compressor Fuel</t>
  </si>
  <si>
    <t xml:space="preserve">Bluto Compressor Fuel #1</t>
  </si>
  <si>
    <t xml:space="preserve">Bluto Compressor Fuel #2</t>
  </si>
  <si>
    <t xml:space="preserve">Cypress Compressor Fuel</t>
  </si>
  <si>
    <t xml:space="preserve">Welcome to Golden Compressor Fuel</t>
  </si>
  <si>
    <t xml:space="preserve">Oasis Fuel Gas</t>
  </si>
  <si>
    <t xml:space="preserve">Abigail Compressor Fuel</t>
  </si>
  <si>
    <t xml:space="preserve">Emma Fuel Gas</t>
  </si>
  <si>
    <t xml:space="preserve">Nailed It B Fuel</t>
  </si>
  <si>
    <t xml:space="preserve">Cypress 33 Fuel</t>
  </si>
  <si>
    <t xml:space="preserve">Tribute Compressor Station Fuel</t>
  </si>
  <si>
    <t xml:space="preserve">BOP VRU Makeup #2</t>
  </si>
  <si>
    <t xml:space="preserve">Pecos BOP Fuel #3</t>
  </si>
  <si>
    <t xml:space="preserve">Pecos 1 LP Fuel</t>
  </si>
  <si>
    <t xml:space="preserve">University Compressor Fuel</t>
  </si>
  <si>
    <t xml:space="preserve">7.00.1</t>
  </si>
  <si>
    <t xml:space="preserve">Lowe Compressor Inlet</t>
  </si>
  <si>
    <t xml:space="preserve">7.00.3</t>
  </si>
  <si>
    <t xml:space="preserve">Pecos 1 Inlet</t>
  </si>
  <si>
    <t xml:space="preserve">7.00.5</t>
  </si>
  <si>
    <t xml:space="preserve">Pecos 2 Inlet</t>
  </si>
  <si>
    <t xml:space="preserve">7.00.7</t>
  </si>
  <si>
    <t xml:space="preserve">Coyote Inlet</t>
  </si>
  <si>
    <t xml:space="preserve">7.00.9</t>
  </si>
  <si>
    <t xml:space="preserve">Pecos Plant LP Separator</t>
  </si>
  <si>
    <t xml:space="preserve">8.00.10</t>
  </si>
  <si>
    <t xml:space="preserve">Bluto Compressor Discharge</t>
  </si>
  <si>
    <t xml:space="preserve">8.00.11</t>
  </si>
  <si>
    <t xml:space="preserve">Cypress Compressor Discharge</t>
  </si>
  <si>
    <t xml:space="preserve">8.00.13</t>
  </si>
  <si>
    <t xml:space="preserve">Coyote Discharge</t>
  </si>
  <si>
    <t xml:space="preserve">8.00.15</t>
  </si>
  <si>
    <t xml:space="preserve">Nailed It A Compressor Discharge</t>
  </si>
  <si>
    <t xml:space="preserve">8.00.16</t>
  </si>
  <si>
    <t xml:space="preserve">Welcome to Golden Compressor Discharge</t>
  </si>
  <si>
    <t xml:space="preserve">8.00.18</t>
  </si>
  <si>
    <t xml:space="preserve">Emma Compressor Discharge</t>
  </si>
  <si>
    <t xml:space="preserve">8.00.19</t>
  </si>
  <si>
    <t xml:space="preserve">Oasis Compressor Discharge</t>
  </si>
  <si>
    <t xml:space="preserve">Pecos 1 Discharge</t>
  </si>
  <si>
    <t xml:space="preserve">8.00.21</t>
  </si>
  <si>
    <t xml:space="preserve">Cypress 33 B Discharge</t>
  </si>
  <si>
    <t xml:space="preserve">8.00.22</t>
  </si>
  <si>
    <t xml:space="preserve">Lowe Compressor Discharge</t>
  </si>
  <si>
    <t xml:space="preserve">8.00.23</t>
  </si>
  <si>
    <t xml:space="preserve">Tribute Compressor Discharge</t>
  </si>
  <si>
    <t xml:space="preserve">8.00.3</t>
  </si>
  <si>
    <t xml:space="preserve">University Discharge</t>
  </si>
  <si>
    <t xml:space="preserve">Pecos 2 Discharge</t>
  </si>
  <si>
    <t xml:space="preserve">8.00.7</t>
  </si>
  <si>
    <t xml:space="preserve">Pliny The Elder Compressor Discharge</t>
  </si>
  <si>
    <t xml:space="preserve">CAL1</t>
  </si>
  <si>
    <t xml:space="preserve">Cryo Fuel Usage</t>
  </si>
  <si>
    <t xml:space="preserve">CAL2</t>
  </si>
  <si>
    <t xml:space="preserve">BOP Fuel Usage</t>
  </si>
  <si>
    <t xml:space="preserve">CAL3</t>
  </si>
  <si>
    <t xml:space="preserve">Pecos Plant Fuel Usage</t>
  </si>
  <si>
    <t xml:space="preserve">Enlk</t>
  </si>
  <si>
    <t xml:space="preserve">CALC</t>
  </si>
  <si>
    <t xml:space="preserve">Pliny the Elder launcher receiver</t>
  </si>
  <si>
    <t xml:space="preserve">Pliny Compressor</t>
  </si>
  <si>
    <t xml:space="preserve">Red Bluff launcher receiver</t>
  </si>
  <si>
    <t xml:space="preserve">Cypress launcher receiver</t>
  </si>
  <si>
    <t xml:space="preserve">Cypress Compressor</t>
  </si>
  <si>
    <t xml:space="preserve">Money Graham launcher receiver</t>
  </si>
  <si>
    <t xml:space="preserve">BD9</t>
  </si>
  <si>
    <t xml:space="preserve">Money Graham Compressor </t>
  </si>
  <si>
    <t xml:space="preserve">Welcome to Golden Compressor</t>
  </si>
  <si>
    <t xml:space="preserve">Nailed It A&amp;B</t>
  </si>
  <si>
    <t xml:space="preserve">Nailed It Compressor station A&amp;B</t>
  </si>
  <si>
    <t xml:space="preserve">Tribute Compressor Station</t>
  </si>
  <si>
    <t xml:space="preserve">Lowe Compressor Station</t>
  </si>
  <si>
    <t xml:space="preserve">Pinion launcher receiver</t>
  </si>
  <si>
    <t xml:space="preserve">FL7</t>
  </si>
  <si>
    <t xml:space="preserve">Pliny the Elder</t>
  </si>
  <si>
    <t xml:space="preserve">FL11</t>
  </si>
  <si>
    <t xml:space="preserve">FL6</t>
  </si>
  <si>
    <t xml:space="preserve">FL16</t>
  </si>
  <si>
    <t xml:space="preserve">FL15</t>
  </si>
  <si>
    <t xml:space="preserve">Nailed It</t>
  </si>
  <si>
    <t xml:space="preserve">FL20</t>
  </si>
  <si>
    <t xml:space="preserve">INLETS TAB CALCULATOR</t>
  </si>
  <si>
    <t xml:space="preserve">SCM </t>
  </si>
  <si>
    <t xml:space="preserve">TOTAL</t>
  </si>
  <si>
    <t xml:space="preserve">GAIN</t>
  </si>
  <si>
    <t xml:space="preserve">GAIN/Loss in</t>
  </si>
  <si>
    <t xml:space="preserve">RECEIPTS</t>
  </si>
  <si>
    <t xml:space="preserve">DELIVERIES</t>
  </si>
  <si>
    <t xml:space="preserve">(LOSS)</t>
  </si>
  <si>
    <t xml:space="preserve">Dollars</t>
  </si>
  <si>
    <t xml:space="preserve">Conversion </t>
  </si>
  <si>
    <t xml:space="preserve">Net Value</t>
  </si>
  <si>
    <t xml:space="preserve">Component</t>
  </si>
  <si>
    <t xml:space="preserve">MSCF</t>
  </si>
  <si>
    <t xml:space="preserve">MSCF &gt; BBLs</t>
  </si>
  <si>
    <t xml:space="preserve">BBLs</t>
  </si>
  <si>
    <t xml:space="preserve">$/Barrel</t>
  </si>
  <si>
    <t xml:space="preserve">$</t>
  </si>
  <si>
    <t xml:space="preserve">Nitrogen  (N2)</t>
  </si>
  <si>
    <t xml:space="preserve">Methane (C1)</t>
  </si>
  <si>
    <t xml:space="preserve">Ethane  (C2)</t>
  </si>
  <si>
    <t xml:space="preserve">Propane (C3)</t>
  </si>
  <si>
    <t xml:space="preserve">i-Butane  (iC4)</t>
  </si>
  <si>
    <t xml:space="preserve">n-Butane  (nC4)</t>
  </si>
  <si>
    <t xml:space="preserve">i-Pentane  (Ic5)</t>
  </si>
  <si>
    <t xml:space="preserve">n-Pentane  (nC5)</t>
  </si>
  <si>
    <t xml:space="preserve">Hexanes +  (C6+)</t>
  </si>
  <si>
    <t xml:space="preserve">  Total MSCF/BBL</t>
  </si>
  <si>
    <t xml:space="preserve">Total Dollars</t>
  </si>
  <si>
    <t xml:space="preserve">Meter Number</t>
  </si>
  <si>
    <t xml:space="preserve">Meter Name</t>
  </si>
  <si>
    <t xml:space="preserve">Volume</t>
  </si>
  <si>
    <t xml:space="preserve">Energy</t>
  </si>
  <si>
    <t xml:space="preserve">C6</t>
  </si>
  <si>
    <t xml:space="preserve">ghayuerrrr</t>
  </si>
  <si>
    <t xml:space="preserve">Pecos 1,2 Inlet</t>
  </si>
  <si>
    <t xml:space="preserve">Residue Gas</t>
  </si>
  <si>
    <t xml:space="preserve">Total Plant Liquids</t>
  </si>
  <si>
    <t xml:space="preserve"> </t>
  </si>
  <si>
    <t xml:space="preserve">Model</t>
  </si>
  <si>
    <t xml:space="preserve">FlowCal</t>
  </si>
  <si>
    <t xml:space="preserve">Diff.</t>
  </si>
  <si>
    <t xml:space="preserve">Model Comp</t>
  </si>
  <si>
    <t xml:space="preserve">WB Comp</t>
  </si>
  <si>
    <t xml:space="preserve">PL/Tickets</t>
  </si>
  <si>
    <t xml:space="preserve">Gas Volume</t>
  </si>
  <si>
    <t xml:space="preserve">Std Ideal Liq Vol</t>
  </si>
  <si>
    <t xml:space="preserve">Nitrogen</t>
  </si>
  <si>
    <t xml:space="preserve">Methane</t>
  </si>
  <si>
    <t xml:space="preserve">Ethane</t>
  </si>
  <si>
    <t xml:space="preserve">Propane</t>
  </si>
  <si>
    <t xml:space="preserve">i-Butane</t>
  </si>
  <si>
    <t xml:space="preserve">n-Butane</t>
  </si>
  <si>
    <t xml:space="preserve">i-Pentane</t>
  </si>
  <si>
    <t xml:space="preserve">n-Pentane</t>
  </si>
  <si>
    <t xml:space="preserve">Pipeline</t>
  </si>
  <si>
    <t xml:space="preserve">Tickets</t>
  </si>
  <si>
    <t xml:space="preserve">Total Liquids</t>
  </si>
  <si>
    <t xml:space="preserve">Inlet</t>
  </si>
  <si>
    <t xml:space="preserve">Ideal Volume</t>
  </si>
  <si>
    <t xml:space="preserve">Pliny</t>
  </si>
  <si>
    <t xml:space="preserve">Tribute</t>
  </si>
  <si>
    <t xml:space="preserve">Golden</t>
  </si>
  <si>
    <t xml:space="preserve">Lowe</t>
  </si>
  <si>
    <t xml:space="preserve">Olifant</t>
  </si>
  <si>
    <t xml:space="preserve">IC4</t>
  </si>
  <si>
    <t xml:space="preserve">IC5</t>
  </si>
  <si>
    <t xml:space="preserve">Workbook</t>
  </si>
  <si>
    <t xml:space="preserve">Total CS Discharge Volume</t>
  </si>
  <si>
    <t xml:space="preserve">WB</t>
  </si>
  <si>
    <t xml:space="preserve">% diff.</t>
  </si>
  <si>
    <t xml:space="preserve">MCF</t>
  </si>
  <si>
    <t xml:space="preserve">Receipts</t>
  </si>
  <si>
    <t xml:space="preserve">Field Cond</t>
  </si>
  <si>
    <t xml:space="preserve">Plant Cond</t>
  </si>
  <si>
    <t xml:space="preserve">NGLs</t>
  </si>
  <si>
    <t xml:space="preserve">BBLS</t>
  </si>
</sst>
</file>

<file path=xl/styles.xml><?xml version="1.0" encoding="utf-8"?>
<styleSheet xmlns="http://schemas.openxmlformats.org/spreadsheetml/2006/main">
  <numFmts count="28">
    <numFmt numFmtId="164" formatCode="General"/>
    <numFmt numFmtId="165" formatCode="_(* #,##0.00_);_(* \(#,##0.00\);_(* \-??_);_(@_)"/>
    <numFmt numFmtId="166" formatCode="_(* #,##0_);_(* \(#,##0\);_(* \-??_);_(@_)"/>
    <numFmt numFmtId="167" formatCode="_(* #,##0.0_);_(* \(#,##0.0\);_(* \-??_);_(@_)"/>
    <numFmt numFmtId="168" formatCode="0.0000"/>
    <numFmt numFmtId="169" formatCode="0%"/>
    <numFmt numFmtId="170" formatCode="0.00%"/>
    <numFmt numFmtId="171" formatCode="_(\$* #,##0.00_);_(\$* \(#,##0.00\);_(\$* \-??_);_(@_)"/>
    <numFmt numFmtId="172" formatCode="_(* #,##0.0000_);_(* \(#,##0.0000\);_(* \-??_);_(@_)"/>
    <numFmt numFmtId="173" formatCode="0.0%"/>
    <numFmt numFmtId="174" formatCode="General"/>
    <numFmt numFmtId="175" formatCode="0_);\(0\)"/>
    <numFmt numFmtId="176" formatCode="0.00_);\(0.00\)"/>
    <numFmt numFmtId="177" formatCode="0.0000_);\(0.0000\)"/>
    <numFmt numFmtId="178" formatCode="0.000%"/>
    <numFmt numFmtId="179" formatCode="_(* #,##0.00000_);_(* \(#,##0.00000\);_(* \-??_);_(@_)"/>
    <numFmt numFmtId="180" formatCode="0.00"/>
    <numFmt numFmtId="181" formatCode="#,##0.00"/>
    <numFmt numFmtId="182" formatCode="_(* #,##0.000000_);_(* \(#,##0.000000\);_(* \-??_);_(@_)"/>
    <numFmt numFmtId="183" formatCode="0.000000"/>
    <numFmt numFmtId="184" formatCode="0.000"/>
    <numFmt numFmtId="185" formatCode="0.0"/>
    <numFmt numFmtId="186" formatCode="0.00000"/>
    <numFmt numFmtId="187" formatCode="#,##0"/>
    <numFmt numFmtId="188" formatCode="_(* #,##0.000_);_(* \(#,##0.000\);_(* \-??_);_(@_)"/>
    <numFmt numFmtId="189" formatCode="\$#,##0.000000"/>
    <numFmt numFmtId="190" formatCode="\$#,##0.00"/>
    <numFmt numFmtId="191" formatCode="0.00E+00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i val="true"/>
      <sz val="8"/>
      <color rgb="FFD0CECE"/>
      <name val="Calibri"/>
      <family val="2"/>
      <charset val="1"/>
    </font>
    <font>
      <i val="true"/>
      <sz val="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8"/>
      <color rgb="FFA6A6A6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2"/>
      <color rgb="FF0000C6"/>
      <name val="Arial"/>
      <family val="2"/>
      <charset val="1"/>
    </font>
    <font>
      <i val="true"/>
      <sz val="8"/>
      <color rgb="FFBFBFBF"/>
      <name val="Calibri"/>
      <family val="2"/>
      <charset val="1"/>
    </font>
    <font>
      <sz val="9"/>
      <color rgb="FF000000"/>
      <name val="Tahoma"/>
      <family val="2"/>
      <charset val="1"/>
    </font>
    <font>
      <sz val="11"/>
      <name val="Calibri"/>
      <family val="2"/>
      <charset val="1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u val="single"/>
      <sz val="12"/>
      <color rgb="FF000000"/>
      <name val="Arial"/>
      <family val="2"/>
      <charset val="1"/>
    </font>
    <font>
      <u val="single"/>
      <sz val="14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i val="true"/>
      <sz val="11"/>
      <color rgb="FF4472C4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44546A"/>
        <bgColor rgb="FF2F5597"/>
      </patternFill>
    </fill>
    <fill>
      <patternFill patternType="solid">
        <fgColor rgb="FF4472C4"/>
        <bgColor rgb="FF2F5597"/>
      </patternFill>
    </fill>
    <fill>
      <patternFill patternType="solid">
        <fgColor rgb="FFE7E6E6"/>
        <bgColor rgb="FFDEEBF7"/>
      </patternFill>
    </fill>
    <fill>
      <patternFill patternType="solid">
        <fgColor rgb="FFDEEBF7"/>
        <bgColor rgb="FFDAE3F3"/>
      </patternFill>
    </fill>
    <fill>
      <patternFill patternType="solid">
        <fgColor rgb="FFFFFF00"/>
        <bgColor rgb="FFFFCC00"/>
      </patternFill>
    </fill>
    <fill>
      <patternFill patternType="solid">
        <fgColor rgb="FFFBE5D6"/>
        <bgColor rgb="FFFFF2CC"/>
      </patternFill>
    </fill>
    <fill>
      <patternFill patternType="solid">
        <fgColor rgb="FF9DC3E6"/>
        <bgColor rgb="FFB4C7E7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DAE3F3"/>
        <bgColor rgb="FFDEEBF7"/>
      </patternFill>
    </fill>
    <fill>
      <patternFill patternType="solid">
        <fgColor rgb="FF000000"/>
        <bgColor rgb="FF003300"/>
      </patternFill>
    </fill>
    <fill>
      <patternFill patternType="solid">
        <fgColor rgb="FF404040"/>
        <bgColor rgb="FF385724"/>
      </patternFill>
    </fill>
    <fill>
      <patternFill patternType="solid">
        <fgColor rgb="FFA9D18E"/>
        <bgColor rgb="FFBFBFBF"/>
      </patternFill>
    </fill>
    <fill>
      <patternFill patternType="solid">
        <fgColor rgb="FFE2F0D9"/>
        <bgColor rgb="FFE7E6E6"/>
      </patternFill>
    </fill>
    <fill>
      <patternFill patternType="solid">
        <fgColor rgb="FF2F5597"/>
        <bgColor rgb="FF44546A"/>
      </patternFill>
    </fill>
    <fill>
      <patternFill patternType="solid">
        <fgColor rgb="FF385724"/>
        <bgColor rgb="FF404040"/>
      </patternFill>
    </fill>
    <fill>
      <patternFill patternType="solid">
        <fgColor rgb="FF8FAADC"/>
        <bgColor rgb="FF9DC3E6"/>
      </patternFill>
    </fill>
    <fill>
      <patternFill patternType="solid">
        <fgColor rgb="FF843C0B"/>
        <bgColor rgb="FF993366"/>
      </patternFill>
    </fill>
    <fill>
      <patternFill patternType="solid">
        <fgColor rgb="FFB4C7E7"/>
        <bgColor rgb="FF9DC3E6"/>
      </patternFill>
    </fill>
    <fill>
      <patternFill patternType="solid">
        <fgColor rgb="FFFFFFFF"/>
        <bgColor rgb="FFFFF2CC"/>
      </patternFill>
    </fill>
    <fill>
      <patternFill patternType="solid">
        <fgColor rgb="FFD9D9D9"/>
        <bgColor rgb="FFD0CECE"/>
      </patternFill>
    </fill>
  </fills>
  <borders count="146">
    <border diagonalUp="false" diagonalDown="false">
      <left/>
      <right/>
      <top/>
      <bottom/>
      <diagonal/>
    </border>
    <border diagonalUp="false" diagonalDown="false">
      <left style="thick"/>
      <right style="medium"/>
      <top style="thick"/>
      <bottom style="thin"/>
      <diagonal/>
    </border>
    <border diagonalUp="false" diagonalDown="false">
      <left/>
      <right style="thin"/>
      <top style="thick"/>
      <bottom style="thin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/>
      <top style="thick"/>
      <bottom style="thin"/>
      <diagonal/>
    </border>
    <border diagonalUp="false" diagonalDown="false">
      <left style="medium"/>
      <right style="thick"/>
      <top style="thick"/>
      <bottom style="thin"/>
      <diagonal/>
    </border>
    <border diagonalUp="false" diagonalDown="false">
      <left style="thick"/>
      <right style="medium"/>
      <top style="thick"/>
      <bottom style="medium"/>
      <diagonal/>
    </border>
    <border diagonalUp="false" diagonalDown="false">
      <left/>
      <right style="thin"/>
      <top style="thick"/>
      <bottom style="medium"/>
      <diagonal/>
    </border>
    <border diagonalUp="false" diagonalDown="false">
      <left style="thin"/>
      <right style="thin"/>
      <top style="thick"/>
      <bottom style="medium"/>
      <diagonal/>
    </border>
    <border diagonalUp="false" diagonalDown="false">
      <left style="thin"/>
      <right/>
      <top style="thick"/>
      <bottom style="medium"/>
      <diagonal/>
    </border>
    <border diagonalUp="false" diagonalDown="false">
      <left style="medium"/>
      <right style="medium"/>
      <top style="thick"/>
      <bottom style="medium"/>
      <diagonal/>
    </border>
    <border diagonalUp="false" diagonalDown="false">
      <left/>
      <right style="thick"/>
      <top style="thick"/>
      <bottom style="medium"/>
      <diagonal/>
    </border>
    <border diagonalUp="false" diagonalDown="false">
      <left style="thick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ck"/>
      <top style="thin"/>
      <bottom style="thin"/>
      <diagonal/>
    </border>
    <border diagonalUp="false" diagonalDown="false">
      <left style="thick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ck"/>
      <right style="medium"/>
      <top style="thin"/>
      <bottom style="thick"/>
      <diagonal/>
    </border>
    <border diagonalUp="false" diagonalDown="false">
      <left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/>
      <top style="thin"/>
      <bottom style="thick"/>
      <diagonal/>
    </border>
    <border diagonalUp="false" diagonalDown="false">
      <left style="medium"/>
      <right style="thick"/>
      <top style="thin"/>
      <bottom style="thick"/>
      <diagonal/>
    </border>
    <border diagonalUp="false" diagonalDown="false">
      <left style="medium"/>
      <right style="medium"/>
      <top style="thin"/>
      <bottom style="thick"/>
      <diagonal/>
    </border>
    <border diagonalUp="false" diagonalDown="false">
      <left/>
      <right style="thick"/>
      <top style="thin"/>
      <bottom style="thick"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medium"/>
      <right style="medium"/>
      <top style="thick"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 style="thick"/>
      <right/>
      <top style="thick"/>
      <bottom style="thin"/>
      <diagonal/>
    </border>
    <border diagonalUp="false" diagonalDown="false">
      <left style="thin"/>
      <right style="medium"/>
      <top style="thick"/>
      <bottom style="thin"/>
      <diagonal/>
    </border>
    <border diagonalUp="false" diagonalDown="false">
      <left/>
      <right style="thick"/>
      <top style="thick"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thick"/>
      <right/>
      <top style="thin"/>
      <bottom style="thick"/>
      <diagonal/>
    </border>
    <border diagonalUp="false" diagonalDown="false">
      <left style="thin"/>
      <right style="medium"/>
      <top style="thin"/>
      <bottom style="thick"/>
      <diagonal/>
    </border>
    <border diagonalUp="false" diagonalDown="false">
      <left style="thick"/>
      <right style="thin"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/>
      <right style="thick"/>
      <top style="thin"/>
      <bottom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ck"/>
      <right/>
      <top style="thick"/>
      <bottom/>
      <diagonal/>
    </border>
    <border diagonalUp="false" diagonalDown="false">
      <left style="medium"/>
      <right style="medium"/>
      <top style="thick"/>
      <bottom/>
      <diagonal/>
    </border>
    <border diagonalUp="false" diagonalDown="false">
      <left/>
      <right style="thin"/>
      <top style="thick"/>
      <bottom/>
      <diagonal/>
    </border>
    <border diagonalUp="false" diagonalDown="false">
      <left style="thin"/>
      <right style="thin"/>
      <top style="thick"/>
      <bottom/>
      <diagonal/>
    </border>
    <border diagonalUp="false" diagonalDown="false">
      <left style="thin"/>
      <right/>
      <top style="thick"/>
      <bottom/>
      <diagonal/>
    </border>
    <border diagonalUp="false" diagonalDown="false">
      <left style="medium"/>
      <right style="thick"/>
      <top style="thick"/>
      <bottom/>
      <diagonal/>
    </border>
    <border diagonalUp="false" diagonalDown="false">
      <left style="thick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ck"/>
      <top style="medium"/>
      <bottom style="thin"/>
      <diagonal/>
    </border>
    <border diagonalUp="false" diagonalDown="false">
      <left style="thick"/>
      <right style="medium"/>
      <top style="thin"/>
      <bottom/>
      <diagonal/>
    </border>
    <border diagonalUp="false" diagonalDown="false">
      <left style="thick"/>
      <right style="medium"/>
      <top style="medium"/>
      <bottom style="thin"/>
      <diagonal/>
    </border>
    <border diagonalUp="false" diagonalDown="false">
      <left/>
      <right style="thick"/>
      <top style="medium"/>
      <bottom style="thin"/>
      <diagonal/>
    </border>
    <border diagonalUp="false" diagonalDown="false">
      <left style="thick"/>
      <right style="medium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ck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 style="thick"/>
      <bottom/>
      <diagonal/>
    </border>
    <border diagonalUp="false" diagonalDown="false">
      <left style="thick"/>
      <right style="medium"/>
      <top style="thick"/>
      <bottom/>
      <diagonal/>
    </border>
    <border diagonalUp="false" diagonalDown="false">
      <left style="medium"/>
      <right style="thin"/>
      <top style="thick"/>
      <bottom style="medium"/>
      <diagonal/>
    </border>
    <border diagonalUp="false" diagonalDown="false">
      <left/>
      <right style="medium"/>
      <top style="thick"/>
      <bottom style="medium"/>
      <diagonal/>
    </border>
    <border diagonalUp="false" diagonalDown="false">
      <left style="medium"/>
      <right style="thick"/>
      <top style="thick"/>
      <bottom style="medium"/>
      <diagonal/>
    </border>
    <border diagonalUp="false" diagonalDown="false">
      <left style="thick"/>
      <right style="thin"/>
      <top style="thick"/>
      <bottom style="medium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ck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ck"/>
      <top/>
      <bottom/>
      <diagonal/>
    </border>
    <border diagonalUp="false" diagonalDown="false">
      <left style="thick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 style="thin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thick"/>
      <top style="medium"/>
      <bottom style="medium"/>
      <diagonal/>
    </border>
    <border diagonalUp="false" diagonalDown="false">
      <left/>
      <right style="thick"/>
      <top style="medium"/>
      <bottom style="medium"/>
      <diagonal/>
    </border>
    <border diagonalUp="false" diagonalDown="false">
      <left style="medium"/>
      <right style="thick"/>
      <top/>
      <bottom style="thin"/>
      <diagonal/>
    </border>
    <border diagonalUp="false" diagonalDown="false">
      <left style="thick"/>
      <right style="thin"/>
      <top style="medium"/>
      <bottom style="thick"/>
      <diagonal/>
    </border>
    <border diagonalUp="false" diagonalDown="false">
      <left/>
      <right style="medium"/>
      <top style="medium"/>
      <bottom style="thick"/>
      <diagonal/>
    </border>
    <border diagonalUp="false" diagonalDown="false">
      <left/>
      <right style="thin"/>
      <top style="medium"/>
      <bottom style="thick"/>
      <diagonal/>
    </border>
    <border diagonalUp="false" diagonalDown="false">
      <left style="thin"/>
      <right style="thick"/>
      <top style="thick"/>
      <bottom style="medium"/>
      <diagonal/>
    </border>
    <border diagonalUp="false" diagonalDown="false">
      <left style="thin"/>
      <right style="thin"/>
      <top style="medium"/>
      <bottom style="thick"/>
      <diagonal/>
    </border>
    <border diagonalUp="false" diagonalDown="false">
      <left style="thin"/>
      <right style="thick"/>
      <top style="medium"/>
      <bottom style="thick"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ck"/>
      <top style="thin"/>
      <bottom/>
      <diagonal/>
    </border>
    <border diagonalUp="false" diagonalDown="false">
      <left style="medium"/>
      <right style="medium"/>
      <top style="medium"/>
      <bottom style="thick"/>
      <diagonal/>
    </border>
    <border diagonalUp="false" diagonalDown="false">
      <left style="medium"/>
      <right style="thick"/>
      <top style="medium"/>
      <bottom style="thick"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 style="thick"/>
      <bottom style="medium"/>
      <diagonal/>
    </border>
    <border diagonalUp="false" diagonalDown="false">
      <left style="thin"/>
      <right style="medium"/>
      <top style="thick"/>
      <bottom style="medium"/>
      <diagonal/>
    </border>
    <border diagonalUp="false" diagonalDown="false">
      <left style="thick"/>
      <right/>
      <top/>
      <bottom style="thin"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thick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ck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ck"/>
      <top/>
      <bottom/>
      <diagonal/>
    </border>
    <border diagonalUp="false" diagonalDown="false">
      <left/>
      <right/>
      <top style="thick"/>
      <bottom style="medium"/>
      <diagonal/>
    </border>
    <border diagonalUp="false" diagonalDown="false">
      <left style="thick"/>
      <right style="thin">
        <color rgb="FF2F5597"/>
      </right>
      <top style="medium"/>
      <bottom style="thin">
        <color rgb="FF2F5597"/>
      </bottom>
      <diagonal/>
    </border>
    <border diagonalUp="false" diagonalDown="false">
      <left style="thin">
        <color rgb="FF2F5597"/>
      </left>
      <right/>
      <top style="medium"/>
      <bottom style="thin">
        <color rgb="FF2F5597"/>
      </bottom>
      <diagonal/>
    </border>
    <border diagonalUp="false" diagonalDown="false">
      <left style="thin">
        <color rgb="FF2F5597"/>
      </left>
      <right style="thick"/>
      <top style="medium"/>
      <bottom style="thin">
        <color rgb="FF2F5597"/>
      </bottom>
      <diagonal/>
    </border>
    <border diagonalUp="false" diagonalDown="false">
      <left style="thick"/>
      <right style="thin">
        <color rgb="FF2F5597"/>
      </right>
      <top style="thin">
        <color rgb="FF2F5597"/>
      </top>
      <bottom style="medium"/>
      <diagonal/>
    </border>
    <border diagonalUp="false" diagonalDown="false">
      <left style="thin">
        <color rgb="FF2F5597"/>
      </left>
      <right/>
      <top style="thin">
        <color rgb="FF2F5597"/>
      </top>
      <bottom style="medium"/>
      <diagonal/>
    </border>
    <border diagonalUp="false" diagonalDown="false">
      <left style="thin">
        <color rgb="FF2F5597"/>
      </left>
      <right style="thick"/>
      <top style="thin">
        <color rgb="FF2F5597"/>
      </top>
      <bottom style="medium"/>
      <diagonal/>
    </border>
    <border diagonalUp="false" diagonalDown="false">
      <left style="thick"/>
      <right style="thin">
        <color rgb="FF2F5597"/>
      </right>
      <top/>
      <bottom style="thin">
        <color rgb="FF2F5597"/>
      </bottom>
      <diagonal/>
    </border>
    <border diagonalUp="false" diagonalDown="false">
      <left style="thin">
        <color rgb="FF2F5597"/>
      </left>
      <right style="thick"/>
      <top/>
      <bottom style="thin">
        <color rgb="FF2F5597"/>
      </bottom>
      <diagonal/>
    </border>
    <border diagonalUp="false" diagonalDown="false">
      <left style="thick"/>
      <right style="thin">
        <color rgb="FF2F5597"/>
      </right>
      <top style="thin">
        <color rgb="FF2F5597"/>
      </top>
      <bottom style="thin">
        <color rgb="FF2F5597"/>
      </bottom>
      <diagonal/>
    </border>
    <border diagonalUp="false" diagonalDown="false">
      <left style="thin">
        <color rgb="FF2F5597"/>
      </left>
      <right style="thick"/>
      <top style="thin">
        <color rgb="FF2F5597"/>
      </top>
      <bottom style="thin">
        <color rgb="FF2F5597"/>
      </bottom>
      <diagonal/>
    </border>
    <border diagonalUp="false" diagonalDown="false">
      <left style="thick"/>
      <right style="thin">
        <color rgb="FF2F5597"/>
      </right>
      <top style="thin">
        <color rgb="FF2F5597"/>
      </top>
      <bottom style="thick"/>
      <diagonal/>
    </border>
    <border diagonalUp="false" diagonalDown="false">
      <left style="thin">
        <color rgb="FF2F5597"/>
      </left>
      <right style="thick"/>
      <top style="thin">
        <color rgb="FF2F5597"/>
      </top>
      <bottom style="thick"/>
      <diagonal/>
    </border>
    <border diagonalUp="false" diagonalDown="false">
      <left/>
      <right style="thin">
        <color rgb="FF4472C4"/>
      </right>
      <top style="medium"/>
      <bottom style="thin">
        <color rgb="FF4472C4"/>
      </bottom>
      <diagonal/>
    </border>
    <border diagonalUp="false" diagonalDown="false">
      <left style="thin">
        <color rgb="FF4472C4"/>
      </left>
      <right style="thin">
        <color rgb="FF4472C4"/>
      </right>
      <top style="medium"/>
      <bottom style="thin">
        <color rgb="FF4472C4"/>
      </bottom>
      <diagonal/>
    </border>
    <border diagonalUp="false" diagonalDown="false">
      <left/>
      <right style="thin">
        <color rgb="FF4472C4"/>
      </right>
      <top style="thin">
        <color rgb="FF4472C4"/>
      </top>
      <bottom style="thin">
        <color rgb="FF4472C4"/>
      </bottom>
      <diagonal/>
    </border>
    <border diagonalUp="false" diagonalDown="false"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 diagonalUp="false" diagonalDown="false">
      <left/>
      <right style="thin">
        <color rgb="FF4472C4"/>
      </right>
      <top style="thin">
        <color rgb="FF4472C4"/>
      </top>
      <bottom style="thick"/>
      <diagonal/>
    </border>
    <border diagonalUp="false" diagonalDown="false">
      <left style="thin">
        <color rgb="FF4472C4"/>
      </left>
      <right style="thin">
        <color rgb="FF4472C4"/>
      </right>
      <top style="thin">
        <color rgb="FF4472C4"/>
      </top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2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2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2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2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2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4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2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2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3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5" borderId="2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5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2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4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2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2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3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8" borderId="2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8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4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4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4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4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2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2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4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2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5" borderId="2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5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5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6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6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6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9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9" borderId="2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9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9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9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9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6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9" borderId="5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9" borderId="5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9" borderId="6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9" borderId="6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9" borderId="5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9" borderId="6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10" borderId="2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10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10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10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1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0" borderId="6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10" borderId="6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10" borderId="6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10" borderId="6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10" borderId="7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10" borderId="6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10" borderId="7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7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0" fillId="0" borderId="2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0" fillId="0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0" fillId="0" borderId="1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0" fillId="0" borderId="1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0" fillId="0" borderId="1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0" fillId="0" borderId="28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0" fillId="0" borderId="2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0" fillId="0" borderId="2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0" fillId="0" borderId="2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0" fillId="0" borderId="2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3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3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3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3" borderId="1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3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3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0" fillId="0" borderId="29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0" fillId="0" borderId="1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0" fillId="0" borderId="2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3" borderId="2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3" borderId="2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3" borderId="2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7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1" borderId="7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7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1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1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1" borderId="7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1" borderId="7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7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8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8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5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6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1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8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8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8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8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8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9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9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9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1" borderId="9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1" borderId="9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1" borderId="9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1" borderId="9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11" borderId="9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9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9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9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10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1" borderId="2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1" borderId="2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11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10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3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10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1" borderId="10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11" borderId="10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10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4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4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1" borderId="10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11" borderId="10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11" borderId="10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1" borderId="10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0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0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7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1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0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6" borderId="1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6" borderId="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6" borderId="10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1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7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7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7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0" fillId="0" borderId="11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0" fillId="0" borderId="7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1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2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0" fillId="0" borderId="11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0" fillId="0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2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2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2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0" fillId="0" borderId="11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0" fillId="0" borderId="2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4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1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6" borderId="1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6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1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15" borderId="1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5" borderId="1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5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5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5" borderId="1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5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5" borderId="4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4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2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4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5" fontId="8" fillId="4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4" fontId="8" fillId="4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6" fontId="8" fillId="4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7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0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7" borderId="7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7" borderId="10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8" borderId="7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8" borderId="10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9" borderId="7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9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9" borderId="10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5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5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15" borderId="3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4" fillId="15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4" fillId="15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3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4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1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4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3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3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3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4" fillId="6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8" fontId="14" fillId="15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5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5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15" borderId="4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4" fillId="15" borderId="4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4" fillId="6" borderId="4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5" borderId="1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5" borderId="1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15" borderId="9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4" fillId="15" borderId="9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4" fillId="6" borderId="9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4" fillId="6" borderId="12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5" borderId="1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5" borderId="1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15" borderId="1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4" fillId="15" borderId="7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4" fillId="15" borderId="7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5" borderId="8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15" borderId="8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4" fillId="15" borderId="8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4" fillId="15" borderId="8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8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4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4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4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4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5" borderId="1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15" borderId="8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8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8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8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8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2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8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2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3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5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5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5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5" borderId="3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3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1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5" borderId="7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3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0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20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2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0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0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2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20" borderId="1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20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0" borderId="3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0" borderId="3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0" borderId="3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5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5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1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5" borderId="3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3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5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0" borderId="2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20" borderId="2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20" borderId="4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0" borderId="2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0" borderId="2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20" borderId="5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20" borderId="2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20" borderId="2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0" borderId="4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0" borderId="5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0" borderId="4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6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5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8" fillId="4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1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15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5" fillId="15" borderId="1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5" fillId="15" borderId="14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15" fillId="15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15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5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5" fillId="15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89" fontId="17" fillId="15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89" fontId="15" fillId="15" borderId="1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0" fontId="15" fillId="15" borderId="1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8" fillId="15" borderId="1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15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5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15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90" fontId="16" fillId="15" borderId="1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2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5" fillId="0" borderId="1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5" fillId="0" borderId="14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1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5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89" fontId="17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89" fontId="15" fillId="0" borderId="1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0" fontId="15" fillId="0" borderId="1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8" fillId="0" borderId="1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90" fontId="16" fillId="6" borderId="1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20" fillId="0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20" fillId="0" borderId="3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20" fillId="0" borderId="2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20" fillId="0" borderId="4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2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2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3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13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3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3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3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3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3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3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3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2" borderId="12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4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4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4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4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4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4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4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FF0000"/>
      </font>
      <fill>
        <patternFill>
          <bgColor rgb="FFFBE5D6"/>
        </patternFill>
      </fill>
    </dxf>
    <dxf>
      <font>
        <color rgb="FFFF0000"/>
      </font>
      <fill>
        <patternFill>
          <bgColor rgb="FFFBE5D6"/>
        </patternFill>
      </fill>
    </dxf>
  </dxfs>
  <colors>
    <indexedColors>
      <rgbColor rgb="FF000000"/>
      <rgbColor rgb="FFFFFFFF"/>
      <rgbColor rgb="FFFF0000"/>
      <rgbColor rgb="FF00FF00"/>
      <rgbColor rgb="FF0000C6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8FAADC"/>
      <rgbColor rgb="FF993366"/>
      <rgbColor rgb="FFFFF2CC"/>
      <rgbColor rgb="FFDEEBF7"/>
      <rgbColor rgb="FF660066"/>
      <rgbColor rgb="FFFF8080"/>
      <rgbColor rgb="FF0066CC"/>
      <rgbColor rgb="FFB4C7E7"/>
      <rgbColor rgb="FF000080"/>
      <rgbColor rgb="FFFF00FF"/>
      <rgbColor rgb="FFE7E6E6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E699"/>
      <rgbColor rgb="FF9DC3E6"/>
      <rgbColor rgb="FFD9D9D9"/>
      <rgbColor rgb="FFD0CECE"/>
      <rgbColor rgb="FFFBE5D6"/>
      <rgbColor rgb="FF4472C4"/>
      <rgbColor rgb="FF33CCCC"/>
      <rgbColor rgb="FFA9D18E"/>
      <rgbColor rgb="FFFFCC00"/>
      <rgbColor rgb="FFFF9900"/>
      <rgbColor rgb="FFFF6600"/>
      <rgbColor rgb="FF44546A"/>
      <rgbColor rgb="FFA6A6A6"/>
      <rgbColor rgb="FF003366"/>
      <rgbColor rgb="FF339966"/>
      <rgbColor rgb="FF003300"/>
      <rgbColor rgb="FF385724"/>
      <rgbColor rgb="FF843C0B"/>
      <rgbColor rgb="FF993366"/>
      <rgbColor rgb="FF2F5597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externalLink" Target="externalLinks/externalLink1.xml"/><Relationship Id="rId17" Type="http://schemas.openxmlformats.org/officeDocument/2006/relationships/externalLink" Target="externalLinks/externalLink2.xml"/><Relationship Id="rId1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ttps://d.docs.live.net/3490402e19169d4e/Desktop/Salt%20Creek/Model/Model%20Interface%20May.xlsm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https://d.docs.live.net/3490402e19169d4e/Desktop/Salt%20Creek/Loss%20Investigation/Balances/Copy%20of%2012.2022%20Gas%20Balance%20Tool%20recovery%201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alidation"/>
      <sheetName val="Input"/>
      <sheetName val="Output"/>
      <sheetName val="Volumes"/>
      <sheetName val="H2O Adjust"/>
      <sheetName val="ReceiptPoints"/>
      <sheetName val="FlowCal Data"/>
      <sheetName val="Envelope"/>
      <sheetName val="FlowCal Ra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lets"/>
      <sheetName val="Sheet1"/>
      <sheetName val="Outlets"/>
      <sheetName val="Compressor Stations"/>
      <sheetName val="High Pressure"/>
      <sheetName val="Plant"/>
      <sheetName val="Liquids"/>
      <sheetName val="Rollup"/>
      <sheetName val="CALC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72"/>
  <sheetViews>
    <sheetView showFormulas="false" showGridLines="true" showRowColHeaders="true" showZeros="true" rightToLeft="false" tabSelected="false" showOutlineSymbols="true" defaultGridColor="true" view="normal" topLeftCell="A1" colorId="64" zoomScale="96" zoomScaleNormal="96" zoomScalePageLayoutView="100" workbookViewId="0">
      <selection pane="topLeft" activeCell="G16" activeCellId="0" sqref="G1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3.85"/>
    <col collapsed="false" customWidth="true" hidden="false" outlineLevel="0" max="2" min="2" style="0" width="30"/>
    <col collapsed="false" customWidth="true" hidden="false" outlineLevel="0" max="3" min="3" style="0" width="17.71"/>
    <col collapsed="false" customWidth="true" hidden="false" outlineLevel="0" max="4" min="4" style="0" width="15.43"/>
    <col collapsed="false" customWidth="true" hidden="false" outlineLevel="0" max="5" min="5" style="0" width="10.57"/>
    <col collapsed="false" customWidth="true" hidden="false" outlineLevel="0" max="6" min="6" style="0" width="13.28"/>
    <col collapsed="false" customWidth="true" hidden="false" outlineLevel="0" max="7" min="7" style="0" width="11.57"/>
    <col collapsed="false" customWidth="true" hidden="false" outlineLevel="0" max="11" min="8" style="0" width="10.57"/>
    <col collapsed="false" customWidth="true" hidden="false" outlineLevel="0" max="12" min="12" style="0" width="9.57"/>
    <col collapsed="false" customWidth="true" hidden="false" outlineLevel="0" max="13" min="13" style="0" width="10.57"/>
    <col collapsed="false" customWidth="true" hidden="false" outlineLevel="0" max="14" min="14" style="0" width="13.28"/>
    <col collapsed="false" customWidth="true" hidden="false" outlineLevel="0" max="15" min="15" style="0" width="15.14"/>
    <col collapsed="false" customWidth="true" hidden="false" outlineLevel="0" max="16" min="16" style="0" width="22"/>
    <col collapsed="false" customWidth="true" hidden="false" outlineLevel="0" max="17" min="17" style="0" width="31.43"/>
    <col collapsed="false" customWidth="true" hidden="false" outlineLevel="0" max="18" min="18" style="0" width="16.43"/>
    <col collapsed="false" customWidth="true" hidden="false" outlineLevel="0" max="19" min="19" style="0" width="13.43"/>
    <col collapsed="false" customWidth="true" hidden="false" outlineLevel="0" max="21" min="20" style="0" width="13.28"/>
    <col collapsed="false" customWidth="true" hidden="false" outlineLevel="0" max="26" min="22" style="0" width="11.57"/>
    <col collapsed="false" customWidth="true" hidden="false" outlineLevel="0" max="27" min="27" style="0" width="9.7"/>
    <col collapsed="false" customWidth="true" hidden="false" outlineLevel="0" max="28" min="28" style="0" width="14.28"/>
    <col collapsed="false" customWidth="true" hidden="false" outlineLevel="0" max="29" min="29" style="0" width="11.71"/>
  </cols>
  <sheetData>
    <row r="1" customFormat="false" ht="16.5" hidden="false" customHeight="false" outlineLevel="0" collapsed="false">
      <c r="C1" s="1" t="s">
        <v>0</v>
      </c>
      <c r="D1" s="2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4" t="s">
        <v>10</v>
      </c>
      <c r="N1" s="5" t="s">
        <v>11</v>
      </c>
      <c r="O1" s="6" t="s">
        <v>12</v>
      </c>
      <c r="R1" s="7" t="s">
        <v>13</v>
      </c>
      <c r="S1" s="8" t="s">
        <v>3</v>
      </c>
      <c r="T1" s="9" t="s">
        <v>4</v>
      </c>
      <c r="U1" s="9" t="s">
        <v>5</v>
      </c>
      <c r="V1" s="9" t="s">
        <v>6</v>
      </c>
      <c r="W1" s="9" t="s">
        <v>7</v>
      </c>
      <c r="X1" s="9" t="s">
        <v>8</v>
      </c>
      <c r="Y1" s="9" t="s">
        <v>9</v>
      </c>
      <c r="Z1" s="10" t="s">
        <v>10</v>
      </c>
      <c r="AA1" s="11" t="s">
        <v>14</v>
      </c>
      <c r="AB1" s="11" t="s">
        <v>15</v>
      </c>
      <c r="AC1" s="12" t="s">
        <v>16</v>
      </c>
    </row>
    <row r="2" customFormat="false" ht="15" hidden="false" customHeight="false" outlineLevel="0" collapsed="false">
      <c r="B2" s="0" t="s">
        <v>17</v>
      </c>
      <c r="C2" s="13" t="n">
        <f aca="false">SUM(C12:C68)</f>
        <v>10415687.55</v>
      </c>
      <c r="D2" s="14" t="n">
        <f aca="false">SUM(D12:D68)</f>
        <v>37998.1181919348</v>
      </c>
      <c r="E2" s="15" t="n">
        <f aca="false">SUM(E12:E68)</f>
        <v>95025.224312692</v>
      </c>
      <c r="F2" s="15" t="n">
        <f aca="false">SUM(F12:F68)</f>
        <v>8156321.60177115</v>
      </c>
      <c r="G2" s="15" t="n">
        <f aca="false">SUM(G12:G68)</f>
        <v>1127813.973205</v>
      </c>
      <c r="H2" s="15" t="n">
        <f aca="false">SUM(H12:H68)</f>
        <v>546479.340832273</v>
      </c>
      <c r="I2" s="15" t="n">
        <f aca="false">SUM(I12:I68)</f>
        <v>82842.2540781758</v>
      </c>
      <c r="J2" s="15" t="n">
        <f aca="false">SUM(J12:J68)</f>
        <v>188267.563650171</v>
      </c>
      <c r="K2" s="15" t="n">
        <f aca="false">SUM(K12:K68)</f>
        <v>49505.9917827724</v>
      </c>
      <c r="L2" s="15" t="n">
        <f aca="false">SUM(L12:L68)</f>
        <v>51933.3686122818</v>
      </c>
      <c r="M2" s="16" t="n">
        <f aca="false">SUM(M12:M68)</f>
        <v>79500.1135635523</v>
      </c>
      <c r="N2" s="17" t="n">
        <f aca="false">SUM(N12:N68)</f>
        <v>10415687.55</v>
      </c>
      <c r="O2" s="18" t="n">
        <f aca="false">SUM(K2:M2)</f>
        <v>180939.473958607</v>
      </c>
      <c r="P2" s="0" t="s">
        <v>18</v>
      </c>
      <c r="Q2" s="0" t="s">
        <v>17</v>
      </c>
      <c r="R2" s="19" t="n">
        <f aca="false">SUM(R12:R68)</f>
        <v>13314932.5216418</v>
      </c>
      <c r="S2" s="20" t="n">
        <f aca="false">SUM(S12:S68)</f>
        <v>8242748.04526297</v>
      </c>
      <c r="T2" s="20" t="n">
        <f aca="false">SUM(T12:T68)</f>
        <v>1997315.28340128</v>
      </c>
      <c r="U2" s="20" t="n">
        <f aca="false">SUM(U12:U68)</f>
        <v>1376001.39862093</v>
      </c>
      <c r="V2" s="20" t="n">
        <f aca="false">SUM(V12:V68)</f>
        <v>269583.903960484</v>
      </c>
      <c r="W2" s="20" t="n">
        <f aca="false">SUM(W12:W68)</f>
        <v>614648.678305597</v>
      </c>
      <c r="X2" s="20" t="n">
        <f aca="false">SUM(X12:X68)</f>
        <v>198210.847261965</v>
      </c>
      <c r="Y2" s="20" t="n">
        <f aca="false">SUM(Y12:Y68)</f>
        <v>208339.303787436</v>
      </c>
      <c r="Z2" s="20" t="n">
        <f aca="false">SUM(Z12:Z68)</f>
        <v>408085.061041137</v>
      </c>
      <c r="AA2" s="21" t="n">
        <f aca="false">IF(N2=0,,R2/N2*1000)</f>
        <v>1278.35368118755</v>
      </c>
      <c r="AB2" s="22" t="n">
        <f aca="false">SUM(AB12:AB68)</f>
        <v>13345250.96</v>
      </c>
      <c r="AC2" s="23" t="n">
        <f aca="false">IF(AB2=0,,R2/AB2)</f>
        <v>0.997728147754652</v>
      </c>
    </row>
    <row r="3" customFormat="false" ht="15" hidden="false" customHeight="false" outlineLevel="0" collapsed="false">
      <c r="B3" s="18" t="s">
        <v>19</v>
      </c>
      <c r="C3" s="13" t="e">
        <f aca="false">Outlets!C2</f>
        <v>#REF!</v>
      </c>
      <c r="D3" s="14" t="e">
        <f aca="false">Outlets!D2</f>
        <v>#REF!</v>
      </c>
      <c r="E3" s="15" t="n">
        <f aca="false">Outlets!E2</f>
        <v>92385.2820605133</v>
      </c>
      <c r="F3" s="15" t="n">
        <f aca="false">Outlets!F2</f>
        <v>8233649.1187616</v>
      </c>
      <c r="G3" s="15" t="n">
        <f aca="false">Outlets!G2</f>
        <v>1145480.90676845</v>
      </c>
      <c r="H3" s="15" t="n">
        <f aca="false">Outlets!H2</f>
        <v>464813.506901769</v>
      </c>
      <c r="I3" s="15" t="n">
        <f aca="false">Outlets!I2</f>
        <v>71172.6270867845</v>
      </c>
      <c r="J3" s="15" t="n">
        <f aca="false">Outlets!J2</f>
        <v>160327.85783931</v>
      </c>
      <c r="K3" s="15" t="n">
        <f aca="false">Outlets!K2</f>
        <v>43611.4264407055</v>
      </c>
      <c r="L3" s="15" t="n">
        <f aca="false">Outlets!L2</f>
        <v>47458.2773345236</v>
      </c>
      <c r="M3" s="16" t="n">
        <f aca="false">Outlets!M2</f>
        <v>69646.0590364589</v>
      </c>
      <c r="N3" s="17" t="e">
        <f aca="false">Outlets!N2</f>
        <v>#REF!</v>
      </c>
      <c r="O3" s="24" t="n">
        <f aca="false">O2/C2</f>
        <v>0.0173718223679441</v>
      </c>
      <c r="Q3" s="18" t="s">
        <v>19</v>
      </c>
      <c r="R3" s="13" t="n">
        <f aca="false">Outlets!R2</f>
        <v>12950236.1574539</v>
      </c>
      <c r="S3" s="14" t="n">
        <f aca="false">Outlets!S2</f>
        <v>8260577.54710368</v>
      </c>
      <c r="T3" s="15" t="n">
        <f aca="false">Outlets!T2</f>
        <v>2031515.7059692</v>
      </c>
      <c r="U3" s="15" t="n">
        <f aca="false">Outlets!U2</f>
        <v>1174715.67070831</v>
      </c>
      <c r="V3" s="15" t="n">
        <f aca="false">Outlets!V2</f>
        <v>232520.137310756</v>
      </c>
      <c r="W3" s="15" t="n">
        <f aca="false">Outlets!W2</f>
        <v>526017.417623313</v>
      </c>
      <c r="X3" s="15" t="n">
        <f aca="false">Outlets!X2</f>
        <v>175280.946983484</v>
      </c>
      <c r="Y3" s="15" t="n">
        <f aca="false">Outlets!Y2</f>
        <v>190651.506988724</v>
      </c>
      <c r="Z3" s="16" t="n">
        <f aca="false">Outlets!Z2</f>
        <v>358957.224766457</v>
      </c>
      <c r="AA3" s="25" t="e">
        <f aca="false">Outlets!AA2</f>
        <v>#REF!</v>
      </c>
      <c r="AB3" s="26" t="n">
        <f aca="false">Outlets!AB2</f>
        <v>12990813.2228173</v>
      </c>
      <c r="AC3" s="27" t="n">
        <f aca="false">Outlets!AC2</f>
        <v>0.996876479965696</v>
      </c>
    </row>
    <row r="4" customFormat="false" ht="15" hidden="false" customHeight="false" outlineLevel="0" collapsed="false">
      <c r="B4" s="0" t="s">
        <v>20</v>
      </c>
      <c r="C4" s="13" t="e">
        <f aca="false">C3-C2</f>
        <v>#REF!</v>
      </c>
      <c r="D4" s="14" t="e">
        <f aca="false">D3-D2</f>
        <v>#REF!</v>
      </c>
      <c r="E4" s="15" t="n">
        <f aca="false">E3-E2</f>
        <v>-2639.94225217871</v>
      </c>
      <c r="F4" s="15" t="n">
        <f aca="false">F3-F2</f>
        <v>77327.5169904474</v>
      </c>
      <c r="G4" s="15" t="n">
        <f aca="false">G3-G2</f>
        <v>17666.9335634576</v>
      </c>
      <c r="H4" s="15" t="n">
        <f aca="false">H3-H2</f>
        <v>-81665.8339305033</v>
      </c>
      <c r="I4" s="15" t="n">
        <f aca="false">I3-I2</f>
        <v>-11669.6269913913</v>
      </c>
      <c r="J4" s="15" t="n">
        <f aca="false">J3-J2</f>
        <v>-27939.7058108609</v>
      </c>
      <c r="K4" s="15" t="n">
        <f aca="false">K3-K2</f>
        <v>-5894.56534206698</v>
      </c>
      <c r="L4" s="15" t="n">
        <f aca="false">L3-L2</f>
        <v>-4475.09127775818</v>
      </c>
      <c r="M4" s="16" t="n">
        <f aca="false">M3-M2</f>
        <v>-9854.05452709348</v>
      </c>
      <c r="N4" s="17" t="e">
        <f aca="false">N3-N2</f>
        <v>#REF!</v>
      </c>
      <c r="O4" s="18" t="n">
        <f aca="false">SUM(K4:M4)</f>
        <v>-20223.7111469186</v>
      </c>
      <c r="P4" s="0" t="s">
        <v>21</v>
      </c>
      <c r="Q4" s="0" t="s">
        <v>20</v>
      </c>
      <c r="R4" s="13" t="n">
        <f aca="false">R3-R2</f>
        <v>-364696.364187879</v>
      </c>
      <c r="S4" s="14" t="n">
        <f aca="false">S3-S2</f>
        <v>17829.5018407097</v>
      </c>
      <c r="T4" s="15" t="n">
        <f aca="false">T3-T2</f>
        <v>34200.4225679138</v>
      </c>
      <c r="U4" s="15" t="n">
        <f aca="false">U3-U2</f>
        <v>-201285.727912619</v>
      </c>
      <c r="V4" s="15" t="n">
        <f aca="false">V3-V2</f>
        <v>-37063.7666497274</v>
      </c>
      <c r="W4" s="15" t="n">
        <f aca="false">W3-W2</f>
        <v>-88631.260682284</v>
      </c>
      <c r="X4" s="15" t="n">
        <f aca="false">X3-X2</f>
        <v>-22929.9002784804</v>
      </c>
      <c r="Y4" s="15" t="n">
        <f aca="false">Y3-Y2</f>
        <v>-17687.7967987126</v>
      </c>
      <c r="Z4" s="16" t="n">
        <f aca="false">Z3-Z2</f>
        <v>-49127.8362746793</v>
      </c>
      <c r="AA4" s="28"/>
      <c r="AB4" s="26" t="n">
        <f aca="false">AB3-AB2</f>
        <v>-354437.737182712</v>
      </c>
      <c r="AC4" s="29"/>
    </row>
    <row r="5" customFormat="false" ht="15.75" hidden="false" customHeight="false" outlineLevel="0" collapsed="false">
      <c r="B5" s="18" t="s">
        <v>22</v>
      </c>
      <c r="C5" s="30" t="e">
        <f aca="false">C4/C2</f>
        <v>#REF!</v>
      </c>
      <c r="D5" s="31" t="e">
        <f aca="false">D4/D2</f>
        <v>#REF!</v>
      </c>
      <c r="E5" s="32" t="n">
        <f aca="false">E4/E2</f>
        <v>-0.0277814892969014</v>
      </c>
      <c r="F5" s="32" t="n">
        <f aca="false">F4/F2</f>
        <v>0.00948068513797392</v>
      </c>
      <c r="G5" s="32" t="n">
        <f aca="false">G4/G2</f>
        <v>0.0156647585357114</v>
      </c>
      <c r="H5" s="32" t="n">
        <f aca="false">H4/H2</f>
        <v>-0.149439929066904</v>
      </c>
      <c r="I5" s="32" t="n">
        <f aca="false">I4/I2</f>
        <v>-0.140865638208963</v>
      </c>
      <c r="J5" s="32" t="n">
        <f aca="false">J4/J2</f>
        <v>-0.148404245899612</v>
      </c>
      <c r="K5" s="32" t="n">
        <f aca="false">K4/K2</f>
        <v>-0.119067715437997</v>
      </c>
      <c r="L5" s="32" t="n">
        <f aca="false">L4/L2</f>
        <v>-0.0861698633718101</v>
      </c>
      <c r="M5" s="33" t="n">
        <f aca="false">M4/M2</f>
        <v>-0.123950194350555</v>
      </c>
      <c r="N5" s="34" t="e">
        <f aca="false">N4/N2</f>
        <v>#REF!</v>
      </c>
      <c r="O5" s="35" t="n">
        <f aca="false">CALC!F18</f>
        <v>-20788.1780060034</v>
      </c>
      <c r="P5" s="0" t="s">
        <v>23</v>
      </c>
      <c r="Q5" s="18" t="s">
        <v>22</v>
      </c>
      <c r="R5" s="30" t="n">
        <f aca="false">R4/R2</f>
        <v>-0.0273900272190723</v>
      </c>
      <c r="S5" s="31" t="n">
        <f aca="false">S4/S2</f>
        <v>0.00216305311563613</v>
      </c>
      <c r="T5" s="32" t="n">
        <f aca="false">T4/T2</f>
        <v>0.0171231967492248</v>
      </c>
      <c r="U5" s="32" t="n">
        <f aca="false">U4/U2</f>
        <v>-0.146283083806713</v>
      </c>
      <c r="V5" s="32" t="n">
        <f aca="false">V4/V2</f>
        <v>-0.137485087593213</v>
      </c>
      <c r="W5" s="32" t="n">
        <f aca="false">W4/W2</f>
        <v>-0.144198244965911</v>
      </c>
      <c r="X5" s="32" t="n">
        <f aca="false">X4/X2</f>
        <v>-0.115684386577366</v>
      </c>
      <c r="Y5" s="32" t="n">
        <f aca="false">Y4/Y2</f>
        <v>-0.0848989915832638</v>
      </c>
      <c r="Z5" s="33" t="n">
        <f aca="false">Z4/Z2</f>
        <v>-0.120386264935405</v>
      </c>
      <c r="AA5" s="36"/>
      <c r="AB5" s="37" t="n">
        <f aca="false">AB4/AB2</f>
        <v>-0.0265590911886989</v>
      </c>
      <c r="AC5" s="38"/>
    </row>
    <row r="6" customFormat="false" ht="15.75" hidden="false" customHeight="false" outlineLevel="0" collapsed="false">
      <c r="C6" s="18"/>
      <c r="O6" s="39" t="n">
        <f aca="false">CALC!H19</f>
        <v>-1500906.45203345</v>
      </c>
      <c r="P6" s="18" t="s">
        <v>24</v>
      </c>
    </row>
    <row r="7" customFormat="false" ht="15" hidden="false" customHeight="false" outlineLevel="0" collapsed="false">
      <c r="C7" s="0" t="s">
        <v>25</v>
      </c>
      <c r="D7" s="40" t="n">
        <f aca="false">D2/$C2*100</f>
        <v>0.364816225616664</v>
      </c>
      <c r="E7" s="40" t="n">
        <f aca="false">E2/$C2*100</f>
        <v>0.912327907846007</v>
      </c>
      <c r="F7" s="40" t="n">
        <f aca="false">F2/$C2*100</f>
        <v>78.3080479576325</v>
      </c>
      <c r="G7" s="40" t="n">
        <f aca="false">G2/$C2*100</f>
        <v>10.8280319257944</v>
      </c>
      <c r="H7" s="40" t="n">
        <f aca="false">H2/$C2*100</f>
        <v>5.24669483612028</v>
      </c>
      <c r="I7" s="40" t="n">
        <f aca="false">I2/$C2*100</f>
        <v>0.795360399210283</v>
      </c>
      <c r="J7" s="40" t="n">
        <f aca="false">J2/$C2*100</f>
        <v>1.80753851098549</v>
      </c>
      <c r="K7" s="40" t="n">
        <f aca="false">K2/$C2*100</f>
        <v>0.475302197239706</v>
      </c>
      <c r="L7" s="40" t="n">
        <f aca="false">L2/$C2*100</f>
        <v>0.498607205361895</v>
      </c>
      <c r="M7" s="40" t="n">
        <f aca="false">M2/$C2*100</f>
        <v>0.763272834192807</v>
      </c>
      <c r="N7" s="40" t="n">
        <f aca="false">SUM(D7:M7)</f>
        <v>100</v>
      </c>
    </row>
    <row r="8" customFormat="false" ht="15" hidden="false" customHeight="false" outlineLevel="0" collapsed="false">
      <c r="C8" s="0" t="s">
        <v>26</v>
      </c>
      <c r="D8" s="40" t="e">
        <f aca="false">D3/$C3*100</f>
        <v>#REF!</v>
      </c>
      <c r="E8" s="40" t="e">
        <f aca="false">E3/$C3*100</f>
        <v>#REF!</v>
      </c>
      <c r="F8" s="40" t="e">
        <f aca="false">F3/$C3*100</f>
        <v>#REF!</v>
      </c>
      <c r="G8" s="40" t="e">
        <f aca="false">G3/$C3*100</f>
        <v>#REF!</v>
      </c>
      <c r="H8" s="40" t="e">
        <f aca="false">H3/$C3*100</f>
        <v>#REF!</v>
      </c>
      <c r="I8" s="40" t="e">
        <f aca="false">I3/$C3*100</f>
        <v>#REF!</v>
      </c>
      <c r="J8" s="40" t="e">
        <f aca="false">J3/$C3*100</f>
        <v>#REF!</v>
      </c>
      <c r="K8" s="40" t="e">
        <f aca="false">K3/$C3*100</f>
        <v>#REF!</v>
      </c>
      <c r="L8" s="40" t="e">
        <f aca="false">L3/$C3*100</f>
        <v>#REF!</v>
      </c>
      <c r="M8" s="40" t="e">
        <f aca="false">M3/$C3*100</f>
        <v>#REF!</v>
      </c>
      <c r="N8" s="40" t="e">
        <f aca="false">SUM(D8:M8)</f>
        <v>#REF!</v>
      </c>
    </row>
    <row r="10" customFormat="false" ht="15.75" hidden="false" customHeight="false" outlineLevel="0" collapsed="false">
      <c r="E10" s="41"/>
      <c r="F10" s="18"/>
      <c r="G10" s="42"/>
    </row>
    <row r="11" customFormat="false" ht="15.75" hidden="false" customHeight="false" outlineLevel="0" collapsed="false">
      <c r="A11" s="43" t="s">
        <v>27</v>
      </c>
      <c r="B11" s="4" t="s">
        <v>28</v>
      </c>
      <c r="C11" s="44" t="s">
        <v>0</v>
      </c>
      <c r="D11" s="2" t="s">
        <v>1</v>
      </c>
      <c r="E11" s="3" t="s">
        <v>2</v>
      </c>
      <c r="F11" s="3" t="s">
        <v>3</v>
      </c>
      <c r="G11" s="3" t="s">
        <v>4</v>
      </c>
      <c r="H11" s="3" t="s">
        <v>5</v>
      </c>
      <c r="I11" s="3" t="s">
        <v>6</v>
      </c>
      <c r="J11" s="3" t="s">
        <v>7</v>
      </c>
      <c r="K11" s="3" t="s">
        <v>8</v>
      </c>
      <c r="L11" s="3" t="s">
        <v>9</v>
      </c>
      <c r="M11" s="3" t="s">
        <v>10</v>
      </c>
      <c r="N11" s="45" t="s">
        <v>11</v>
      </c>
      <c r="P11" s="46" t="s">
        <v>27</v>
      </c>
      <c r="Q11" s="47" t="s">
        <v>28</v>
      </c>
      <c r="R11" s="48" t="s">
        <v>13</v>
      </c>
      <c r="S11" s="49" t="s">
        <v>3</v>
      </c>
      <c r="T11" s="50" t="s">
        <v>4</v>
      </c>
      <c r="U11" s="50" t="s">
        <v>5</v>
      </c>
      <c r="V11" s="50" t="s">
        <v>6</v>
      </c>
      <c r="W11" s="50" t="s">
        <v>7</v>
      </c>
      <c r="X11" s="50" t="s">
        <v>8</v>
      </c>
      <c r="Y11" s="50" t="s">
        <v>9</v>
      </c>
      <c r="Z11" s="51" t="s">
        <v>10</v>
      </c>
      <c r="AA11" s="48" t="s">
        <v>14</v>
      </c>
      <c r="AB11" s="48" t="s">
        <v>15</v>
      </c>
      <c r="AC11" s="52" t="s">
        <v>16</v>
      </c>
    </row>
    <row r="12" customFormat="false" ht="15" hidden="false" customHeight="false" outlineLevel="0" collapsed="false">
      <c r="A12" s="53" t="s">
        <v>29</v>
      </c>
      <c r="B12" s="54" t="str">
        <f aca="false">IF($A12&lt;2,"",VLOOKUP($A12,All_Data,B$69,0))</f>
        <v>Gateway 22-2H</v>
      </c>
      <c r="C12" s="26" t="n">
        <f aca="false">IF($A12&lt;2,"",VLOOKUP($A12,All_Data,C$69,0))</f>
        <v>0</v>
      </c>
      <c r="D12" s="14" t="n">
        <f aca="false">IF($A12&lt;2,"",VLOOKUP($A12,All_Data,D$69,0))</f>
        <v>0</v>
      </c>
      <c r="E12" s="15" t="n">
        <f aca="false">IF($A12&lt;2,"",VLOOKUP($A12,All_Data,E$69,0))</f>
        <v>0</v>
      </c>
      <c r="F12" s="15" t="n">
        <f aca="false">IF($A12&lt;2,"",VLOOKUP($A12,All_Data,F$69,0))</f>
        <v>0</v>
      </c>
      <c r="G12" s="15" t="n">
        <f aca="false">IF($A12&lt;2,"",VLOOKUP($A12,All_Data,G$69,0))</f>
        <v>0</v>
      </c>
      <c r="H12" s="15" t="n">
        <f aca="false">IF($A12&lt;2,"",VLOOKUP($A12,All_Data,H$69,0))</f>
        <v>0</v>
      </c>
      <c r="I12" s="15" t="n">
        <f aca="false">IF($A12&lt;2,"",VLOOKUP($A12,All_Data,I$69,0))</f>
        <v>0</v>
      </c>
      <c r="J12" s="15" t="n">
        <f aca="false">IF($A12&lt;2,"",VLOOKUP($A12,All_Data,J$69,0))</f>
        <v>0</v>
      </c>
      <c r="K12" s="15" t="n">
        <f aca="false">IF($A12&lt;2,"",VLOOKUP($A12,All_Data,K$69,0))</f>
        <v>0</v>
      </c>
      <c r="L12" s="15" t="n">
        <f aca="false">IF($A12&lt;2,"",VLOOKUP($A12,All_Data,L$69,0))</f>
        <v>0</v>
      </c>
      <c r="M12" s="15" t="n">
        <f aca="false">IF($A12&lt;2,"",VLOOKUP($A12,All_Data,M$69,0))</f>
        <v>0</v>
      </c>
      <c r="N12" s="55" t="n">
        <f aca="false">SUM(D12:M12)</f>
        <v>0</v>
      </c>
      <c r="P12" s="56" t="str">
        <f aca="false">IF(A12&lt;2,"",A12)</f>
        <v>1.01.1</v>
      </c>
      <c r="Q12" s="57" t="str">
        <f aca="false">IF($A12&lt;2,"",VLOOKUP($A12,All_Data,Q$69,0))</f>
        <v>Gateway 22-2H</v>
      </c>
      <c r="R12" s="26" t="n">
        <f aca="false">SUM(S12:Z12)</f>
        <v>0</v>
      </c>
      <c r="S12" s="14" t="n">
        <f aca="false">IF($A12&lt;2,"",VLOOKUP($A12,All_Data,S$69,0))</f>
        <v>0</v>
      </c>
      <c r="T12" s="15" t="n">
        <f aca="false">IF($A12&lt;2,"",VLOOKUP($A12,All_Data,T$69,0))</f>
        <v>0</v>
      </c>
      <c r="U12" s="15" t="n">
        <f aca="false">IF($A12&lt;2,"",VLOOKUP($A12,All_Data,U$69,0))</f>
        <v>0</v>
      </c>
      <c r="V12" s="15" t="n">
        <f aca="false">IF($A12&lt;2,"",VLOOKUP($A12,All_Data,V$69,0))</f>
        <v>0</v>
      </c>
      <c r="W12" s="15" t="n">
        <f aca="false">IF($A12&lt;2,"",VLOOKUP($A12,All_Data,W$69,0))</f>
        <v>0</v>
      </c>
      <c r="X12" s="15" t="n">
        <f aca="false">IF($A12&lt;2,"",VLOOKUP($A12,All_Data,X$69,0))</f>
        <v>0</v>
      </c>
      <c r="Y12" s="15" t="n">
        <f aca="false">IF($A12&lt;2,"",VLOOKUP($A12,All_Data,Y$69,0))</f>
        <v>0</v>
      </c>
      <c r="Z12" s="16" t="n">
        <f aca="false">IF($A12&lt;2,"",VLOOKUP($A12,All_Data,Z$69,0))</f>
        <v>0</v>
      </c>
      <c r="AA12" s="25" t="n">
        <f aca="false">IF(N12=0,,R12/N12*1000)</f>
        <v>0</v>
      </c>
      <c r="AB12" s="26" t="n">
        <f aca="false">IF($A12&lt;2,,VLOOKUP($A12,All_Data,AB$69,0))</f>
        <v>0</v>
      </c>
      <c r="AC12" s="27" t="n">
        <f aca="false">IF(AB12=0,,R12/AB12)</f>
        <v>0</v>
      </c>
    </row>
    <row r="13" customFormat="false" ht="15" hidden="false" customHeight="false" outlineLevel="0" collapsed="false">
      <c r="A13" s="53" t="s">
        <v>30</v>
      </c>
      <c r="B13" s="54" t="str">
        <f aca="false">IF($A13&lt;2,"",VLOOKUP($A13,All_Data,B$69,0))</f>
        <v>Gateway 38-2H</v>
      </c>
      <c r="C13" s="26" t="n">
        <f aca="false">IF($A13&lt;2,"",VLOOKUP($A13,All_Data,C$69,0))</f>
        <v>0</v>
      </c>
      <c r="D13" s="14" t="n">
        <f aca="false">IF($A13&lt;2,"",VLOOKUP($A13,All_Data,D$69,0))</f>
        <v>0</v>
      </c>
      <c r="E13" s="15" t="n">
        <f aca="false">IF($A13&lt;2,"",VLOOKUP($A13,All_Data,E$69,0))</f>
        <v>0</v>
      </c>
      <c r="F13" s="15" t="n">
        <f aca="false">IF($A13&lt;2,"",VLOOKUP($A13,All_Data,F$69,0))</f>
        <v>0</v>
      </c>
      <c r="G13" s="15" t="n">
        <f aca="false">IF($A13&lt;2,"",VLOOKUP($A13,All_Data,G$69,0))</f>
        <v>0</v>
      </c>
      <c r="H13" s="15" t="n">
        <f aca="false">IF($A13&lt;2,"",VLOOKUP($A13,All_Data,H$69,0))</f>
        <v>0</v>
      </c>
      <c r="I13" s="15" t="n">
        <f aca="false">IF($A13&lt;2,"",VLOOKUP($A13,All_Data,I$69,0))</f>
        <v>0</v>
      </c>
      <c r="J13" s="15" t="n">
        <f aca="false">IF($A13&lt;2,"",VLOOKUP($A13,All_Data,J$69,0))</f>
        <v>0</v>
      </c>
      <c r="K13" s="15" t="n">
        <f aca="false">IF($A13&lt;2,"",VLOOKUP($A13,All_Data,K$69,0))</f>
        <v>0</v>
      </c>
      <c r="L13" s="15" t="n">
        <f aca="false">IF($A13&lt;2,"",VLOOKUP($A13,All_Data,L$69,0))</f>
        <v>0</v>
      </c>
      <c r="M13" s="15" t="n">
        <f aca="false">IF($A13&lt;2,"",VLOOKUP($A13,All_Data,M$69,0))</f>
        <v>0</v>
      </c>
      <c r="N13" s="55" t="n">
        <f aca="false">SUM(D13:M13)</f>
        <v>0</v>
      </c>
      <c r="P13" s="56" t="str">
        <f aca="false">IF(A13&lt;2,"",A13)</f>
        <v>1.01.2</v>
      </c>
      <c r="Q13" s="57" t="str">
        <f aca="false">IF($A13&lt;2,"",VLOOKUP($A13,All_Data,Q$69,0))</f>
        <v>Gateway 38-2H</v>
      </c>
      <c r="R13" s="26" t="n">
        <f aca="false">SUM(S13:Z13)</f>
        <v>0</v>
      </c>
      <c r="S13" s="14" t="n">
        <f aca="false">IF($A13&lt;2,"",VLOOKUP($A13,All_Data,S$69,0))</f>
        <v>0</v>
      </c>
      <c r="T13" s="15" t="n">
        <f aca="false">IF($A13&lt;2,"",VLOOKUP($A13,All_Data,T$69,0))</f>
        <v>0</v>
      </c>
      <c r="U13" s="15" t="n">
        <f aca="false">IF($A13&lt;2,"",VLOOKUP($A13,All_Data,U$69,0))</f>
        <v>0</v>
      </c>
      <c r="V13" s="15" t="n">
        <f aca="false">IF($A13&lt;2,"",VLOOKUP($A13,All_Data,V$69,0))</f>
        <v>0</v>
      </c>
      <c r="W13" s="15" t="n">
        <f aca="false">IF($A13&lt;2,"",VLOOKUP($A13,All_Data,W$69,0))</f>
        <v>0</v>
      </c>
      <c r="X13" s="15" t="n">
        <f aca="false">IF($A13&lt;2,"",VLOOKUP($A13,All_Data,X$69,0))</f>
        <v>0</v>
      </c>
      <c r="Y13" s="15" t="n">
        <f aca="false">IF($A13&lt;2,"",VLOOKUP($A13,All_Data,Y$69,0))</f>
        <v>0</v>
      </c>
      <c r="Z13" s="16" t="n">
        <f aca="false">IF($A13&lt;2,"",VLOOKUP($A13,All_Data,Z$69,0))</f>
        <v>0</v>
      </c>
      <c r="AA13" s="25" t="n">
        <f aca="false">IF(N13=0,,R13/N13*1000)</f>
        <v>0</v>
      </c>
      <c r="AB13" s="26" t="n">
        <f aca="false">IF($A13&lt;2,,VLOOKUP($A13,All_Data,AB$69,0))</f>
        <v>0</v>
      </c>
      <c r="AC13" s="27" t="n">
        <f aca="false">IF(AB13=0,,R13/AB13)</f>
        <v>0</v>
      </c>
    </row>
    <row r="14" customFormat="false" ht="15" hidden="false" customHeight="false" outlineLevel="0" collapsed="false">
      <c r="A14" s="53" t="s">
        <v>31</v>
      </c>
      <c r="B14" s="54" t="str">
        <f aca="false">IF($A14&lt;2,"",VLOOKUP($A14,All_Data,B$69,0))</f>
        <v>Allman 24-68</v>
      </c>
      <c r="C14" s="26" t="n">
        <f aca="false">IF($A14&lt;2,"",VLOOKUP($A14,All_Data,C$69,0))</f>
        <v>46376.34</v>
      </c>
      <c r="D14" s="14" t="n">
        <f aca="false">IF($A14&lt;2,"",VLOOKUP($A14,All_Data,D$69,0))</f>
        <v>43.5937596</v>
      </c>
      <c r="E14" s="15" t="n">
        <f aca="false">IF($A14&lt;2,"",VLOOKUP($A14,All_Data,E$69,0))</f>
        <v>273.1566426</v>
      </c>
      <c r="F14" s="15" t="n">
        <f aca="false">IF($A14&lt;2,"",VLOOKUP($A14,All_Data,F$69,0))</f>
        <v>37473.9377736</v>
      </c>
      <c r="G14" s="15" t="n">
        <f aca="false">IF($A14&lt;2,"",VLOOKUP($A14,All_Data,G$69,0))</f>
        <v>4956.7032192</v>
      </c>
      <c r="H14" s="15" t="n">
        <f aca="false">IF($A14&lt;2,"",VLOOKUP($A14,All_Data,H$69,0))</f>
        <v>1929.255744</v>
      </c>
      <c r="I14" s="15" t="n">
        <f aca="false">IF($A14&lt;2,"",VLOOKUP($A14,All_Data,I$69,0))</f>
        <v>323.2430898</v>
      </c>
      <c r="J14" s="15" t="n">
        <f aca="false">IF($A14&lt;2,"",VLOOKUP($A14,All_Data,J$69,0))</f>
        <v>621.9067194</v>
      </c>
      <c r="K14" s="15" t="n">
        <f aca="false">IF($A14&lt;2,"",VLOOKUP($A14,All_Data,K$69,0))</f>
        <v>174.3750384</v>
      </c>
      <c r="L14" s="15" t="n">
        <f aca="false">IF($A14&lt;2,"",VLOOKUP($A14,All_Data,L$69,0))</f>
        <v>192.461811</v>
      </c>
      <c r="M14" s="15" t="n">
        <f aca="false">IF($A14&lt;2,"",VLOOKUP($A14,All_Data,M$69,0))</f>
        <v>387.7062024</v>
      </c>
      <c r="N14" s="55" t="n">
        <f aca="false">SUM(D14:M14)</f>
        <v>46376.34</v>
      </c>
      <c r="P14" s="56" t="str">
        <f aca="false">IF(A14&lt;2,"",A14)</f>
        <v>1.01.3</v>
      </c>
      <c r="Q14" s="57" t="str">
        <f aca="false">IF($A14&lt;2,"",VLOOKUP($A14,All_Data,Q$69,0))</f>
        <v>Allman 24-68</v>
      </c>
      <c r="R14" s="26" t="n">
        <f aca="false">SUM(S14:Z14)</f>
        <v>58034.8329227529</v>
      </c>
      <c r="S14" s="14" t="n">
        <f aca="false">IF($A14&lt;2,"",VLOOKUP($A14,All_Data,S$69,0))</f>
        <v>37862.5862308651</v>
      </c>
      <c r="T14" s="15" t="n">
        <f aca="false">IF($A14&lt;2,"",VLOOKUP($A14,All_Data,T$69,0))</f>
        <v>8775.6333811096</v>
      </c>
      <c r="U14" s="15" t="n">
        <f aca="false">IF($A14&lt;2,"",VLOOKUP($A14,All_Data,U$69,0))</f>
        <v>4856.12327218064</v>
      </c>
      <c r="V14" s="15" t="n">
        <f aca="false">IF($A14&lt;2,"",VLOOKUP($A14,All_Data,V$69,0))</f>
        <v>1051.57392249243</v>
      </c>
      <c r="W14" s="15" t="n">
        <f aca="false">IF($A14&lt;2,"",VLOOKUP($A14,All_Data,W$69,0))</f>
        <v>2029.67675445002</v>
      </c>
      <c r="X14" s="15" t="n">
        <f aca="false">IF($A14&lt;2,"",VLOOKUP($A14,All_Data,X$69,0))</f>
        <v>697.944294070807</v>
      </c>
      <c r="Y14" s="15" t="n">
        <f aca="false">IF($A14&lt;2,"",VLOOKUP($A14,All_Data,Y$69,0))</f>
        <v>771.843979192444</v>
      </c>
      <c r="Z14" s="16" t="n">
        <f aca="false">IF($A14&lt;2,"",VLOOKUP($A14,All_Data,Z$69,0))</f>
        <v>1989.45108839186</v>
      </c>
      <c r="AA14" s="25" t="n">
        <f aca="false">IF(N14=0,,R14/N14*1000)</f>
        <v>1251.38880995682</v>
      </c>
      <c r="AB14" s="26" t="n">
        <f aca="false">IF($A14&lt;2,,VLOOKUP($A14,All_Data,AB$69,0))</f>
        <v>58016.8</v>
      </c>
      <c r="AC14" s="27" t="n">
        <f aca="false">IF(AB14=0,,R14/AB14)</f>
        <v>1.00031082242993</v>
      </c>
    </row>
    <row r="15" customFormat="false" ht="15" hidden="false" customHeight="false" outlineLevel="0" collapsed="false">
      <c r="A15" s="53" t="s">
        <v>32</v>
      </c>
      <c r="B15" s="54" t="str">
        <f aca="false">IF($A15&lt;2,"",VLOOKUP($A15,All_Data,B$69,0))</f>
        <v>Johnny Cash 23-2H</v>
      </c>
      <c r="C15" s="26" t="n">
        <f aca="false">IF($A15&lt;2,"",VLOOKUP($A15,All_Data,C$69,0))</f>
        <v>0</v>
      </c>
      <c r="D15" s="14" t="n">
        <f aca="false">IF($A15&lt;2,"",VLOOKUP($A15,All_Data,D$69,0))</f>
        <v>0</v>
      </c>
      <c r="E15" s="15" t="n">
        <f aca="false">IF($A15&lt;2,"",VLOOKUP($A15,All_Data,E$69,0))</f>
        <v>0</v>
      </c>
      <c r="F15" s="15" t="n">
        <f aca="false">IF($A15&lt;2,"",VLOOKUP($A15,All_Data,F$69,0))</f>
        <v>0</v>
      </c>
      <c r="G15" s="15" t="n">
        <f aca="false">IF($A15&lt;2,"",VLOOKUP($A15,All_Data,G$69,0))</f>
        <v>0</v>
      </c>
      <c r="H15" s="15" t="n">
        <f aca="false">IF($A15&lt;2,"",VLOOKUP($A15,All_Data,H$69,0))</f>
        <v>0</v>
      </c>
      <c r="I15" s="15" t="n">
        <f aca="false">IF($A15&lt;2,"",VLOOKUP($A15,All_Data,I$69,0))</f>
        <v>0</v>
      </c>
      <c r="J15" s="15" t="n">
        <f aca="false">IF($A15&lt;2,"",VLOOKUP($A15,All_Data,J$69,0))</f>
        <v>0</v>
      </c>
      <c r="K15" s="15" t="n">
        <f aca="false">IF($A15&lt;2,"",VLOOKUP($A15,All_Data,K$69,0))</f>
        <v>0</v>
      </c>
      <c r="L15" s="15" t="n">
        <f aca="false">IF($A15&lt;2,"",VLOOKUP($A15,All_Data,L$69,0))</f>
        <v>0</v>
      </c>
      <c r="M15" s="15" t="n">
        <f aca="false">IF($A15&lt;2,"",VLOOKUP($A15,All_Data,M$69,0))</f>
        <v>0</v>
      </c>
      <c r="N15" s="55" t="n">
        <f aca="false">SUM(D15:M15)</f>
        <v>0</v>
      </c>
      <c r="P15" s="56" t="str">
        <f aca="false">IF(A15&lt;2,"",A15)</f>
        <v>1.01.4</v>
      </c>
      <c r="Q15" s="57" t="str">
        <f aca="false">IF($A15&lt;2,"",VLOOKUP($A15,All_Data,Q$69,0))</f>
        <v>Johnny Cash 23-2H</v>
      </c>
      <c r="R15" s="26" t="n">
        <f aca="false">SUM(S15:Z15)</f>
        <v>0</v>
      </c>
      <c r="S15" s="14" t="n">
        <f aca="false">IF($A15&lt;2,"",VLOOKUP($A15,All_Data,S$69,0))</f>
        <v>0</v>
      </c>
      <c r="T15" s="15" t="n">
        <f aca="false">IF($A15&lt;2,"",VLOOKUP($A15,All_Data,T$69,0))</f>
        <v>0</v>
      </c>
      <c r="U15" s="15" t="n">
        <f aca="false">IF($A15&lt;2,"",VLOOKUP($A15,All_Data,U$69,0))</f>
        <v>0</v>
      </c>
      <c r="V15" s="15" t="n">
        <f aca="false">IF($A15&lt;2,"",VLOOKUP($A15,All_Data,V$69,0))</f>
        <v>0</v>
      </c>
      <c r="W15" s="15" t="n">
        <f aca="false">IF($A15&lt;2,"",VLOOKUP($A15,All_Data,W$69,0))</f>
        <v>0</v>
      </c>
      <c r="X15" s="15" t="n">
        <f aca="false">IF($A15&lt;2,"",VLOOKUP($A15,All_Data,X$69,0))</f>
        <v>0</v>
      </c>
      <c r="Y15" s="15" t="n">
        <f aca="false">IF($A15&lt;2,"",VLOOKUP($A15,All_Data,Y$69,0))</f>
        <v>0</v>
      </c>
      <c r="Z15" s="16" t="n">
        <f aca="false">IF($A15&lt;2,"",VLOOKUP($A15,All_Data,Z$69,0))</f>
        <v>0</v>
      </c>
      <c r="AA15" s="25" t="n">
        <f aca="false">IF(N15=0,,R15/N15*1000)</f>
        <v>0</v>
      </c>
      <c r="AB15" s="26" t="n">
        <f aca="false">IF($A15&lt;2,,VLOOKUP($A15,All_Data,AB$69,0))</f>
        <v>0</v>
      </c>
      <c r="AC15" s="27" t="n">
        <f aca="false">IF(AB15=0,,R15/AB15)</f>
        <v>0</v>
      </c>
    </row>
    <row r="16" customFormat="false" ht="15" hidden="false" customHeight="false" outlineLevel="0" collapsed="false">
      <c r="A16" s="53" t="s">
        <v>33</v>
      </c>
      <c r="B16" s="54" t="str">
        <f aca="false">IF($A16&lt;2,"",VLOOKUP($A16,All_Data,B$69,0))</f>
        <v>Muddy Waters 30-2H</v>
      </c>
      <c r="C16" s="26" t="n">
        <f aca="false">IF($A16&lt;2,"",VLOOKUP($A16,All_Data,C$69,0))</f>
        <v>16278.35</v>
      </c>
      <c r="D16" s="14" t="n">
        <f aca="false">IF($A16&lt;2,"",VLOOKUP($A16,All_Data,D$69,0))</f>
        <v>18.882886</v>
      </c>
      <c r="E16" s="15" t="n">
        <f aca="false">IF($A16&lt;2,"",VLOOKUP($A16,All_Data,E$69,0))</f>
        <v>98.8095845</v>
      </c>
      <c r="F16" s="15" t="n">
        <f aca="false">IF($A16&lt;2,"",VLOOKUP($A16,All_Data,F$69,0))</f>
        <v>13036.679381</v>
      </c>
      <c r="G16" s="15" t="n">
        <f aca="false">IF($A16&lt;2,"",VLOOKUP($A16,All_Data,G$69,0))</f>
        <v>1778.4097375</v>
      </c>
      <c r="H16" s="15" t="n">
        <f aca="false">IF($A16&lt;2,"",VLOOKUP($A16,All_Data,H$69,0))</f>
        <v>721.9448225</v>
      </c>
      <c r="I16" s="15" t="n">
        <f aca="false">IF($A16&lt;2,"",VLOOKUP($A16,All_Data,I$69,0))</f>
        <v>114.274017</v>
      </c>
      <c r="J16" s="15" t="n">
        <f aca="false">IF($A16&lt;2,"",VLOOKUP($A16,All_Data,J$69,0))</f>
        <v>233.757106</v>
      </c>
      <c r="K16" s="15" t="n">
        <f aca="false">IF($A16&lt;2,"",VLOOKUP($A16,All_Data,K$69,0))</f>
        <v>59.0904105</v>
      </c>
      <c r="L16" s="15" t="n">
        <f aca="false">IF($A16&lt;2,"",VLOOKUP($A16,All_Data,L$69,0))</f>
        <v>72.927008</v>
      </c>
      <c r="M16" s="15" t="n">
        <f aca="false">IF($A16&lt;2,"",VLOOKUP($A16,All_Data,M$69,0))</f>
        <v>143.575047</v>
      </c>
      <c r="N16" s="55" t="n">
        <f aca="false">SUM(D16:M16)</f>
        <v>16278.35</v>
      </c>
      <c r="P16" s="56" t="str">
        <f aca="false">IF(A16&lt;2,"",A16)</f>
        <v>1.01.5</v>
      </c>
      <c r="Q16" s="57" t="str">
        <f aca="false">IF($A16&lt;2,"",VLOOKUP($A16,All_Data,Q$69,0))</f>
        <v>Muddy Waters 30-2H</v>
      </c>
      <c r="R16" s="26" t="n">
        <f aca="false">SUM(S16:Z16)</f>
        <v>20539.6811210661</v>
      </c>
      <c r="S16" s="14" t="n">
        <f aca="false">IF($A16&lt;2,"",VLOOKUP($A16,All_Data,S$69,0))</f>
        <v>13172.9299023156</v>
      </c>
      <c r="T16" s="15" t="n">
        <f aca="false">IF($A16&lt;2,"",VLOOKUP($A16,All_Data,T$69,0))</f>
        <v>3148.84899669353</v>
      </c>
      <c r="U16" s="15" t="n">
        <f aca="false">IF($A16&lt;2,"",VLOOKUP($A16,All_Data,U$69,0))</f>
        <v>1817.34909398403</v>
      </c>
      <c r="V16" s="15" t="n">
        <f aca="false">IF($A16&lt;2,"",VLOOKUP($A16,All_Data,V$69,0))</f>
        <v>371.785548289416</v>
      </c>
      <c r="W16" s="15" t="n">
        <f aca="false">IF($A16&lt;2,"",VLOOKUP($A16,All_Data,W$69,0))</f>
        <v>762.958476539792</v>
      </c>
      <c r="X16" s="15" t="n">
        <f aca="false">IF($A16&lt;2,"",VLOOKUP($A16,All_Data,X$69,0))</f>
        <v>236.530910599691</v>
      </c>
      <c r="Y16" s="15" t="n">
        <f aca="false">IF($A16&lt;2,"",VLOOKUP($A16,All_Data,Y$69,0))</f>
        <v>292.487830115352</v>
      </c>
      <c r="Z16" s="16" t="n">
        <f aca="false">IF($A16&lt;2,"",VLOOKUP($A16,All_Data,Z$69,0))</f>
        <v>736.790362528673</v>
      </c>
      <c r="AA16" s="25" t="n">
        <f aca="false">IF(N16=0,,R16/N16*1000)</f>
        <v>1261.77905752525</v>
      </c>
      <c r="AB16" s="26" t="n">
        <f aca="false">IF($A16&lt;2,,VLOOKUP($A16,All_Data,AB$69,0))</f>
        <v>20543.28</v>
      </c>
      <c r="AC16" s="27" t="n">
        <f aca="false">IF(AB16=0,,R16/AB16)</f>
        <v>0.9998248147845</v>
      </c>
    </row>
    <row r="17" customFormat="false" ht="15" hidden="false" customHeight="false" outlineLevel="0" collapsed="false">
      <c r="A17" s="53" t="s">
        <v>34</v>
      </c>
      <c r="B17" s="54" t="str">
        <f aca="false">IF($A17&lt;2,"",VLOOKUP($A17,All_Data,B$69,0))</f>
        <v>BB King 32-2H</v>
      </c>
      <c r="C17" s="26" t="n">
        <f aca="false">IF($A17&lt;2,"",VLOOKUP($A17,All_Data,C$69,0))</f>
        <v>12576.36</v>
      </c>
      <c r="D17" s="14" t="n">
        <f aca="false">IF($A17&lt;2,"",VLOOKUP($A17,All_Data,D$69,0))</f>
        <v>13.3309416</v>
      </c>
      <c r="E17" s="15" t="n">
        <f aca="false">IF($A17&lt;2,"",VLOOKUP($A17,All_Data,E$69,0))</f>
        <v>81.6205764</v>
      </c>
      <c r="F17" s="15" t="n">
        <f aca="false">IF($A17&lt;2,"",VLOOKUP($A17,All_Data,F$69,0))</f>
        <v>10141.7024676</v>
      </c>
      <c r="G17" s="15" t="n">
        <f aca="false">IF($A17&lt;2,"",VLOOKUP($A17,All_Data,G$69,0))</f>
        <v>1382.3934912</v>
      </c>
      <c r="H17" s="15" t="n">
        <f aca="false">IF($A17&lt;2,"",VLOOKUP($A17,All_Data,H$69,0))</f>
        <v>545.3109696</v>
      </c>
      <c r="I17" s="15" t="n">
        <f aca="false">IF($A17&lt;2,"",VLOOKUP($A17,All_Data,I$69,0))</f>
        <v>84.0100848</v>
      </c>
      <c r="J17" s="15" t="n">
        <f aca="false">IF($A17&lt;2,"",VLOOKUP($A17,All_Data,J$69,0))</f>
        <v>168.9005148</v>
      </c>
      <c r="K17" s="15" t="n">
        <f aca="false">IF($A17&lt;2,"",VLOOKUP($A17,All_Data,K$69,0))</f>
        <v>38.7351888</v>
      </c>
      <c r="L17" s="15" t="n">
        <f aca="false">IF($A17&lt;2,"",VLOOKUP($A17,All_Data,L$69,0))</f>
        <v>44.2687872</v>
      </c>
      <c r="M17" s="15" t="n">
        <f aca="false">IF($A17&lt;2,"",VLOOKUP($A17,All_Data,M$69,0))</f>
        <v>76.086978</v>
      </c>
      <c r="N17" s="55" t="n">
        <f aca="false">SUM(D17:M17)</f>
        <v>12576.36</v>
      </c>
      <c r="P17" s="56" t="str">
        <f aca="false">IF(A17&lt;2,"",A17)</f>
        <v>1.01.6</v>
      </c>
      <c r="Q17" s="57" t="str">
        <f aca="false">IF($A17&lt;2,"",VLOOKUP($A17,All_Data,Q$69,0))</f>
        <v>BB King 32-2H</v>
      </c>
      <c r="R17" s="26" t="n">
        <f aca="false">SUM(S17:Z17)</f>
        <v>15613.2863243431</v>
      </c>
      <c r="S17" s="14" t="n">
        <f aca="false">IF($A17&lt;2,"",VLOOKUP($A17,All_Data,S$69,0))</f>
        <v>10246.0962698142</v>
      </c>
      <c r="T17" s="15" t="n">
        <f aca="false">IF($A17&lt;2,"",VLOOKUP($A17,All_Data,T$69,0))</f>
        <v>2447.28111003329</v>
      </c>
      <c r="U17" s="15" t="n">
        <f aca="false">IF($A17&lt;2,"",VLOOKUP($A17,All_Data,U$69,0))</f>
        <v>1372.4949576382</v>
      </c>
      <c r="V17" s="15" t="n">
        <f aca="false">IF($A17&lt;2,"",VLOOKUP($A17,All_Data,V$69,0))</f>
        <v>273.280475096058</v>
      </c>
      <c r="W17" s="15" t="n">
        <f aca="false">IF($A17&lt;2,"",VLOOKUP($A17,All_Data,W$69,0))</f>
        <v>551.187328246044</v>
      </c>
      <c r="X17" s="15" t="n">
        <f aca="false">IF($A17&lt;2,"",VLOOKUP($A17,All_Data,X$69,0))</f>
        <v>155.027500373095</v>
      </c>
      <c r="Y17" s="15" t="n">
        <f aca="false">IF($A17&lt;2,"",VLOOKUP($A17,All_Data,Y$69,0))</f>
        <v>177.520780833263</v>
      </c>
      <c r="Z17" s="16" t="n">
        <f aca="false">IF($A17&lt;2,"",VLOOKUP($A17,All_Data,Z$69,0))</f>
        <v>390.397902308874</v>
      </c>
      <c r="AA17" s="25" t="n">
        <f aca="false">IF(N17=0,,R17/N17*1000)</f>
        <v>1241.47895928099</v>
      </c>
      <c r="AB17" s="26" t="n">
        <f aca="false">IF($A17&lt;2,,VLOOKUP($A17,All_Data,AB$69,0))</f>
        <v>15619.84</v>
      </c>
      <c r="AC17" s="27" t="n">
        <f aca="false">IF(AB17=0,,R17/AB17)</f>
        <v>0.999580426197904</v>
      </c>
    </row>
    <row r="18" customFormat="false" ht="15" hidden="false" customHeight="false" outlineLevel="0" collapsed="false">
      <c r="A18" s="53" t="s">
        <v>35</v>
      </c>
      <c r="B18" s="54" t="str">
        <f aca="false">IF($A18&lt;2,"",VLOOKUP($A18,All_Data,B$69,0))</f>
        <v>Santana 29-2H</v>
      </c>
      <c r="C18" s="26" t="n">
        <f aca="false">IF($A18&lt;2,"",VLOOKUP($A18,All_Data,C$69,0))</f>
        <v>24861.69</v>
      </c>
      <c r="D18" s="14" t="n">
        <f aca="false">IF($A18&lt;2,"",VLOOKUP($A18,All_Data,D$69,0))</f>
        <v>25.6075407</v>
      </c>
      <c r="E18" s="15" t="n">
        <f aca="false">IF($A18&lt;2,"",VLOOKUP($A18,All_Data,E$69,0))</f>
        <v>145.4408865</v>
      </c>
      <c r="F18" s="15" t="n">
        <f aca="false">IF($A18&lt;2,"",VLOOKUP($A18,All_Data,F$69,0))</f>
        <v>19784.4356682</v>
      </c>
      <c r="G18" s="15" t="n">
        <f aca="false">IF($A18&lt;2,"",VLOOKUP($A18,All_Data,G$69,0))</f>
        <v>2744.2333422</v>
      </c>
      <c r="H18" s="15" t="n">
        <f aca="false">IF($A18&lt;2,"",VLOOKUP($A18,All_Data,H$69,0))</f>
        <v>1102.6159515</v>
      </c>
      <c r="I18" s="15" t="n">
        <f aca="false">IF($A18&lt;2,"",VLOOKUP($A18,All_Data,I$69,0))</f>
        <v>192.9267144</v>
      </c>
      <c r="J18" s="15" t="n">
        <f aca="false">IF($A18&lt;2,"",VLOOKUP($A18,All_Data,J$69,0))</f>
        <v>377.1518373</v>
      </c>
      <c r="K18" s="15" t="n">
        <f aca="false">IF($A18&lt;2,"",VLOOKUP($A18,All_Data,K$69,0))</f>
        <v>107.1538839</v>
      </c>
      <c r="L18" s="15" t="n">
        <f aca="false">IF($A18&lt;2,"",VLOOKUP($A18,All_Data,L$69,0))</f>
        <v>122.5681317</v>
      </c>
      <c r="M18" s="15" t="n">
        <f aca="false">IF($A18&lt;2,"",VLOOKUP($A18,All_Data,M$69,0))</f>
        <v>259.5560436</v>
      </c>
      <c r="N18" s="55" t="n">
        <f aca="false">SUM(D18:M18)</f>
        <v>24861.69</v>
      </c>
      <c r="P18" s="56" t="str">
        <f aca="false">IF(A18&lt;2,"",A18)</f>
        <v>1.01.7</v>
      </c>
      <c r="Q18" s="57" t="str">
        <f aca="false">IF($A18&lt;2,"",VLOOKUP($A18,All_Data,Q$69,0))</f>
        <v>Santana 29-2H</v>
      </c>
      <c r="R18" s="26" t="n">
        <f aca="false">SUM(S18:Z18)</f>
        <v>31740.4655789588</v>
      </c>
      <c r="S18" s="14" t="n">
        <f aca="false">IF($A18&lt;2,"",VLOOKUP($A18,All_Data,S$69,0))</f>
        <v>19993.4564297194</v>
      </c>
      <c r="T18" s="15" t="n">
        <f aca="false">IF($A18&lt;2,"",VLOOKUP($A18,All_Data,T$69,0))</f>
        <v>4859.48069511358</v>
      </c>
      <c r="U18" s="15" t="n">
        <f aca="false">IF($A18&lt;2,"",VLOOKUP($A18,All_Data,U$69,0))</f>
        <v>2775.92316696555</v>
      </c>
      <c r="V18" s="15" t="n">
        <f aca="false">IF($A18&lt;2,"",VLOOKUP($A18,All_Data,V$69,0))</f>
        <v>627.749240543178</v>
      </c>
      <c r="W18" s="15" t="n">
        <f aca="false">IF($A18&lt;2,"",VLOOKUP($A18,All_Data,W$69,0))</f>
        <v>1231.12209561341</v>
      </c>
      <c r="X18" s="15" t="n">
        <f aca="false">IF($A18&lt;2,"",VLOOKUP($A18,All_Data,X$69,0))</f>
        <v>428.970701859618</v>
      </c>
      <c r="Y18" s="15" t="n">
        <f aca="false">IF($A18&lt;2,"",VLOOKUP($A18,All_Data,Y$69,0))</f>
        <v>491.638390749824</v>
      </c>
      <c r="Z18" s="16" t="n">
        <f aca="false">IF($A18&lt;2,"",VLOOKUP($A18,All_Data,Z$69,0))</f>
        <v>1332.12485839418</v>
      </c>
      <c r="AA18" s="25" t="n">
        <f aca="false">IF(N18=0,,R18/N18*1000)</f>
        <v>1276.68173720124</v>
      </c>
      <c r="AB18" s="26" t="n">
        <f aca="false">IF($A18&lt;2,,VLOOKUP($A18,All_Data,AB$69,0))</f>
        <v>32195.89</v>
      </c>
      <c r="AC18" s="27" t="n">
        <f aca="false">IF(AB18=0,,R18/AB18)</f>
        <v>0.985854578921681</v>
      </c>
    </row>
    <row r="19" customFormat="false" ht="15" hidden="false" customHeight="false" outlineLevel="0" collapsed="false">
      <c r="A19" s="53" t="s">
        <v>36</v>
      </c>
      <c r="B19" s="54" t="str">
        <f aca="false">IF($A19&lt;2,"",VLOOKUP($A19,All_Data,B$69,0))</f>
        <v>Orbison 28-6H</v>
      </c>
      <c r="C19" s="26" t="n">
        <f aca="false">IF($A19&lt;2,"",VLOOKUP($A19,All_Data,C$69,0))</f>
        <v>8689.66</v>
      </c>
      <c r="D19" s="14" t="n">
        <f aca="false">IF($A19&lt;2,"",VLOOKUP($A19,All_Data,D$69,0))</f>
        <v>5.4744858</v>
      </c>
      <c r="E19" s="15" t="n">
        <f aca="false">IF($A19&lt;2,"",VLOOKUP($A19,All_Data,E$69,0))</f>
        <v>165.4511264</v>
      </c>
      <c r="F19" s="15" t="n">
        <f aca="false">IF($A19&lt;2,"",VLOOKUP($A19,All_Data,F$69,0))</f>
        <v>6909.4093558</v>
      </c>
      <c r="G19" s="15" t="n">
        <f aca="false">IF($A19&lt;2,"",VLOOKUP($A19,All_Data,G$69,0))</f>
        <v>954.2984612</v>
      </c>
      <c r="H19" s="15" t="n">
        <f aca="false">IF($A19&lt;2,"",VLOOKUP($A19,All_Data,H$69,0))</f>
        <v>367.4857214</v>
      </c>
      <c r="I19" s="15" t="n">
        <f aca="false">IF($A19&lt;2,"",VLOOKUP($A19,All_Data,I$69,0))</f>
        <v>60.6538268</v>
      </c>
      <c r="J19" s="15" t="n">
        <f aca="false">IF($A19&lt;2,"",VLOOKUP($A19,All_Data,J$69,0))</f>
        <v>115.6593746</v>
      </c>
      <c r="K19" s="15" t="n">
        <f aca="false">IF($A19&lt;2,"",VLOOKUP($A19,All_Data,K$69,0))</f>
        <v>29.1972576</v>
      </c>
      <c r="L19" s="15" t="n">
        <f aca="false">IF($A19&lt;2,"",VLOOKUP($A19,All_Data,L$69,0))</f>
        <v>32.2386386</v>
      </c>
      <c r="M19" s="15" t="n">
        <f aca="false">IF($A19&lt;2,"",VLOOKUP($A19,All_Data,M$69,0))</f>
        <v>49.7917518</v>
      </c>
      <c r="N19" s="55" t="n">
        <f aca="false">SUM(D19:M19)</f>
        <v>8689.66</v>
      </c>
      <c r="P19" s="56" t="str">
        <f aca="false">IF(A19&lt;2,"",A19)</f>
        <v>1.01.8</v>
      </c>
      <c r="Q19" s="57" t="str">
        <f aca="false">IF($A19&lt;2,"",VLOOKUP($A19,All_Data,Q$69,0))</f>
        <v>Orbison 28-6H</v>
      </c>
      <c r="R19" s="26" t="n">
        <f aca="false">SUM(S19:Z19)</f>
        <v>10670.6741396724</v>
      </c>
      <c r="S19" s="14" t="n">
        <f aca="false">IF($A19&lt;2,"",VLOOKUP($A19,All_Data,S$69,0))</f>
        <v>6980.16812888932</v>
      </c>
      <c r="T19" s="15" t="n">
        <f aca="false">IF($A19&lt;2,"",VLOOKUP($A19,All_Data,T$69,0))</f>
        <v>1689.32727546653</v>
      </c>
      <c r="U19" s="15" t="n">
        <f aca="false">IF($A19&lt;2,"",VLOOKUP($A19,All_Data,U$69,0))</f>
        <v>924.877865053153</v>
      </c>
      <c r="V19" s="15" t="n">
        <f aca="false">IF($A19&lt;2,"",VLOOKUP($A19,All_Data,V$69,0))</f>
        <v>197.293501524004</v>
      </c>
      <c r="W19" s="15" t="n">
        <f aca="false">IF($A19&lt;2,"",VLOOKUP($A19,All_Data,W$69,0))</f>
        <v>377.421367526646</v>
      </c>
      <c r="X19" s="15" t="n">
        <f aca="false">IF($A19&lt;2,"",VLOOKUP($A19,All_Data,X$69,0))</f>
        <v>116.8483332734</v>
      </c>
      <c r="Y19" s="15" t="n">
        <f aca="false">IF($A19&lt;2,"",VLOOKUP($A19,All_Data,Y$69,0))</f>
        <v>129.272355453939</v>
      </c>
      <c r="Z19" s="16" t="n">
        <f aca="false">IF($A19&lt;2,"",VLOOKUP($A19,All_Data,Z$69,0))</f>
        <v>255.465312485376</v>
      </c>
      <c r="AA19" s="25" t="n">
        <f aca="false">IF(N19=0,,R19/N19*1000)</f>
        <v>1227.97372275467</v>
      </c>
      <c r="AB19" s="26" t="n">
        <f aca="false">IF($A19&lt;2,,VLOOKUP($A19,All_Data,AB$69,0))</f>
        <v>10670.91</v>
      </c>
      <c r="AC19" s="27" t="n">
        <f aca="false">IF(AB19=0,,R19/AB19)</f>
        <v>0.999977896887179</v>
      </c>
    </row>
    <row r="20" customFormat="false" ht="15" hidden="false" customHeight="false" outlineLevel="0" collapsed="false">
      <c r="A20" s="53" t="s">
        <v>37</v>
      </c>
      <c r="B20" s="54" t="str">
        <f aca="false">IF($A20&lt;2,"",VLOOKUP($A20,All_Data,B$69,0))</f>
        <v>Johnny Cash 2</v>
      </c>
      <c r="C20" s="26" t="n">
        <f aca="false">IF($A20&lt;2,"",VLOOKUP($A20,All_Data,C$69,0))</f>
        <v>411540.2</v>
      </c>
      <c r="D20" s="14" t="n">
        <f aca="false">IF($A20&lt;2,"",VLOOKUP($A20,All_Data,D$69,0))</f>
        <v>514.42525</v>
      </c>
      <c r="E20" s="15" t="n">
        <f aca="false">IF($A20&lt;2,"",VLOOKUP($A20,All_Data,E$69,0))</f>
        <v>2395.163964</v>
      </c>
      <c r="F20" s="15" t="n">
        <f aca="false">IF($A20&lt;2,"",VLOOKUP($A20,All_Data,F$69,0))</f>
        <v>333660.332552</v>
      </c>
      <c r="G20" s="15" t="n">
        <f aca="false">IF($A20&lt;2,"",VLOOKUP($A20,All_Data,G$69,0))</f>
        <v>43438.06811</v>
      </c>
      <c r="H20" s="15" t="n">
        <f aca="false">IF($A20&lt;2,"",VLOOKUP($A20,All_Data,H$69,0))</f>
        <v>16613.877874</v>
      </c>
      <c r="I20" s="15" t="n">
        <f aca="false">IF($A20&lt;2,"",VLOOKUP($A20,All_Data,I$69,0))</f>
        <v>2901.35841</v>
      </c>
      <c r="J20" s="15" t="n">
        <f aca="false">IF($A20&lt;2,"",VLOOKUP($A20,All_Data,J$69,0))</f>
        <v>5424.099836</v>
      </c>
      <c r="K20" s="15" t="n">
        <f aca="false">IF($A20&lt;2,"",VLOOKUP($A20,All_Data,K$69,0))</f>
        <v>1530.929544</v>
      </c>
      <c r="L20" s="15" t="n">
        <f aca="false">IF($A20&lt;2,"",VLOOKUP($A20,All_Data,L$69,0))</f>
        <v>1629.699192</v>
      </c>
      <c r="M20" s="15" t="n">
        <f aca="false">IF($A20&lt;2,"",VLOOKUP($A20,All_Data,M$69,0))</f>
        <v>3432.245268</v>
      </c>
      <c r="N20" s="55" t="n">
        <f aca="false">SUM(D20:M20)</f>
        <v>411540.2</v>
      </c>
      <c r="P20" s="56" t="str">
        <f aca="false">IF(A20&lt;2,"",A20)</f>
        <v>1.01.9</v>
      </c>
      <c r="Q20" s="57" t="str">
        <f aca="false">IF($A20&lt;2,"",VLOOKUP($A20,All_Data,Q$69,0))</f>
        <v>Johnny Cash 2</v>
      </c>
      <c r="R20" s="26" t="n">
        <f aca="false">SUM(S20:Z20)</f>
        <v>513247.077566068</v>
      </c>
      <c r="S20" s="14" t="n">
        <f aca="false">IF($A20&lt;2,"",VLOOKUP($A20,All_Data,S$69,0))</f>
        <v>337111.578582213</v>
      </c>
      <c r="T20" s="15" t="n">
        <f aca="false">IF($A20&lt;2,"",VLOOKUP($A20,All_Data,T$69,0))</f>
        <v>76903.1632116098</v>
      </c>
      <c r="U20" s="15" t="n">
        <f aca="false">IF($A20&lt;2,"",VLOOKUP($A20,All_Data,U$69,0))</f>
        <v>41817.5958746132</v>
      </c>
      <c r="V20" s="15" t="n">
        <f aca="false">IF($A20&lt;2,"",VLOOKUP($A20,All_Data,V$69,0))</f>
        <v>9438.43710938225</v>
      </c>
      <c r="W20" s="15" t="n">
        <f aca="false">IF($A20&lt;2,"",VLOOKUP($A20,All_Data,W$69,0))</f>
        <v>17701.8008300392</v>
      </c>
      <c r="X20" s="15" t="n">
        <f aca="false">IF($A20&lt;2,"",VLOOKUP($A20,All_Data,X$69,0))</f>
        <v>6127.45027834156</v>
      </c>
      <c r="Y20" s="15" t="n">
        <f aca="false">IF($A20&lt;2,"",VLOOKUP($A20,All_Data,Y$69,0))</f>
        <v>6535.52604550116</v>
      </c>
      <c r="Z20" s="16" t="n">
        <f aca="false">IF($A20&lt;2,"",VLOOKUP($A20,All_Data,Z$69,0))</f>
        <v>17611.525634368</v>
      </c>
      <c r="AA20" s="25" t="n">
        <f aca="false">IF(N20=0,,R20/N20*1000)</f>
        <v>1247.1371631886</v>
      </c>
      <c r="AB20" s="26" t="n">
        <f aca="false">IF($A20&lt;2,,VLOOKUP($A20,All_Data,AB$69,0))</f>
        <v>513190.63</v>
      </c>
      <c r="AC20" s="27" t="n">
        <f aca="false">IF(AB20=0,,R20/AB20)</f>
        <v>1.00010999336848</v>
      </c>
    </row>
    <row r="21" customFormat="false" ht="15" hidden="false" customHeight="false" outlineLevel="0" collapsed="false">
      <c r="A21" s="53" t="s">
        <v>38</v>
      </c>
      <c r="B21" s="54" t="str">
        <f aca="false">IF($A21&lt;2,"",VLOOKUP($A21,All_Data,B$69,0))</f>
        <v>Cypress 33 A Sales</v>
      </c>
      <c r="C21" s="26" t="n">
        <f aca="false">IF($A21&lt;2,"",VLOOKUP($A21,All_Data,C$69,0))</f>
        <v>279240.52</v>
      </c>
      <c r="D21" s="14" t="n">
        <f aca="false">IF($A21&lt;2,"",VLOOKUP($A21,All_Data,D$69,0))</f>
        <v>295.9949512</v>
      </c>
      <c r="E21" s="15" t="n">
        <f aca="false">IF($A21&lt;2,"",VLOOKUP($A21,All_Data,E$69,0))</f>
        <v>2594.1444308</v>
      </c>
      <c r="F21" s="15" t="n">
        <f aca="false">IF($A21&lt;2,"",VLOOKUP($A21,All_Data,F$69,0))</f>
        <v>216752.0764344</v>
      </c>
      <c r="G21" s="15" t="n">
        <f aca="false">IF($A21&lt;2,"",VLOOKUP($A21,All_Data,G$69,0))</f>
        <v>31805.495228</v>
      </c>
      <c r="H21" s="15" t="n">
        <f aca="false">IF($A21&lt;2,"",VLOOKUP($A21,All_Data,H$69,0))</f>
        <v>14947.7450356</v>
      </c>
      <c r="I21" s="15" t="n">
        <f aca="false">IF($A21&lt;2,"",VLOOKUP($A21,All_Data,I$69,0))</f>
        <v>2239.5089704</v>
      </c>
      <c r="J21" s="15" t="n">
        <f aca="false">IF($A21&lt;2,"",VLOOKUP($A21,All_Data,J$69,0))</f>
        <v>5210.6281032</v>
      </c>
      <c r="K21" s="15" t="n">
        <f aca="false">IF($A21&lt;2,"",VLOOKUP($A21,All_Data,K$69,0))</f>
        <v>1270.544366</v>
      </c>
      <c r="L21" s="15" t="n">
        <f aca="false">IF($A21&lt;2,"",VLOOKUP($A21,All_Data,L$69,0))</f>
        <v>1407.3722208</v>
      </c>
      <c r="M21" s="15" t="n">
        <f aca="false">IF($A21&lt;2,"",VLOOKUP($A21,All_Data,M$69,0))</f>
        <v>2717.0102596</v>
      </c>
      <c r="N21" s="55" t="n">
        <f aca="false">SUM(D21:M21)</f>
        <v>279240.52</v>
      </c>
      <c r="P21" s="56" t="str">
        <f aca="false">IF(A21&lt;2,"",A21)</f>
        <v>1.10.1</v>
      </c>
      <c r="Q21" s="57" t="str">
        <f aca="false">IF($A21&lt;2,"",VLOOKUP($A21,All_Data,Q$69,0))</f>
        <v>Cypress 33 A Sales</v>
      </c>
      <c r="R21" s="26" t="n">
        <f aca="false">SUM(S21:Z21)</f>
        <v>362023.097560704</v>
      </c>
      <c r="S21" s="14" t="n">
        <f aca="false">IF($A21&lt;2,"",VLOOKUP($A21,All_Data,S$69,0))</f>
        <v>219075.866852406</v>
      </c>
      <c r="T21" s="15" t="n">
        <f aca="false">IF($A21&lt;2,"",VLOOKUP($A21,All_Data,T$69,0))</f>
        <v>56329.7787227492</v>
      </c>
      <c r="U21" s="15" t="n">
        <f aca="false">IF($A21&lt;2,"",VLOOKUP($A21,All_Data,U$69,0))</f>
        <v>37637.9456072091</v>
      </c>
      <c r="V21" s="15" t="n">
        <f aca="false">IF($A21&lt;2,"",VLOOKUP($A21,All_Data,V$69,0))</f>
        <v>7288.08942323665</v>
      </c>
      <c r="W21" s="15" t="n">
        <f aca="false">IF($A21&lt;2,"",VLOOKUP($A21,All_Data,W$69,0))</f>
        <v>17011.4774660784</v>
      </c>
      <c r="X21" s="15" t="n">
        <f aca="false">IF($A21&lt;2,"",VLOOKUP($A21,All_Data,X$69,0))</f>
        <v>5087.1741791505</v>
      </c>
      <c r="Y21" s="15" t="n">
        <f aca="false">IF($A21&lt;2,"",VLOOKUP($A21,All_Data,Y$69,0))</f>
        <v>5646.04396110231</v>
      </c>
      <c r="Z21" s="16" t="n">
        <f aca="false">IF($A21&lt;2,"",VLOOKUP($A21,All_Data,Z$69,0))</f>
        <v>13946.7213487718</v>
      </c>
      <c r="AA21" s="25" t="n">
        <f aca="false">IF(N21=0,,R21/N21*1000)</f>
        <v>1296.4561789267</v>
      </c>
      <c r="AB21" s="26" t="n">
        <f aca="false">IF($A21&lt;2,,VLOOKUP($A21,All_Data,AB$69,0))</f>
        <v>366642.81</v>
      </c>
      <c r="AC21" s="27" t="n">
        <f aca="false">IF(AB21=0,,R21/AB21)</f>
        <v>0.987399964452334</v>
      </c>
    </row>
    <row r="22" customFormat="false" ht="15" hidden="false" customHeight="false" outlineLevel="0" collapsed="false">
      <c r="A22" s="53" t="s">
        <v>39</v>
      </c>
      <c r="B22" s="54" t="str">
        <f aca="false">IF($A22&lt;2,"",VLOOKUP($A22,All_Data,B$69,0))</f>
        <v>Pinon CDP #1</v>
      </c>
      <c r="C22" s="26" t="n">
        <f aca="false">IF($A22&lt;2,"",VLOOKUP($A22,All_Data,C$69,0))</f>
        <v>1151339.8</v>
      </c>
      <c r="D22" s="14" t="n">
        <f aca="false">IF($A22&lt;2,"",VLOOKUP($A22,All_Data,D$69,0))</f>
        <v>9383.95299815694</v>
      </c>
      <c r="E22" s="15" t="n">
        <f aca="false">IF($A22&lt;2,"",VLOOKUP($A22,All_Data,E$69,0))</f>
        <v>12570.6660130974</v>
      </c>
      <c r="F22" s="15" t="n">
        <f aca="false">IF($A22&lt;2,"",VLOOKUP($A22,All_Data,F$69,0))</f>
        <v>911586.932631334</v>
      </c>
      <c r="G22" s="15" t="n">
        <f aca="false">IF($A22&lt;2,"",VLOOKUP($A22,All_Data,G$69,0))</f>
        <v>108606.976872574</v>
      </c>
      <c r="H22" s="15" t="n">
        <f aca="false">IF($A22&lt;2,"",VLOOKUP($A22,All_Data,H$69,0))</f>
        <v>58149.27001949</v>
      </c>
      <c r="I22" s="15" t="n">
        <f aca="false">IF($A22&lt;2,"",VLOOKUP($A22,All_Data,I$69,0))</f>
        <v>10929.3767234667</v>
      </c>
      <c r="J22" s="15" t="n">
        <f aca="false">IF($A22&lt;2,"",VLOOKUP($A22,All_Data,J$69,0))</f>
        <v>20661.7552348542</v>
      </c>
      <c r="K22" s="15" t="n">
        <f aca="false">IF($A22&lt;2,"",VLOOKUP($A22,All_Data,K$69,0))</f>
        <v>6876.05666419304</v>
      </c>
      <c r="L22" s="15" t="n">
        <f aca="false">IF($A22&lt;2,"",VLOOKUP($A22,All_Data,L$69,0))</f>
        <v>5233.78223872947</v>
      </c>
      <c r="M22" s="15" t="n">
        <f aca="false">IF($A22&lt;2,"",VLOOKUP($A22,All_Data,M$69,0))</f>
        <v>7341.03060410365</v>
      </c>
      <c r="N22" s="55" t="n">
        <f aca="false">SUM(D22:M22)</f>
        <v>1151339.8</v>
      </c>
      <c r="P22" s="56" t="str">
        <f aca="false">IF(A22&lt;2,"",A22)</f>
        <v>2.02.6</v>
      </c>
      <c r="Q22" s="57" t="str">
        <f aca="false">IF($A22&lt;2,"",VLOOKUP($A22,All_Data,Q$69,0))</f>
        <v>Pinon CDP #1</v>
      </c>
      <c r="R22" s="26" t="n">
        <f aca="false">SUM(S22:Z22)</f>
        <v>1449053.83144765</v>
      </c>
      <c r="S22" s="14" t="n">
        <f aca="false">IF($A22&lt;2,"",VLOOKUP($A22,All_Data,S$69,0))</f>
        <v>921163.810876618</v>
      </c>
      <c r="T22" s="15" t="n">
        <f aca="false">IF($A22&lt;2,"",VLOOKUP($A22,All_Data,T$69,0))</f>
        <v>192309.665597206</v>
      </c>
      <c r="U22" s="15" t="n">
        <f aca="false">IF($A22&lt;2,"",VLOOKUP($A22,All_Data,U$69,0))</f>
        <v>146386.828072208</v>
      </c>
      <c r="V22" s="15" t="n">
        <f aca="false">IF($A22&lt;2,"",VLOOKUP($A22,All_Data,V$69,0))</f>
        <v>35560.1665811306</v>
      </c>
      <c r="W22" s="15" t="n">
        <f aca="false">IF($A22&lt;2,"",VLOOKUP($A22,All_Data,W$69,0))</f>
        <v>67441.4150031988</v>
      </c>
      <c r="X22" s="15" t="n">
        <f aca="false">IF($A22&lt;2,"",VLOOKUP($A22,All_Data,X$69,0))</f>
        <v>27525.4054220892</v>
      </c>
      <c r="Y22" s="15" t="n">
        <f aca="false">IF($A22&lt;2,"",VLOOKUP($A22,All_Data,Y$69,0))</f>
        <v>20992.2231532283</v>
      </c>
      <c r="Z22" s="16" t="n">
        <f aca="false">IF($A22&lt;2,"",VLOOKUP($A22,All_Data,Z$69,0))</f>
        <v>37674.3167419699</v>
      </c>
      <c r="AA22" s="25" t="n">
        <f aca="false">IF(N22=0,,R22/N22*1000)</f>
        <v>1258.58050894067</v>
      </c>
      <c r="AB22" s="26" t="n">
        <f aca="false">IF($A22&lt;2,,VLOOKUP($A22,All_Data,AB$69,0))</f>
        <v>1449805.67</v>
      </c>
      <c r="AC22" s="27" t="n">
        <f aca="false">IF(AB22=0,,R22/AB22)</f>
        <v>0.999481421153256</v>
      </c>
    </row>
    <row r="23" customFormat="false" ht="15" hidden="false" customHeight="false" outlineLevel="0" collapsed="false">
      <c r="A23" s="53" t="s">
        <v>40</v>
      </c>
      <c r="B23" s="54" t="str">
        <f aca="false">IF($A23&lt;2,"",VLOOKUP($A23,All_Data,B$69,0))</f>
        <v>Pinon CDP #2</v>
      </c>
      <c r="C23" s="26" t="n">
        <f aca="false">IF($A23&lt;2,"",VLOOKUP($A23,All_Data,C$69,0))</f>
        <v>131184.94</v>
      </c>
      <c r="D23" s="14" t="n">
        <f aca="false">IF($A23&lt;2,"",VLOOKUP($A23,All_Data,D$69,0))</f>
        <v>1069.53059952332</v>
      </c>
      <c r="E23" s="15" t="n">
        <f aca="false">IF($A23&lt;2,"",VLOOKUP($A23,All_Data,E$69,0))</f>
        <v>1432.19058012626</v>
      </c>
      <c r="F23" s="15" t="n">
        <f aca="false">IF($A23&lt;2,"",VLOOKUP($A23,All_Data,F$69,0))</f>
        <v>103867.962567762</v>
      </c>
      <c r="G23" s="15" t="n">
        <f aca="false">IF($A23&lt;2,"",VLOOKUP($A23,All_Data,G$69,0))</f>
        <v>12374.0763023726</v>
      </c>
      <c r="H23" s="15" t="n">
        <f aca="false">IF($A23&lt;2,"",VLOOKUP($A23,All_Data,H$69,0))</f>
        <v>6625.21515947163</v>
      </c>
      <c r="I23" s="15" t="n">
        <f aca="false">IF($A23&lt;2,"",VLOOKUP($A23,All_Data,I$69,0))</f>
        <v>1245.34362434133</v>
      </c>
      <c r="J23" s="15" t="n">
        <f aca="false">IF($A23&lt;2,"",VLOOKUP($A23,All_Data,J$69,0))</f>
        <v>2354.19470398269</v>
      </c>
      <c r="K23" s="15" t="n">
        <f aca="false">IF($A23&lt;2,"",VLOOKUP($A23,All_Data,K$69,0))</f>
        <v>783.52218968071</v>
      </c>
      <c r="L23" s="15" t="n">
        <f aca="false">IF($A23&lt;2,"",VLOOKUP($A23,All_Data,L$69,0))</f>
        <v>596.367168897306</v>
      </c>
      <c r="M23" s="15" t="n">
        <f aca="false">IF($A23&lt;2,"",VLOOKUP($A23,All_Data,M$69,0))</f>
        <v>836.537103842234</v>
      </c>
      <c r="N23" s="55" t="n">
        <f aca="false">SUM(D23:M23)</f>
        <v>131184.94</v>
      </c>
      <c r="P23" s="56" t="str">
        <f aca="false">IF(A23&lt;2,"",A23)</f>
        <v>2.02.7</v>
      </c>
      <c r="Q23" s="57" t="str">
        <f aca="false">IF($A23&lt;2,"",VLOOKUP($A23,All_Data,Q$69,0))</f>
        <v>Pinon CDP #2</v>
      </c>
      <c r="R23" s="26" t="n">
        <f aca="false">SUM(S23:Z23)</f>
        <v>165106.140164956</v>
      </c>
      <c r="S23" s="14" t="n">
        <f aca="false">IF($A23&lt;2,"",VLOOKUP($A23,All_Data,S$69,0))</f>
        <v>104959.169207462</v>
      </c>
      <c r="T23" s="15" t="n">
        <f aca="false">IF($A23&lt;2,"",VLOOKUP($A23,All_Data,T$69,0))</f>
        <v>21910.6959471023</v>
      </c>
      <c r="U23" s="15" t="n">
        <f aca="false">IF($A23&lt;2,"",VLOOKUP($A23,All_Data,U$69,0))</f>
        <v>16678.5278789915</v>
      </c>
      <c r="V23" s="15" t="n">
        <f aca="false">IF($A23&lt;2,"",VLOOKUP($A23,All_Data,V$69,0))</f>
        <v>4051.88944763816</v>
      </c>
      <c r="W23" s="15" t="n">
        <f aca="false">IF($A23&lt;2,"",VLOOKUP($A23,All_Data,W$69,0))</f>
        <v>7684.25617138983</v>
      </c>
      <c r="X23" s="15" t="n">
        <f aca="false">IF($A23&lt;2,"",VLOOKUP($A23,All_Data,X$69,0))</f>
        <v>3136.50202863669</v>
      </c>
      <c r="Y23" s="15" t="n">
        <f aca="false">IF($A23&lt;2,"",VLOOKUP($A23,All_Data,Y$69,0))</f>
        <v>2391.97428809459</v>
      </c>
      <c r="Z23" s="16" t="n">
        <f aca="false">IF($A23&lt;2,"",VLOOKUP($A23,All_Data,Z$69,0))</f>
        <v>4293.12519564146</v>
      </c>
      <c r="AA23" s="25" t="n">
        <f aca="false">IF(N23=0,,R23/N23*1000)</f>
        <v>1258.57541395343</v>
      </c>
      <c r="AB23" s="26" t="n">
        <f aca="false">IF($A23&lt;2,,VLOOKUP($A23,All_Data,AB$69,0))</f>
        <v>165191.8</v>
      </c>
      <c r="AC23" s="27" t="n">
        <f aca="false">IF(AB23=0,,R23/AB23)</f>
        <v>0.999481452257049</v>
      </c>
    </row>
    <row r="24" customFormat="false" ht="15" hidden="false" customHeight="false" outlineLevel="0" collapsed="false">
      <c r="A24" s="53" t="s">
        <v>41</v>
      </c>
      <c r="B24" s="54" t="str">
        <f aca="false">IF($A24&lt;2,"",VLOOKUP($A24,All_Data,B$69,0))</f>
        <v>Cosmo CDP MTR #1</v>
      </c>
      <c r="C24" s="26" t="n">
        <f aca="false">IF($A24&lt;2,"",VLOOKUP($A24,All_Data,C$69,0))</f>
        <v>346861.43</v>
      </c>
      <c r="D24" s="14" t="n">
        <f aca="false">IF($A24&lt;2,"",VLOOKUP($A24,All_Data,D$69,0))</f>
        <v>55.2177776573842</v>
      </c>
      <c r="E24" s="15" t="n">
        <f aca="false">IF($A24&lt;2,"",VLOOKUP($A24,All_Data,E$69,0))</f>
        <v>2100.082191525</v>
      </c>
      <c r="F24" s="15" t="n">
        <f aca="false">IF($A24&lt;2,"",VLOOKUP($A24,All_Data,F$69,0))</f>
        <v>280192.583637815</v>
      </c>
      <c r="G24" s="15" t="n">
        <f aca="false">IF($A24&lt;2,"",VLOOKUP($A24,All_Data,G$69,0))</f>
        <v>36736.4943230569</v>
      </c>
      <c r="H24" s="15" t="n">
        <f aca="false">IF($A24&lt;2,"",VLOOKUP($A24,All_Data,H$69,0))</f>
        <v>15321.7093440061</v>
      </c>
      <c r="I24" s="15" t="n">
        <f aca="false">IF($A24&lt;2,"",VLOOKUP($A24,All_Data,I$69,0))</f>
        <v>2417.20012723398</v>
      </c>
      <c r="J24" s="15" t="n">
        <f aca="false">IF($A24&lt;2,"",VLOOKUP($A24,All_Data,J$69,0))</f>
        <v>5101.16687982359</v>
      </c>
      <c r="K24" s="15" t="n">
        <f aca="false">IF($A24&lt;2,"",VLOOKUP($A24,All_Data,K$69,0))</f>
        <v>1288.89499784904</v>
      </c>
      <c r="L24" s="15" t="n">
        <f aca="false">IF($A24&lt;2,"",VLOOKUP($A24,All_Data,L$69,0))</f>
        <v>1507.52369763436</v>
      </c>
      <c r="M24" s="15" t="n">
        <f aca="false">IF($A24&lt;2,"",VLOOKUP($A24,All_Data,M$69,0))</f>
        <v>2140.55702339835</v>
      </c>
      <c r="N24" s="55" t="n">
        <f aca="false">SUM(D24:M24)</f>
        <v>346861.43</v>
      </c>
      <c r="P24" s="56" t="str">
        <f aca="false">IF(A24&lt;2,"",A24)</f>
        <v>2.03.1</v>
      </c>
      <c r="Q24" s="57" t="str">
        <f aca="false">IF($A24&lt;2,"",VLOOKUP($A24,All_Data,Q$69,0))</f>
        <v>Cosmo CDP MTR #1</v>
      </c>
      <c r="R24" s="26" t="n">
        <f aca="false">SUM(S24:Z24)</f>
        <v>433391.821886107</v>
      </c>
      <c r="S24" s="14" t="n">
        <f aca="false">IF($A24&lt;2,"",VLOOKUP($A24,All_Data,S$69,0))</f>
        <v>283089.483044609</v>
      </c>
      <c r="T24" s="15" t="n">
        <f aca="false">IF($A24&lt;2,"",VLOOKUP($A24,All_Data,T$69,0))</f>
        <v>65038.3358910553</v>
      </c>
      <c r="U24" s="15" t="n">
        <f aca="false">IF($A24&lt;2,"",VLOOKUP($A24,All_Data,U$69,0))</f>
        <v>38564.9946598372</v>
      </c>
      <c r="V24" s="15" t="n">
        <f aca="false">IF($A24&lt;2,"",VLOOKUP($A24,All_Data,V$69,0))</f>
        <v>7863.38105910845</v>
      </c>
      <c r="W24" s="15" t="n">
        <f aca="false">IF($A24&lt;2,"",VLOOKUP($A24,All_Data,W$69,0))</f>
        <v>16647.8178451149</v>
      </c>
      <c r="X24" s="15" t="n">
        <f aca="false">IF($A24&lt;2,"",VLOOKUP($A24,All_Data,X$69,0))</f>
        <v>5158.69840657658</v>
      </c>
      <c r="Y24" s="15" t="n">
        <f aca="false">IF($A24&lt;2,"",VLOOKUP($A24,All_Data,Y$69,0))</f>
        <v>6045.54218389145</v>
      </c>
      <c r="Z24" s="16" t="n">
        <f aca="false">IF($A24&lt;2,"",VLOOKUP($A24,All_Data,Z$69,0))</f>
        <v>10983.5687959136</v>
      </c>
      <c r="AA24" s="25" t="n">
        <f aca="false">IF(N24=0,,R24/N24*1000)</f>
        <v>1249.46674493646</v>
      </c>
      <c r="AB24" s="26" t="n">
        <f aca="false">IF($A24&lt;2,,VLOOKUP($A24,All_Data,AB$69,0))</f>
        <v>433604.99</v>
      </c>
      <c r="AC24" s="27" t="n">
        <f aca="false">IF(AB24=0,,R24/AB24)</f>
        <v>0.999508381778786</v>
      </c>
    </row>
    <row r="25" customFormat="false" ht="15" hidden="false" customHeight="false" outlineLevel="0" collapsed="false">
      <c r="A25" s="53" t="s">
        <v>42</v>
      </c>
      <c r="B25" s="54" t="str">
        <f aca="false">IF($A25&lt;2,"",VLOOKUP($A25,All_Data,B$69,0))</f>
        <v>Cosmo CDP MTR #2</v>
      </c>
      <c r="C25" s="26" t="n">
        <f aca="false">IF($A25&lt;2,"",VLOOKUP($A25,All_Data,C$69,0))</f>
        <v>0</v>
      </c>
      <c r="D25" s="14" t="n">
        <f aca="false">IF($A25&lt;2,"",VLOOKUP($A25,All_Data,D$69,0))</f>
        <v>0</v>
      </c>
      <c r="E25" s="15" t="n">
        <f aca="false">IF($A25&lt;2,"",VLOOKUP($A25,All_Data,E$69,0))</f>
        <v>0</v>
      </c>
      <c r="F25" s="15" t="n">
        <f aca="false">IF($A25&lt;2,"",VLOOKUP($A25,All_Data,F$69,0))</f>
        <v>0</v>
      </c>
      <c r="G25" s="15" t="n">
        <f aca="false">IF($A25&lt;2,"",VLOOKUP($A25,All_Data,G$69,0))</f>
        <v>0</v>
      </c>
      <c r="H25" s="15" t="n">
        <f aca="false">IF($A25&lt;2,"",VLOOKUP($A25,All_Data,H$69,0))</f>
        <v>0</v>
      </c>
      <c r="I25" s="15" t="n">
        <f aca="false">IF($A25&lt;2,"",VLOOKUP($A25,All_Data,I$69,0))</f>
        <v>0</v>
      </c>
      <c r="J25" s="15" t="n">
        <f aca="false">IF($A25&lt;2,"",VLOOKUP($A25,All_Data,J$69,0))</f>
        <v>0</v>
      </c>
      <c r="K25" s="15" t="n">
        <f aca="false">IF($A25&lt;2,"",VLOOKUP($A25,All_Data,K$69,0))</f>
        <v>0</v>
      </c>
      <c r="L25" s="15" t="n">
        <f aca="false">IF($A25&lt;2,"",VLOOKUP($A25,All_Data,L$69,0))</f>
        <v>0</v>
      </c>
      <c r="M25" s="15" t="n">
        <f aca="false">IF($A25&lt;2,"",VLOOKUP($A25,All_Data,M$69,0))</f>
        <v>0</v>
      </c>
      <c r="N25" s="55" t="n">
        <f aca="false">SUM(D25:M25)</f>
        <v>0</v>
      </c>
      <c r="P25" s="56" t="str">
        <f aca="false">IF(A25&lt;2,"",A25)</f>
        <v>2.03.2</v>
      </c>
      <c r="Q25" s="57" t="str">
        <f aca="false">IF($A25&lt;2,"",VLOOKUP($A25,All_Data,Q$69,0))</f>
        <v>Cosmo CDP MTR #2</v>
      </c>
      <c r="R25" s="26" t="n">
        <f aca="false">SUM(S25:Z25)</f>
        <v>0</v>
      </c>
      <c r="S25" s="14" t="n">
        <f aca="false">IF($A25&lt;2,"",VLOOKUP($A25,All_Data,S$69,0))</f>
        <v>0</v>
      </c>
      <c r="T25" s="15" t="n">
        <f aca="false">IF($A25&lt;2,"",VLOOKUP($A25,All_Data,T$69,0))</f>
        <v>0</v>
      </c>
      <c r="U25" s="15" t="n">
        <f aca="false">IF($A25&lt;2,"",VLOOKUP($A25,All_Data,U$69,0))</f>
        <v>0</v>
      </c>
      <c r="V25" s="15" t="n">
        <f aca="false">IF($A25&lt;2,"",VLOOKUP($A25,All_Data,V$69,0))</f>
        <v>0</v>
      </c>
      <c r="W25" s="15" t="n">
        <f aca="false">IF($A25&lt;2,"",VLOOKUP($A25,All_Data,W$69,0))</f>
        <v>0</v>
      </c>
      <c r="X25" s="15" t="n">
        <f aca="false">IF($A25&lt;2,"",VLOOKUP($A25,All_Data,X$69,0))</f>
        <v>0</v>
      </c>
      <c r="Y25" s="15" t="n">
        <f aca="false">IF($A25&lt;2,"",VLOOKUP($A25,All_Data,Y$69,0))</f>
        <v>0</v>
      </c>
      <c r="Z25" s="16" t="n">
        <f aca="false">IF($A25&lt;2,"",VLOOKUP($A25,All_Data,Z$69,0))</f>
        <v>0</v>
      </c>
      <c r="AA25" s="25" t="n">
        <f aca="false">IF(N25=0,,R25/N25*1000)</f>
        <v>0</v>
      </c>
      <c r="AB25" s="26" t="n">
        <f aca="false">IF($A25&lt;2,,VLOOKUP($A25,All_Data,AB$69,0))</f>
        <v>0</v>
      </c>
      <c r="AC25" s="27" t="n">
        <f aca="false">IF(AB25=0,,R25/AB25)</f>
        <v>0</v>
      </c>
    </row>
    <row r="26" customFormat="false" ht="15" hidden="false" customHeight="false" outlineLevel="0" collapsed="false">
      <c r="A26" s="53" t="s">
        <v>43</v>
      </c>
      <c r="B26" s="54" t="str">
        <f aca="false">IF($A26&lt;2,"",VLOOKUP($A26,All_Data,B$69,0))</f>
        <v>Four Points CDP MTR #1</v>
      </c>
      <c r="C26" s="26" t="n">
        <f aca="false">IF($A26&lt;2,"",VLOOKUP($A26,All_Data,C$69,0))</f>
        <v>294377.62</v>
      </c>
      <c r="D26" s="14" t="n">
        <f aca="false">IF($A26&lt;2,"",VLOOKUP($A26,All_Data,D$69,0))</f>
        <v>28.808235328452</v>
      </c>
      <c r="E26" s="15" t="n">
        <f aca="false">IF($A26&lt;2,"",VLOOKUP($A26,All_Data,E$69,0))</f>
        <v>1734.10823052701</v>
      </c>
      <c r="F26" s="15" t="n">
        <f aca="false">IF($A26&lt;2,"",VLOOKUP($A26,All_Data,F$69,0))</f>
        <v>237312.782680723</v>
      </c>
      <c r="G26" s="15" t="n">
        <f aca="false">IF($A26&lt;2,"",VLOOKUP($A26,All_Data,G$69,0))</f>
        <v>31306.0443212829</v>
      </c>
      <c r="H26" s="15" t="n">
        <f aca="false">IF($A26&lt;2,"",VLOOKUP($A26,All_Data,H$69,0))</f>
        <v>13159.042018376</v>
      </c>
      <c r="I26" s="15" t="n">
        <f aca="false">IF($A26&lt;2,"",VLOOKUP($A26,All_Data,I$69,0))</f>
        <v>2106.26752184725</v>
      </c>
      <c r="J26" s="15" t="n">
        <f aca="false">IF($A26&lt;2,"",VLOOKUP($A26,All_Data,J$69,0))</f>
        <v>4457.04088171436</v>
      </c>
      <c r="K26" s="15" t="n">
        <f aca="false">IF($A26&lt;2,"",VLOOKUP($A26,All_Data,K$69,0))</f>
        <v>1130.24793323381</v>
      </c>
      <c r="L26" s="15" t="n">
        <f aca="false">IF($A26&lt;2,"",VLOOKUP($A26,All_Data,L$69,0))</f>
        <v>1328.60913215977</v>
      </c>
      <c r="M26" s="15" t="n">
        <f aca="false">IF($A26&lt;2,"",VLOOKUP($A26,All_Data,M$69,0))</f>
        <v>1814.66904480764</v>
      </c>
      <c r="N26" s="55" t="n">
        <f aca="false">SUM(D26:M26)</f>
        <v>294377.62</v>
      </c>
      <c r="P26" s="56" t="str">
        <f aca="false">IF(A26&lt;2,"",A26)</f>
        <v>2.03.3</v>
      </c>
      <c r="Q26" s="57" t="str">
        <f aca="false">IF($A26&lt;2,"",VLOOKUP($A26,All_Data,Q$69,0))</f>
        <v>Four Points CDP MTR #1</v>
      </c>
      <c r="R26" s="26" t="n">
        <f aca="false">SUM(S26:Z26)</f>
        <v>368881.776911823</v>
      </c>
      <c r="S26" s="14" t="n">
        <f aca="false">IF($A26&lt;2,"",VLOOKUP($A26,All_Data,S$69,0))</f>
        <v>239772.136653844</v>
      </c>
      <c r="T26" s="15" t="n">
        <f aca="false">IF($A26&lt;2,"",VLOOKUP($A26,All_Data,T$69,0))</f>
        <v>55425.5980856531</v>
      </c>
      <c r="U26" s="15" t="n">
        <f aca="false">IF($A26&lt;2,"",VLOOKUP($A26,All_Data,U$69,0))</f>
        <v>33122.3248232402</v>
      </c>
      <c r="V26" s="15" t="n">
        <f aca="false">IF($A26&lt;2,"",VLOOKUP($A26,All_Data,V$69,0))</f>
        <v>6852.05320908913</v>
      </c>
      <c r="W26" s="15" t="n">
        <f aca="false">IF($A26&lt;2,"",VLOOKUP($A26,All_Data,W$69,0))</f>
        <v>14546.0435577234</v>
      </c>
      <c r="X26" s="15" t="n">
        <f aca="false">IF($A26&lt;2,"",VLOOKUP($A26,All_Data,X$69,0))</f>
        <v>4523.83549501637</v>
      </c>
      <c r="Y26" s="15" t="n">
        <f aca="false">IF($A26&lt;2,"",VLOOKUP($A26,All_Data,Y$69,0))</f>
        <v>5328.17920701671</v>
      </c>
      <c r="Z26" s="16" t="n">
        <f aca="false">IF($A26&lt;2,"",VLOOKUP($A26,All_Data,Z$69,0))</f>
        <v>9311.60588024076</v>
      </c>
      <c r="AA26" s="25" t="n">
        <f aca="false">IF(N26=0,,R26/N26*1000)</f>
        <v>1253.09042484895</v>
      </c>
      <c r="AB26" s="26" t="n">
        <f aca="false">IF($A26&lt;2,,VLOOKUP($A26,All_Data,AB$69,0))</f>
        <v>369069.05</v>
      </c>
      <c r="AC26" s="27" t="n">
        <f aca="false">IF(AB26=0,,R26/AB26)</f>
        <v>0.999492579808096</v>
      </c>
    </row>
    <row r="27" customFormat="false" ht="15" hidden="false" customHeight="false" outlineLevel="0" collapsed="false">
      <c r="A27" s="53" t="s">
        <v>44</v>
      </c>
      <c r="B27" s="54" t="str">
        <f aca="false">IF($A27&lt;2,"",VLOOKUP($A27,All_Data,B$69,0))</f>
        <v>Four Points CDP MTR #2</v>
      </c>
      <c r="C27" s="26" t="n">
        <f aca="false">IF($A27&lt;2,"",VLOOKUP($A27,All_Data,C$69,0))</f>
        <v>0</v>
      </c>
      <c r="D27" s="14" t="n">
        <f aca="false">IF($A27&lt;2,"",VLOOKUP($A27,All_Data,D$69,0))</f>
        <v>0</v>
      </c>
      <c r="E27" s="15" t="n">
        <f aca="false">IF($A27&lt;2,"",VLOOKUP($A27,All_Data,E$69,0))</f>
        <v>0</v>
      </c>
      <c r="F27" s="15" t="n">
        <f aca="false">IF($A27&lt;2,"",VLOOKUP($A27,All_Data,F$69,0))</f>
        <v>0</v>
      </c>
      <c r="G27" s="15" t="n">
        <f aca="false">IF($A27&lt;2,"",VLOOKUP($A27,All_Data,G$69,0))</f>
        <v>0</v>
      </c>
      <c r="H27" s="15" t="n">
        <f aca="false">IF($A27&lt;2,"",VLOOKUP($A27,All_Data,H$69,0))</f>
        <v>0</v>
      </c>
      <c r="I27" s="15" t="n">
        <f aca="false">IF($A27&lt;2,"",VLOOKUP($A27,All_Data,I$69,0))</f>
        <v>0</v>
      </c>
      <c r="J27" s="15" t="n">
        <f aca="false">IF($A27&lt;2,"",VLOOKUP($A27,All_Data,J$69,0))</f>
        <v>0</v>
      </c>
      <c r="K27" s="15" t="n">
        <f aca="false">IF($A27&lt;2,"",VLOOKUP($A27,All_Data,K$69,0))</f>
        <v>0</v>
      </c>
      <c r="L27" s="15" t="n">
        <f aca="false">IF($A27&lt;2,"",VLOOKUP($A27,All_Data,L$69,0))</f>
        <v>0</v>
      </c>
      <c r="M27" s="15" t="n">
        <f aca="false">IF($A27&lt;2,"",VLOOKUP($A27,All_Data,M$69,0))</f>
        <v>0</v>
      </c>
      <c r="N27" s="55" t="n">
        <f aca="false">SUM(D27:M27)</f>
        <v>0</v>
      </c>
      <c r="P27" s="56" t="str">
        <f aca="false">IF(A27&lt;2,"",A27)</f>
        <v>2.03.4</v>
      </c>
      <c r="Q27" s="57" t="str">
        <f aca="false">IF($A27&lt;2,"",VLOOKUP($A27,All_Data,Q$69,0))</f>
        <v>Four Points CDP MTR #2</v>
      </c>
      <c r="R27" s="26" t="n">
        <f aca="false">SUM(S27:Z27)</f>
        <v>0</v>
      </c>
      <c r="S27" s="14" t="n">
        <f aca="false">IF($A27&lt;2,"",VLOOKUP($A27,All_Data,S$69,0))</f>
        <v>0</v>
      </c>
      <c r="T27" s="15" t="n">
        <f aca="false">IF($A27&lt;2,"",VLOOKUP($A27,All_Data,T$69,0))</f>
        <v>0</v>
      </c>
      <c r="U27" s="15" t="n">
        <f aca="false">IF($A27&lt;2,"",VLOOKUP($A27,All_Data,U$69,0))</f>
        <v>0</v>
      </c>
      <c r="V27" s="15" t="n">
        <f aca="false">IF($A27&lt;2,"",VLOOKUP($A27,All_Data,V$69,0))</f>
        <v>0</v>
      </c>
      <c r="W27" s="15" t="n">
        <f aca="false">IF($A27&lt;2,"",VLOOKUP($A27,All_Data,W$69,0))</f>
        <v>0</v>
      </c>
      <c r="X27" s="15" t="n">
        <f aca="false">IF($A27&lt;2,"",VLOOKUP($A27,All_Data,X$69,0))</f>
        <v>0</v>
      </c>
      <c r="Y27" s="15" t="n">
        <f aca="false">IF($A27&lt;2,"",VLOOKUP($A27,All_Data,Y$69,0))</f>
        <v>0</v>
      </c>
      <c r="Z27" s="16" t="n">
        <f aca="false">IF($A27&lt;2,"",VLOOKUP($A27,All_Data,Z$69,0))</f>
        <v>0</v>
      </c>
      <c r="AA27" s="25" t="n">
        <f aca="false">IF(N27=0,,R27/N27*1000)</f>
        <v>0</v>
      </c>
      <c r="AB27" s="26" t="n">
        <f aca="false">IF($A27&lt;2,,VLOOKUP($A27,All_Data,AB$69,0))</f>
        <v>0</v>
      </c>
      <c r="AC27" s="27" t="n">
        <f aca="false">IF(AB27=0,,R27/AB27)</f>
        <v>0</v>
      </c>
    </row>
    <row r="28" customFormat="false" ht="15" hidden="false" customHeight="false" outlineLevel="0" collapsed="false">
      <c r="A28" s="53" t="s">
        <v>45</v>
      </c>
      <c r="B28" s="54" t="str">
        <f aca="false">IF($A28&lt;2,"",VLOOKUP($A28,All_Data,B$69,0))</f>
        <v>Wise West CDP MTR # 1</v>
      </c>
      <c r="C28" s="26" t="n">
        <f aca="false">IF($A28&lt;2,"",VLOOKUP($A28,All_Data,C$69,0))</f>
        <v>0</v>
      </c>
      <c r="D28" s="14" t="n">
        <f aca="false">IF($A28&lt;2,"",VLOOKUP($A28,All_Data,D$69,0))</f>
        <v>0</v>
      </c>
      <c r="E28" s="15" t="n">
        <f aca="false">IF($A28&lt;2,"",VLOOKUP($A28,All_Data,E$69,0))</f>
        <v>0</v>
      </c>
      <c r="F28" s="15" t="n">
        <f aca="false">IF($A28&lt;2,"",VLOOKUP($A28,All_Data,F$69,0))</f>
        <v>0</v>
      </c>
      <c r="G28" s="15" t="n">
        <f aca="false">IF($A28&lt;2,"",VLOOKUP($A28,All_Data,G$69,0))</f>
        <v>0</v>
      </c>
      <c r="H28" s="15" t="n">
        <f aca="false">IF($A28&lt;2,"",VLOOKUP($A28,All_Data,H$69,0))</f>
        <v>0</v>
      </c>
      <c r="I28" s="15" t="n">
        <f aca="false">IF($A28&lt;2,"",VLOOKUP($A28,All_Data,I$69,0))</f>
        <v>0</v>
      </c>
      <c r="J28" s="15" t="n">
        <f aca="false">IF($A28&lt;2,"",VLOOKUP($A28,All_Data,J$69,0))</f>
        <v>0</v>
      </c>
      <c r="K28" s="15" t="n">
        <f aca="false">IF($A28&lt;2,"",VLOOKUP($A28,All_Data,K$69,0))</f>
        <v>0</v>
      </c>
      <c r="L28" s="15" t="n">
        <f aca="false">IF($A28&lt;2,"",VLOOKUP($A28,All_Data,L$69,0))</f>
        <v>0</v>
      </c>
      <c r="M28" s="15" t="n">
        <f aca="false">IF($A28&lt;2,"",VLOOKUP($A28,All_Data,M$69,0))</f>
        <v>0</v>
      </c>
      <c r="N28" s="55" t="n">
        <f aca="false">SUM(D28:M28)</f>
        <v>0</v>
      </c>
      <c r="P28" s="56" t="str">
        <f aca="false">IF(A28&lt;2,"",A28)</f>
        <v>2.03.5</v>
      </c>
      <c r="Q28" s="57" t="str">
        <f aca="false">IF($A28&lt;2,"",VLOOKUP($A28,All_Data,Q$69,0))</f>
        <v>Wise West CDP MTR # 1</v>
      </c>
      <c r="R28" s="26" t="n">
        <f aca="false">SUM(S28:Z28)</f>
        <v>0</v>
      </c>
      <c r="S28" s="14" t="n">
        <f aca="false">IF($A28&lt;2,"",VLOOKUP($A28,All_Data,S$69,0))</f>
        <v>0</v>
      </c>
      <c r="T28" s="15" t="n">
        <f aca="false">IF($A28&lt;2,"",VLOOKUP($A28,All_Data,T$69,0))</f>
        <v>0</v>
      </c>
      <c r="U28" s="15" t="n">
        <f aca="false">IF($A28&lt;2,"",VLOOKUP($A28,All_Data,U$69,0))</f>
        <v>0</v>
      </c>
      <c r="V28" s="15" t="n">
        <f aca="false">IF($A28&lt;2,"",VLOOKUP($A28,All_Data,V$69,0))</f>
        <v>0</v>
      </c>
      <c r="W28" s="15" t="n">
        <f aca="false">IF($A28&lt;2,"",VLOOKUP($A28,All_Data,W$69,0))</f>
        <v>0</v>
      </c>
      <c r="X28" s="15" t="n">
        <f aca="false">IF($A28&lt;2,"",VLOOKUP($A28,All_Data,X$69,0))</f>
        <v>0</v>
      </c>
      <c r="Y28" s="15" t="n">
        <f aca="false">IF($A28&lt;2,"",VLOOKUP($A28,All_Data,Y$69,0))</f>
        <v>0</v>
      </c>
      <c r="Z28" s="16" t="n">
        <f aca="false">IF($A28&lt;2,"",VLOOKUP($A28,All_Data,Z$69,0))</f>
        <v>0</v>
      </c>
      <c r="AA28" s="25" t="n">
        <f aca="false">IF(N28=0,,R28/N28*1000)</f>
        <v>0</v>
      </c>
      <c r="AB28" s="26" t="n">
        <f aca="false">IF($A28&lt;2,,VLOOKUP($A28,All_Data,AB$69,0))</f>
        <v>0</v>
      </c>
      <c r="AC28" s="27" t="n">
        <f aca="false">IF(AB28=0,,R28/AB28)</f>
        <v>0</v>
      </c>
    </row>
    <row r="29" customFormat="false" ht="15" hidden="false" customHeight="false" outlineLevel="0" collapsed="false">
      <c r="A29" s="53" t="s">
        <v>46</v>
      </c>
      <c r="B29" s="54" t="str">
        <f aca="false">IF($A29&lt;2,"",VLOOKUP($A29,All_Data,B$69,0))</f>
        <v>Wise West CDP MTR # 2</v>
      </c>
      <c r="C29" s="26" t="n">
        <f aca="false">IF($A29&lt;2,"",VLOOKUP($A29,All_Data,C$69,0))</f>
        <v>45361.55</v>
      </c>
      <c r="D29" s="14" t="n">
        <f aca="false">IF($A29&lt;2,"",VLOOKUP($A29,All_Data,D$69,0))</f>
        <v>162.8479645</v>
      </c>
      <c r="E29" s="15" t="n">
        <f aca="false">IF($A29&lt;2,"",VLOOKUP($A29,All_Data,E$69,0))</f>
        <v>384.2123285</v>
      </c>
      <c r="F29" s="15" t="n">
        <f aca="false">IF($A29&lt;2,"",VLOOKUP($A29,All_Data,F$69,0))</f>
        <v>36617.657622</v>
      </c>
      <c r="G29" s="15" t="n">
        <f aca="false">IF($A29&lt;2,"",VLOOKUP($A29,All_Data,G$69,0))</f>
        <v>4854.593081</v>
      </c>
      <c r="H29" s="15" t="n">
        <f aca="false">IF($A29&lt;2,"",VLOOKUP($A29,All_Data,H$69,0))</f>
        <v>1955.082805</v>
      </c>
      <c r="I29" s="15" t="n">
        <f aca="false">IF($A29&lt;2,"",VLOOKUP($A29,All_Data,I$69,0))</f>
        <v>283.963303</v>
      </c>
      <c r="J29" s="15" t="n">
        <f aca="false">IF($A29&lt;2,"",VLOOKUP($A29,All_Data,J$69,0))</f>
        <v>599.2260755</v>
      </c>
      <c r="K29" s="15" t="n">
        <f aca="false">IF($A29&lt;2,"",VLOOKUP($A29,All_Data,K$69,0))</f>
        <v>145.6105755</v>
      </c>
      <c r="L29" s="15" t="n">
        <f aca="false">IF($A29&lt;2,"",VLOOKUP($A29,All_Data,L$69,0))</f>
        <v>162.8479645</v>
      </c>
      <c r="M29" s="15" t="n">
        <f aca="false">IF($A29&lt;2,"",VLOOKUP($A29,All_Data,M$69,0))</f>
        <v>195.5082805</v>
      </c>
      <c r="N29" s="55" t="n">
        <f aca="false">SUM(D29:M29)</f>
        <v>45361.55</v>
      </c>
      <c r="P29" s="56" t="str">
        <f aca="false">IF(A29&lt;2,"",A29)</f>
        <v>2.03.6</v>
      </c>
      <c r="Q29" s="57" t="str">
        <f aca="false">IF($A29&lt;2,"",VLOOKUP($A29,All_Data,Q$69,0))</f>
        <v>Wise West CDP MTR # 2</v>
      </c>
      <c r="R29" s="26" t="n">
        <f aca="false">SUM(S29:Z29)</f>
        <v>55623.2519223656</v>
      </c>
      <c r="S29" s="14" t="n">
        <f aca="false">IF($A29&lt;2,"",VLOOKUP($A29,All_Data,S$69,0))</f>
        <v>36991.6293330988</v>
      </c>
      <c r="T29" s="15" t="n">
        <f aca="false">IF($A29&lt;2,"",VLOOKUP($A29,All_Data,T$69,0))</f>
        <v>8593.50520676343</v>
      </c>
      <c r="U29" s="15" t="n">
        <f aca="false">IF($A29&lt;2,"",VLOOKUP($A29,All_Data,U$69,0))</f>
        <v>4920.36152365232</v>
      </c>
      <c r="V29" s="15" t="n">
        <f aca="false">IF($A29&lt;2,"",VLOOKUP($A29,All_Data,V$69,0))</f>
        <v>923.644257088818</v>
      </c>
      <c r="W29" s="15" t="n">
        <f aca="false">IF($A29&lt;2,"",VLOOKUP($A29,All_Data,W$69,0))</f>
        <v>1955.34902469534</v>
      </c>
      <c r="X29" s="15" t="n">
        <f aca="false">IF($A29&lt;2,"",VLOOKUP($A29,All_Data,X$69,0))</f>
        <v>582.721873017533</v>
      </c>
      <c r="Y29" s="15" t="n">
        <f aca="false">IF($A29&lt;2,"",VLOOKUP($A29,All_Data,Y$69,0))</f>
        <v>652.979044582878</v>
      </c>
      <c r="Z29" s="16" t="n">
        <f aca="false">IF($A29&lt;2,"",VLOOKUP($A29,All_Data,Z$69,0))</f>
        <v>1003.06165946651</v>
      </c>
      <c r="AA29" s="25" t="n">
        <f aca="false">IF(N29=0,,R29/N29*1000)</f>
        <v>1226.22026633494</v>
      </c>
      <c r="AB29" s="26" t="n">
        <f aca="false">IF($A29&lt;2,,VLOOKUP($A29,All_Data,AB$69,0))</f>
        <v>55613.26</v>
      </c>
      <c r="AC29" s="27" t="n">
        <f aca="false">IF(AB29=0,,R29/AB29)</f>
        <v>1.00017966798504</v>
      </c>
    </row>
    <row r="30" customFormat="false" ht="15" hidden="false" customHeight="false" outlineLevel="0" collapsed="false">
      <c r="A30" s="53" t="s">
        <v>47</v>
      </c>
      <c r="B30" s="54" t="str">
        <f aca="false">IF($A30&lt;2,"",VLOOKUP($A30,All_Data,B$69,0))</f>
        <v>Penner CDP MTR #1</v>
      </c>
      <c r="C30" s="26" t="n">
        <f aca="false">IF($A30&lt;2,"",VLOOKUP($A30,All_Data,C$69,0))</f>
        <v>164104.08</v>
      </c>
      <c r="D30" s="14" t="n">
        <f aca="false">IF($A30&lt;2,"",VLOOKUP($A30,All_Data,D$69,0))</f>
        <v>8.37617111820894</v>
      </c>
      <c r="E30" s="15" t="n">
        <f aca="false">IF($A30&lt;2,"",VLOOKUP($A30,All_Data,E$69,0))</f>
        <v>975.238562484174</v>
      </c>
      <c r="F30" s="15" t="n">
        <f aca="false">IF($A30&lt;2,"",VLOOKUP($A30,All_Data,F$69,0))</f>
        <v>133381.602797899</v>
      </c>
      <c r="G30" s="15" t="n">
        <f aca="false">IF($A30&lt;2,"",VLOOKUP($A30,All_Data,G$69,0))</f>
        <v>17233.8939233463</v>
      </c>
      <c r="H30" s="15" t="n">
        <f aca="false">IF($A30&lt;2,"",VLOOKUP($A30,All_Data,H$69,0))</f>
        <v>6989.23774566287</v>
      </c>
      <c r="I30" s="15" t="n">
        <f aca="false">IF($A30&lt;2,"",VLOOKUP($A30,All_Data,I$69,0))</f>
        <v>1139.75650086702</v>
      </c>
      <c r="J30" s="15" t="n">
        <f aca="false">IF($A30&lt;2,"",VLOOKUP($A30,All_Data,J$69,0))</f>
        <v>2279.92525510371</v>
      </c>
      <c r="K30" s="15" t="n">
        <f aca="false">IF($A30&lt;2,"",VLOOKUP($A30,All_Data,K$69,0))</f>
        <v>593.231526760542</v>
      </c>
      <c r="L30" s="15" t="n">
        <f aca="false">IF($A30&lt;2,"",VLOOKUP($A30,All_Data,L$69,0))</f>
        <v>679.870347720513</v>
      </c>
      <c r="M30" s="15" t="n">
        <f aca="false">IF($A30&lt;2,"",VLOOKUP($A30,All_Data,M$69,0))</f>
        <v>822.947169037339</v>
      </c>
      <c r="N30" s="55" t="n">
        <f aca="false">SUM(D30:M30)</f>
        <v>164104.08</v>
      </c>
      <c r="P30" s="56" t="str">
        <f aca="false">IF(A30&lt;2,"",A30)</f>
        <v>2.03.7</v>
      </c>
      <c r="Q30" s="57" t="str">
        <f aca="false">IF($A30&lt;2,"",VLOOKUP($A30,All_Data,Q$69,0))</f>
        <v>Penner CDP MTR #1</v>
      </c>
      <c r="R30" s="26" t="n">
        <f aca="false">SUM(S30:Z30)</f>
        <v>203319.030150207</v>
      </c>
      <c r="S30" s="14" t="n">
        <f aca="false">IF($A30&lt;2,"",VLOOKUP($A30,All_Data,S$69,0))</f>
        <v>134749.779984539</v>
      </c>
      <c r="T30" s="15" t="n">
        <f aca="false">IF($A30&lt;2,"",VLOOKUP($A30,All_Data,T$69,0))</f>
        <v>30508.4510973533</v>
      </c>
      <c r="U30" s="15" t="n">
        <f aca="false">IF($A30&lt;2,"",VLOOKUP($A30,All_Data,U$69,0))</f>
        <v>17590.6101290009</v>
      </c>
      <c r="V30" s="15" t="n">
        <f aca="false">IF($A30&lt;2,"",VLOOKUP($A30,All_Data,V$69,0))</f>
        <v>3707.43738538227</v>
      </c>
      <c r="W30" s="15" t="n">
        <f aca="false">IF($A30&lt;2,"",VLOOKUP($A30,All_Data,W$69,0))</f>
        <v>7440.00841528184</v>
      </c>
      <c r="X30" s="15" t="n">
        <f aca="false">IF($A30&lt;2,"",VLOOKUP($A30,All_Data,X$69,0))</f>
        <v>2374.1702395136</v>
      </c>
      <c r="Y30" s="15" t="n">
        <f aca="false">IF($A30&lt;2,"",VLOOKUP($A30,All_Data,Y$69,0))</f>
        <v>2726.22842392409</v>
      </c>
      <c r="Z30" s="16" t="n">
        <f aca="false">IF($A30&lt;2,"",VLOOKUP($A30,All_Data,Z$69,0))</f>
        <v>4222.34447521238</v>
      </c>
      <c r="AA30" s="25" t="n">
        <f aca="false">IF(N30=0,,R30/N30*1000)</f>
        <v>1238.96389504884</v>
      </c>
      <c r="AB30" s="26" t="n">
        <f aca="false">IF($A30&lt;2,,VLOOKUP($A30,All_Data,AB$69,0))</f>
        <v>203412.95</v>
      </c>
      <c r="AC30" s="27" t="n">
        <f aca="false">IF(AB30=0,,R30/AB30)</f>
        <v>0.999538279889294</v>
      </c>
    </row>
    <row r="31" customFormat="false" ht="15" hidden="false" customHeight="false" outlineLevel="0" collapsed="false">
      <c r="A31" s="53" t="s">
        <v>48</v>
      </c>
      <c r="B31" s="54" t="str">
        <f aca="false">IF($A31&lt;2,"",VLOOKUP($A31,All_Data,B$69,0))</f>
        <v>Penner CDP MTR #2</v>
      </c>
      <c r="C31" s="26" t="n">
        <f aca="false">IF($A31&lt;2,"",VLOOKUP($A31,All_Data,C$69,0))</f>
        <v>0</v>
      </c>
      <c r="D31" s="14" t="n">
        <f aca="false">IF($A31&lt;2,"",VLOOKUP($A31,All_Data,D$69,0))</f>
        <v>0</v>
      </c>
      <c r="E31" s="15" t="n">
        <f aca="false">IF($A31&lt;2,"",VLOOKUP($A31,All_Data,E$69,0))</f>
        <v>0</v>
      </c>
      <c r="F31" s="15" t="n">
        <f aca="false">IF($A31&lt;2,"",VLOOKUP($A31,All_Data,F$69,0))</f>
        <v>0</v>
      </c>
      <c r="G31" s="15" t="n">
        <f aca="false">IF($A31&lt;2,"",VLOOKUP($A31,All_Data,G$69,0))</f>
        <v>0</v>
      </c>
      <c r="H31" s="15" t="n">
        <f aca="false">IF($A31&lt;2,"",VLOOKUP($A31,All_Data,H$69,0))</f>
        <v>0</v>
      </c>
      <c r="I31" s="15" t="n">
        <f aca="false">IF($A31&lt;2,"",VLOOKUP($A31,All_Data,I$69,0))</f>
        <v>0</v>
      </c>
      <c r="J31" s="15" t="n">
        <f aca="false">IF($A31&lt;2,"",VLOOKUP($A31,All_Data,J$69,0))</f>
        <v>0</v>
      </c>
      <c r="K31" s="15" t="n">
        <f aca="false">IF($A31&lt;2,"",VLOOKUP($A31,All_Data,K$69,0))</f>
        <v>0</v>
      </c>
      <c r="L31" s="15" t="n">
        <f aca="false">IF($A31&lt;2,"",VLOOKUP($A31,All_Data,L$69,0))</f>
        <v>0</v>
      </c>
      <c r="M31" s="15" t="n">
        <f aca="false">IF($A31&lt;2,"",VLOOKUP($A31,All_Data,M$69,0))</f>
        <v>0</v>
      </c>
      <c r="N31" s="55" t="n">
        <f aca="false">SUM(D31:M31)</f>
        <v>0</v>
      </c>
      <c r="P31" s="56" t="str">
        <f aca="false">IF(A31&lt;2,"",A31)</f>
        <v>2.03.8</v>
      </c>
      <c r="Q31" s="57" t="str">
        <f aca="false">IF($A31&lt;2,"",VLOOKUP($A31,All_Data,Q$69,0))</f>
        <v>Penner CDP MTR #2</v>
      </c>
      <c r="R31" s="26" t="n">
        <f aca="false">SUM(S31:Z31)</f>
        <v>0</v>
      </c>
      <c r="S31" s="14" t="n">
        <f aca="false">IF($A31&lt;2,"",VLOOKUP($A31,All_Data,S$69,0))</f>
        <v>0</v>
      </c>
      <c r="T31" s="15" t="n">
        <f aca="false">IF($A31&lt;2,"",VLOOKUP($A31,All_Data,T$69,0))</f>
        <v>0</v>
      </c>
      <c r="U31" s="15" t="n">
        <f aca="false">IF($A31&lt;2,"",VLOOKUP($A31,All_Data,U$69,0))</f>
        <v>0</v>
      </c>
      <c r="V31" s="15" t="n">
        <f aca="false">IF($A31&lt;2,"",VLOOKUP($A31,All_Data,V$69,0))</f>
        <v>0</v>
      </c>
      <c r="W31" s="15" t="n">
        <f aca="false">IF($A31&lt;2,"",VLOOKUP($A31,All_Data,W$69,0))</f>
        <v>0</v>
      </c>
      <c r="X31" s="15" t="n">
        <f aca="false">IF($A31&lt;2,"",VLOOKUP($A31,All_Data,X$69,0))</f>
        <v>0</v>
      </c>
      <c r="Y31" s="15" t="n">
        <f aca="false">IF($A31&lt;2,"",VLOOKUP($A31,All_Data,Y$69,0))</f>
        <v>0</v>
      </c>
      <c r="Z31" s="16" t="n">
        <f aca="false">IF($A31&lt;2,"",VLOOKUP($A31,All_Data,Z$69,0))</f>
        <v>0</v>
      </c>
      <c r="AA31" s="25" t="n">
        <f aca="false">IF(N31=0,,R31/N31*1000)</f>
        <v>0</v>
      </c>
      <c r="AB31" s="26" t="n">
        <f aca="false">IF($A31&lt;2,,VLOOKUP($A31,All_Data,AB$69,0))</f>
        <v>0</v>
      </c>
      <c r="AC31" s="27" t="n">
        <f aca="false">IF(AB31=0,,R31/AB31)</f>
        <v>0</v>
      </c>
    </row>
    <row r="32" customFormat="false" ht="15" hidden="false" customHeight="false" outlineLevel="0" collapsed="false">
      <c r="A32" s="53" t="s">
        <v>49</v>
      </c>
      <c r="B32" s="54" t="str">
        <f aca="false">IF($A32&lt;2,"",VLOOKUP($A32,All_Data,B$69,0))</f>
        <v>Pronghorn CDP</v>
      </c>
      <c r="C32" s="26" t="n">
        <f aca="false">IF($A32&lt;2,"",VLOOKUP($A32,All_Data,C$69,0))</f>
        <v>815353.24</v>
      </c>
      <c r="D32" s="14" t="n">
        <f aca="false">IF($A32&lt;2,"",VLOOKUP($A32,All_Data,D$69,0))</f>
        <v>809.480729550494</v>
      </c>
      <c r="E32" s="15" t="n">
        <f aca="false">IF($A32&lt;2,"",VLOOKUP($A32,All_Data,E$69,0))</f>
        <v>4909.7740853322</v>
      </c>
      <c r="F32" s="15" t="n">
        <f aca="false">IF($A32&lt;2,"",VLOOKUP($A32,All_Data,F$69,0))</f>
        <v>645436.300320816</v>
      </c>
      <c r="G32" s="15" t="n">
        <f aca="false">IF($A32&lt;2,"",VLOOKUP($A32,All_Data,G$69,0))</f>
        <v>91119.9140230639</v>
      </c>
      <c r="H32" s="15" t="n">
        <f aca="false">IF($A32&lt;2,"",VLOOKUP($A32,All_Data,H$69,0))</f>
        <v>40710.2738381664</v>
      </c>
      <c r="I32" s="15" t="n">
        <f aca="false">IF($A32&lt;2,"",VLOOKUP($A32,All_Data,I$69,0))</f>
        <v>6295.01164701946</v>
      </c>
      <c r="J32" s="15" t="n">
        <f aca="false">IF($A32&lt;2,"",VLOOKUP($A32,All_Data,J$69,0))</f>
        <v>13888.4443883928</v>
      </c>
      <c r="K32" s="15" t="n">
        <f aca="false">IF($A32&lt;2,"",VLOOKUP($A32,All_Data,K$69,0))</f>
        <v>3463.77477255531</v>
      </c>
      <c r="L32" s="15" t="n">
        <f aca="false">IF($A32&lt;2,"",VLOOKUP($A32,All_Data,L$69,0))</f>
        <v>4099.72979064039</v>
      </c>
      <c r="M32" s="15" t="n">
        <f aca="false">IF($A32&lt;2,"",VLOOKUP($A32,All_Data,M$69,0))</f>
        <v>4620.53640446314</v>
      </c>
      <c r="N32" s="55" t="n">
        <f aca="false">SUM(D32:M32)</f>
        <v>815353.24</v>
      </c>
      <c r="P32" s="56" t="str">
        <f aca="false">IF(A32&lt;2,"",A32)</f>
        <v>2.03.9</v>
      </c>
      <c r="Q32" s="57" t="str">
        <f aca="false">IF($A32&lt;2,"",VLOOKUP($A32,All_Data,Q$69,0))</f>
        <v>Pronghorn CDP</v>
      </c>
      <c r="R32" s="26" t="n">
        <f aca="false">SUM(S32:Z32)</f>
        <v>1035874.48267906</v>
      </c>
      <c r="S32" s="14" t="n">
        <f aca="false">IF($A32&lt;2,"",VLOOKUP($A32,All_Data,S$69,0))</f>
        <v>652210.796116464</v>
      </c>
      <c r="T32" s="15" t="n">
        <f aca="false">IF($A32&lt;2,"",VLOOKUP($A32,All_Data,T$69,0))</f>
        <v>161343.884390239</v>
      </c>
      <c r="U32" s="15" t="n">
        <f aca="false">IF($A32&lt;2,"",VLOOKUP($A32,All_Data,U$69,0))</f>
        <v>102484.356053013</v>
      </c>
      <c r="V32" s="15" t="n">
        <f aca="false">IF($A32&lt;2,"",VLOOKUP($A32,All_Data,V$69,0))</f>
        <v>20481.452302304</v>
      </c>
      <c r="W32" s="15" t="n">
        <f aca="false">IF($A32&lt;2,"",VLOOKUP($A32,All_Data,W$69,0))</f>
        <v>45332.4180385444</v>
      </c>
      <c r="X32" s="15" t="n">
        <f aca="false">IF($A32&lt;2,"",VLOOKUP($A32,All_Data,X$69,0))</f>
        <v>13865.6343052642</v>
      </c>
      <c r="Y32" s="15" t="n">
        <f aca="false">IF($A32&lt;2,"",VLOOKUP($A32,All_Data,Y$69,0))</f>
        <v>16443.4839454576</v>
      </c>
      <c r="Z32" s="16" t="n">
        <f aca="false">IF($A32&lt;2,"",VLOOKUP($A32,All_Data,Z$69,0))</f>
        <v>23712.4575277761</v>
      </c>
      <c r="AA32" s="25" t="n">
        <f aca="false">IF(N32=0,,R32/N32*1000)</f>
        <v>1270.46098777882</v>
      </c>
      <c r="AB32" s="26" t="n">
        <f aca="false">IF($A32&lt;2,,VLOOKUP($A32,All_Data,AB$69,0))</f>
        <v>1002884.54</v>
      </c>
      <c r="AC32" s="27" t="n">
        <f aca="false">IF(AB32=0,,R32/AB32)</f>
        <v>1.03289505557545</v>
      </c>
    </row>
    <row r="33" customFormat="false" ht="15" hidden="false" customHeight="false" outlineLevel="0" collapsed="false">
      <c r="A33" s="53" t="s">
        <v>50</v>
      </c>
      <c r="B33" s="54" t="str">
        <f aca="false">IF($A33&lt;2,"",VLOOKUP($A33,All_Data,B$69,0))</f>
        <v>Monument Draw CDP MTR #1</v>
      </c>
      <c r="C33" s="26" t="n">
        <f aca="false">IF($A33&lt;2,"",VLOOKUP($A33,All_Data,C$69,0))</f>
        <v>126383.28</v>
      </c>
      <c r="D33" s="14" t="n">
        <f aca="false">IF($A33&lt;2,"",VLOOKUP($A33,All_Data,D$69,0))</f>
        <v>2997.8114016</v>
      </c>
      <c r="E33" s="15" t="n">
        <f aca="false">IF($A33&lt;2,"",VLOOKUP($A33,All_Data,E$69,0))</f>
        <v>1806.0170712</v>
      </c>
      <c r="F33" s="15" t="n">
        <f aca="false">IF($A33&lt;2,"",VLOOKUP($A33,All_Data,F$69,0))</f>
        <v>98970.746568</v>
      </c>
      <c r="G33" s="15" t="n">
        <f aca="false">IF($A33&lt;2,"",VLOOKUP($A33,All_Data,G$69,0))</f>
        <v>12141.6417096</v>
      </c>
      <c r="H33" s="15" t="n">
        <f aca="false">IF($A33&lt;2,"",VLOOKUP($A33,All_Data,H$69,0))</f>
        <v>5837.6437032</v>
      </c>
      <c r="I33" s="15" t="n">
        <f aca="false">IF($A33&lt;2,"",VLOOKUP($A33,All_Data,I$69,0))</f>
        <v>883.4191272</v>
      </c>
      <c r="J33" s="15" t="n">
        <f aca="false">IF($A33&lt;2,"",VLOOKUP($A33,All_Data,J$69,0))</f>
        <v>1931.1365184</v>
      </c>
      <c r="K33" s="15" t="n">
        <f aca="false">IF($A33&lt;2,"",VLOOKUP($A33,All_Data,K$69,0))</f>
        <v>643.2908952</v>
      </c>
      <c r="L33" s="15" t="n">
        <f aca="false">IF($A33&lt;2,"",VLOOKUP($A33,All_Data,L$69,0))</f>
        <v>511.852284</v>
      </c>
      <c r="M33" s="15" t="n">
        <f aca="false">IF($A33&lt;2,"",VLOOKUP($A33,All_Data,M$69,0))</f>
        <v>659.7207216</v>
      </c>
      <c r="N33" s="55" t="n">
        <f aca="false">SUM(D33:M33)</f>
        <v>126383.28</v>
      </c>
      <c r="P33" s="56" t="str">
        <f aca="false">IF(A33&lt;2,"",A33)</f>
        <v>2.05.1</v>
      </c>
      <c r="Q33" s="57" t="str">
        <f aca="false">IF($A33&lt;2,"",VLOOKUP($A33,All_Data,Q$69,0))</f>
        <v>Monument Draw CDP MTR #1</v>
      </c>
      <c r="R33" s="26" t="n">
        <f aca="false">SUM(S33:Z33)</f>
        <v>153375.349459443</v>
      </c>
      <c r="S33" s="14" t="n">
        <f aca="false">IF($A33&lt;2,"",VLOOKUP($A33,All_Data,S$69,0))</f>
        <v>99996.3738065691</v>
      </c>
      <c r="T33" s="15" t="n">
        <f aca="false">IF($A33&lt;2,"",VLOOKUP($A33,All_Data,T$69,0))</f>
        <v>21496.0878825209</v>
      </c>
      <c r="U33" s="15" t="n">
        <f aca="false">IF($A33&lt;2,"",VLOOKUP($A33,All_Data,U$69,0))</f>
        <v>14693.7939770559</v>
      </c>
      <c r="V33" s="15" t="n">
        <f aca="false">IF($A33&lt;2,"",VLOOKUP($A33,All_Data,V$69,0))</f>
        <v>2873.91432592631</v>
      </c>
      <c r="W33" s="15" t="n">
        <f aca="false">IF($A33&lt;2,"",VLOOKUP($A33,All_Data,W$69,0))</f>
        <v>6302.47404975616</v>
      </c>
      <c r="X33" s="15" t="n">
        <f aca="false">IF($A33&lt;2,"",VLOOKUP($A33,All_Data,X$69,0))</f>
        <v>2574.78108738843</v>
      </c>
      <c r="Y33" s="15" t="n">
        <f aca="false">IF($A33&lt;2,"",VLOOKUP($A33,All_Data,Y$69,0))</f>
        <v>2052.70272664783</v>
      </c>
      <c r="Z33" s="16" t="n">
        <f aca="false">IF($A33&lt;2,"",VLOOKUP($A33,All_Data,Z$69,0))</f>
        <v>3385.22160357868</v>
      </c>
      <c r="AA33" s="25" t="n">
        <f aca="false">IF(N33=0,,R33/N33*1000)</f>
        <v>1213.57310444422</v>
      </c>
      <c r="AB33" s="26" t="n">
        <f aca="false">IF($A33&lt;2,,VLOOKUP($A33,All_Data,AB$69,0))</f>
        <v>153429.3</v>
      </c>
      <c r="AC33" s="27" t="n">
        <f aca="false">IF(AB33=0,,R33/AB33)</f>
        <v>0.999648368723857</v>
      </c>
    </row>
    <row r="34" customFormat="false" ht="15" hidden="false" customHeight="false" outlineLevel="0" collapsed="false">
      <c r="A34" s="53" t="s">
        <v>51</v>
      </c>
      <c r="B34" s="54" t="str">
        <f aca="false">IF($A34&lt;2,"",VLOOKUP($A34,All_Data,B$69,0))</f>
        <v>West Quito CDP #2</v>
      </c>
      <c r="C34" s="26" t="n">
        <f aca="false">IF($A34&lt;2,"",VLOOKUP($A34,All_Data,C$69,0))</f>
        <v>0</v>
      </c>
      <c r="D34" s="14" t="n">
        <f aca="false">IF($A34&lt;2,"",VLOOKUP($A34,All_Data,D$69,0))</f>
        <v>0</v>
      </c>
      <c r="E34" s="15" t="n">
        <f aca="false">IF($A34&lt;2,"",VLOOKUP($A34,All_Data,E$69,0))</f>
        <v>0</v>
      </c>
      <c r="F34" s="15" t="n">
        <f aca="false">IF($A34&lt;2,"",VLOOKUP($A34,All_Data,F$69,0))</f>
        <v>0</v>
      </c>
      <c r="G34" s="15" t="n">
        <f aca="false">IF($A34&lt;2,"",VLOOKUP($A34,All_Data,G$69,0))</f>
        <v>0</v>
      </c>
      <c r="H34" s="15" t="n">
        <f aca="false">IF($A34&lt;2,"",VLOOKUP($A34,All_Data,H$69,0))</f>
        <v>0</v>
      </c>
      <c r="I34" s="15" t="n">
        <f aca="false">IF($A34&lt;2,"",VLOOKUP($A34,All_Data,I$69,0))</f>
        <v>0</v>
      </c>
      <c r="J34" s="15" t="n">
        <f aca="false">IF($A34&lt;2,"",VLOOKUP($A34,All_Data,J$69,0))</f>
        <v>0</v>
      </c>
      <c r="K34" s="15" t="n">
        <f aca="false">IF($A34&lt;2,"",VLOOKUP($A34,All_Data,K$69,0))</f>
        <v>0</v>
      </c>
      <c r="L34" s="15" t="n">
        <f aca="false">IF($A34&lt;2,"",VLOOKUP($A34,All_Data,L$69,0))</f>
        <v>0</v>
      </c>
      <c r="M34" s="15" t="n">
        <f aca="false">IF($A34&lt;2,"",VLOOKUP($A34,All_Data,M$69,0))</f>
        <v>0</v>
      </c>
      <c r="N34" s="55" t="n">
        <f aca="false">SUM(D34:M34)</f>
        <v>0</v>
      </c>
      <c r="P34" s="56" t="str">
        <f aca="false">IF(A34&lt;2,"",A34)</f>
        <v>2.05.5</v>
      </c>
      <c r="Q34" s="57" t="str">
        <f aca="false">IF($A34&lt;2,"",VLOOKUP($A34,All_Data,Q$69,0))</f>
        <v>West Quito CDP #2</v>
      </c>
      <c r="R34" s="26" t="n">
        <f aca="false">SUM(S34:Z34)</f>
        <v>0</v>
      </c>
      <c r="S34" s="14" t="n">
        <f aca="false">IF($A34&lt;2,"",VLOOKUP($A34,All_Data,S$69,0))</f>
        <v>0</v>
      </c>
      <c r="T34" s="15" t="n">
        <f aca="false">IF($A34&lt;2,"",VLOOKUP($A34,All_Data,T$69,0))</f>
        <v>0</v>
      </c>
      <c r="U34" s="15" t="n">
        <f aca="false">IF($A34&lt;2,"",VLOOKUP($A34,All_Data,U$69,0))</f>
        <v>0</v>
      </c>
      <c r="V34" s="15" t="n">
        <f aca="false">IF($A34&lt;2,"",VLOOKUP($A34,All_Data,V$69,0))</f>
        <v>0</v>
      </c>
      <c r="W34" s="15" t="n">
        <f aca="false">IF($A34&lt;2,"",VLOOKUP($A34,All_Data,W$69,0))</f>
        <v>0</v>
      </c>
      <c r="X34" s="15" t="n">
        <f aca="false">IF($A34&lt;2,"",VLOOKUP($A34,All_Data,X$69,0))</f>
        <v>0</v>
      </c>
      <c r="Y34" s="15" t="n">
        <f aca="false">IF($A34&lt;2,"",VLOOKUP($A34,All_Data,Y$69,0))</f>
        <v>0</v>
      </c>
      <c r="Z34" s="16" t="n">
        <f aca="false">IF($A34&lt;2,"",VLOOKUP($A34,All_Data,Z$69,0))</f>
        <v>0</v>
      </c>
      <c r="AA34" s="25" t="n">
        <f aca="false">IF(N34=0,,R34/N34*1000)</f>
        <v>0</v>
      </c>
      <c r="AB34" s="26" t="n">
        <f aca="false">IF($A34&lt;2,,VLOOKUP($A34,All_Data,AB$69,0))</f>
        <v>0</v>
      </c>
      <c r="AC34" s="27" t="n">
        <f aca="false">IF(AB34=0,,R34/AB34)</f>
        <v>0</v>
      </c>
    </row>
    <row r="35" customFormat="false" ht="15" hidden="false" customHeight="false" outlineLevel="0" collapsed="false">
      <c r="A35" s="53" t="s">
        <v>52</v>
      </c>
      <c r="B35" s="54" t="str">
        <f aca="false">IF($A35&lt;2,"",VLOOKUP($A35,All_Data,B$69,0))</f>
        <v>University CDP MTR #1</v>
      </c>
      <c r="C35" s="26" t="n">
        <f aca="false">IF($A35&lt;2,"",VLOOKUP($A35,All_Data,C$69,0))</f>
        <v>14399.14</v>
      </c>
      <c r="D35" s="14" t="n">
        <f aca="false">IF($A35&lt;2,"",VLOOKUP($A35,All_Data,D$69,0))</f>
        <v>37.2937726</v>
      </c>
      <c r="E35" s="15" t="n">
        <f aca="false">IF($A35&lt;2,"",VLOOKUP($A35,All_Data,E$69,0))</f>
        <v>202.307917</v>
      </c>
      <c r="F35" s="15" t="n">
        <f aca="false">IF($A35&lt;2,"",VLOOKUP($A35,All_Data,F$69,0))</f>
        <v>10099.556796</v>
      </c>
      <c r="G35" s="15" t="n">
        <f aca="false">IF($A35&lt;2,"",VLOOKUP($A35,All_Data,G$69,0))</f>
        <v>1846.9776878</v>
      </c>
      <c r="H35" s="15" t="n">
        <f aca="false">IF($A35&lt;2,"",VLOOKUP($A35,All_Data,H$69,0))</f>
        <v>1238.1820486</v>
      </c>
      <c r="I35" s="15" t="n">
        <f aca="false">IF($A35&lt;2,"",VLOOKUP($A35,All_Data,I$69,0))</f>
        <v>143.4154344</v>
      </c>
      <c r="J35" s="15" t="n">
        <f aca="false">IF($A35&lt;2,"",VLOOKUP($A35,All_Data,J$69,0))</f>
        <v>459.7645402</v>
      </c>
      <c r="K35" s="15" t="n">
        <f aca="false">IF($A35&lt;2,"",VLOOKUP($A35,All_Data,K$69,0))</f>
        <v>96.6182294</v>
      </c>
      <c r="L35" s="15" t="n">
        <f aca="false">IF($A35&lt;2,"",VLOOKUP($A35,All_Data,L$69,0))</f>
        <v>115.6250942</v>
      </c>
      <c r="M35" s="15" t="n">
        <f aca="false">IF($A35&lt;2,"",VLOOKUP($A35,All_Data,M$69,0))</f>
        <v>159.3984798</v>
      </c>
      <c r="N35" s="55" t="n">
        <f aca="false">SUM(D35:M35)</f>
        <v>14399.14</v>
      </c>
      <c r="P35" s="56" t="str">
        <f aca="false">IF(A35&lt;2,"",A35)</f>
        <v>2.07.1</v>
      </c>
      <c r="Q35" s="57" t="str">
        <f aca="false">IF($A35&lt;2,"",VLOOKUP($A35,All_Data,Q$69,0))</f>
        <v>University CDP MTR #1</v>
      </c>
      <c r="R35" s="26" t="n">
        <f aca="false">SUM(S35:Z35)</f>
        <v>20251.5507031505</v>
      </c>
      <c r="S35" s="14" t="n">
        <f aca="false">IF($A35&lt;2,"",VLOOKUP($A35,All_Data,S$69,0))</f>
        <v>10217.0251150523</v>
      </c>
      <c r="T35" s="15" t="n">
        <f aca="false">IF($A35&lt;2,"",VLOOKUP($A35,All_Data,T$69,0))</f>
        <v>3274.07335148365</v>
      </c>
      <c r="U35" s="15" t="n">
        <f aca="false">IF($A35&lt;2,"",VLOOKUP($A35,All_Data,U$69,0))</f>
        <v>3120.51018914474</v>
      </c>
      <c r="V35" s="15" t="n">
        <f aca="false">IF($A35&lt;2,"",VLOOKUP($A35,All_Data,V$69,0))</f>
        <v>467.140640595807</v>
      </c>
      <c r="W35" s="15" t="n">
        <f aca="false">IF($A35&lt;2,"",VLOOKUP($A35,All_Data,W$69,0))</f>
        <v>1502.37484186065</v>
      </c>
      <c r="X35" s="15" t="n">
        <f aca="false">IF($A35&lt;2,"",VLOOKUP($A35,All_Data,X$69,0))</f>
        <v>387.201222903461</v>
      </c>
      <c r="Y35" s="15" t="n">
        <f aca="false">IF($A35&lt;2,"",VLOOKUP($A35,All_Data,Y$69,0))</f>
        <v>464.278158580281</v>
      </c>
      <c r="Z35" s="16" t="n">
        <f aca="false">IF($A35&lt;2,"",VLOOKUP($A35,All_Data,Z$69,0))</f>
        <v>818.947183529561</v>
      </c>
      <c r="AA35" s="25" t="n">
        <f aca="false">IF(N35=0,,R35/N35*1000)</f>
        <v>1406.44168354155</v>
      </c>
      <c r="AB35" s="26" t="n">
        <f aca="false">IF($A35&lt;2,,VLOOKUP($A35,All_Data,AB$69,0))</f>
        <v>20187.6</v>
      </c>
      <c r="AC35" s="27" t="n">
        <f aca="false">IF(AB35=0,,R35/AB35)</f>
        <v>1.00316782099658</v>
      </c>
    </row>
    <row r="36" customFormat="false" ht="15" hidden="false" customHeight="false" outlineLevel="0" collapsed="false">
      <c r="A36" s="53" t="s">
        <v>53</v>
      </c>
      <c r="B36" s="54" t="str">
        <f aca="false">IF($A36&lt;2,"",VLOOKUP($A36,All_Data,B$69,0))</f>
        <v>US Energy 4320 CDP</v>
      </c>
      <c r="C36" s="26" t="n">
        <f aca="false">IF($A36&lt;2,"",VLOOKUP($A36,All_Data,C$69,0))</f>
        <v>29648.04</v>
      </c>
      <c r="D36" s="14" t="n">
        <f aca="false">IF($A36&lt;2,"",VLOOKUP($A36,All_Data,D$69,0))</f>
        <v>95.1702084</v>
      </c>
      <c r="E36" s="15" t="n">
        <f aca="false">IF($A36&lt;2,"",VLOOKUP($A36,All_Data,E$69,0))</f>
        <v>382.7561964</v>
      </c>
      <c r="F36" s="15" t="n">
        <f aca="false">IF($A36&lt;2,"",VLOOKUP($A36,All_Data,F$69,0))</f>
        <v>20858.878542</v>
      </c>
      <c r="G36" s="15" t="n">
        <f aca="false">IF($A36&lt;2,"",VLOOKUP($A36,All_Data,G$69,0))</f>
        <v>3746.6228148</v>
      </c>
      <c r="H36" s="15" t="n">
        <f aca="false">IF($A36&lt;2,"",VLOOKUP($A36,All_Data,H$69,0))</f>
        <v>2459.0084376</v>
      </c>
      <c r="I36" s="15" t="n">
        <f aca="false">IF($A36&lt;2,"",VLOOKUP($A36,All_Data,I$69,0))</f>
        <v>293.2191156</v>
      </c>
      <c r="J36" s="15" t="n">
        <f aca="false">IF($A36&lt;2,"",VLOOKUP($A36,All_Data,J$69,0))</f>
        <v>929.1695736</v>
      </c>
      <c r="K36" s="15" t="n">
        <f aca="false">IF($A36&lt;2,"",VLOOKUP($A36,All_Data,K$69,0))</f>
        <v>215.8377312</v>
      </c>
      <c r="L36" s="15" t="n">
        <f aca="false">IF($A36&lt;2,"",VLOOKUP($A36,All_Data,L$69,0))</f>
        <v>266.83236</v>
      </c>
      <c r="M36" s="15" t="n">
        <f aca="false">IF($A36&lt;2,"",VLOOKUP($A36,All_Data,M$69,0))</f>
        <v>400.5450204</v>
      </c>
      <c r="N36" s="55" t="n">
        <f aca="false">SUM(D36:M36)</f>
        <v>29648.04</v>
      </c>
      <c r="P36" s="56" t="str">
        <f aca="false">IF(A36&lt;2,"",A36)</f>
        <v>2.07.2</v>
      </c>
      <c r="Q36" s="57" t="str">
        <f aca="false">IF($A36&lt;2,"",VLOOKUP($A36,All_Data,Q$69,0))</f>
        <v>US Energy 4320 CDP</v>
      </c>
      <c r="R36" s="26" t="n">
        <f aca="false">SUM(S36:Z36)</f>
        <v>41929.3356722191</v>
      </c>
      <c r="S36" s="14" t="n">
        <f aca="false">IF($A36&lt;2,"",VLOOKUP($A36,All_Data,S$69,0))</f>
        <v>21103.2065099464</v>
      </c>
      <c r="T36" s="15" t="n">
        <f aca="false">IF($A36&lt;2,"",VLOOKUP($A36,All_Data,T$69,0))</f>
        <v>6642.04904057424</v>
      </c>
      <c r="U36" s="15" t="n">
        <f aca="false">IF($A36&lt;2,"",VLOOKUP($A36,All_Data,U$69,0))</f>
        <v>6197.78446569081</v>
      </c>
      <c r="V36" s="15" t="n">
        <f aca="false">IF($A36&lt;2,"",VLOOKUP($A36,All_Data,V$69,0))</f>
        <v>955.167170585864</v>
      </c>
      <c r="W36" s="15" t="n">
        <f aca="false">IF($A36&lt;2,"",VLOOKUP($A36,All_Data,W$69,0))</f>
        <v>3036.49910973349</v>
      </c>
      <c r="X36" s="15" t="n">
        <f aca="false">IF($A36&lt;2,"",VLOOKUP($A36,All_Data,X$69,0))</f>
        <v>865.048308960921</v>
      </c>
      <c r="Y36" s="15" t="n">
        <f aca="false">IF($A36&lt;2,"",VLOOKUP($A36,All_Data,Y$69,0))</f>
        <v>1071.51930400451</v>
      </c>
      <c r="Z36" s="16" t="n">
        <f aca="false">IF($A36&lt;2,"",VLOOKUP($A36,All_Data,Z$69,0))</f>
        <v>2058.06176272282</v>
      </c>
      <c r="AA36" s="25" t="n">
        <f aca="false">IF(N36=0,,R36/N36*1000)</f>
        <v>1414.23634318556</v>
      </c>
      <c r="AB36" s="26" t="n">
        <f aca="false">IF($A36&lt;2,,VLOOKUP($A36,All_Data,AB$69,0))</f>
        <v>46488.12</v>
      </c>
      <c r="AC36" s="27" t="n">
        <f aca="false">IF(AB36=0,,R36/AB36)</f>
        <v>0.901936573735808</v>
      </c>
    </row>
    <row r="37" customFormat="false" ht="15" hidden="false" customHeight="false" outlineLevel="0" collapsed="false">
      <c r="A37" s="53" t="s">
        <v>54</v>
      </c>
      <c r="B37" s="54" t="str">
        <f aca="false">IF($A37&lt;2,"",VLOOKUP($A37,All_Data,B$69,0))</f>
        <v>Nailed It B CDP</v>
      </c>
      <c r="C37" s="26" t="n">
        <f aca="false">IF($A37&lt;2,"",VLOOKUP($A37,All_Data,C$69,0))</f>
        <v>786056.19</v>
      </c>
      <c r="D37" s="14" t="n">
        <f aca="false">IF($A37&lt;2,"",VLOOKUP($A37,All_Data,D$69,0))</f>
        <v>1139.7814755</v>
      </c>
      <c r="E37" s="15" t="n">
        <f aca="false">IF($A37&lt;2,"",VLOOKUP($A37,All_Data,E$69,0))</f>
        <v>7561.8605478</v>
      </c>
      <c r="F37" s="15" t="n">
        <f aca="false">IF($A37&lt;2,"",VLOOKUP($A37,All_Data,F$69,0))</f>
        <v>617211.320388</v>
      </c>
      <c r="G37" s="15" t="n">
        <f aca="false">IF($A37&lt;2,"",VLOOKUP($A37,All_Data,G$69,0))</f>
        <v>88989.4212699</v>
      </c>
      <c r="H37" s="15" t="n">
        <f aca="false">IF($A37&lt;2,"",VLOOKUP($A37,All_Data,H$69,0))</f>
        <v>40474.0332231</v>
      </c>
      <c r="I37" s="15" t="n">
        <f aca="false">IF($A37&lt;2,"",VLOOKUP($A37,All_Data,I$69,0))</f>
        <v>6312.0312057</v>
      </c>
      <c r="J37" s="15" t="n">
        <f aca="false">IF($A37&lt;2,"",VLOOKUP($A37,All_Data,J$69,0))</f>
        <v>13708.8199536</v>
      </c>
      <c r="K37" s="15" t="n">
        <f aca="false">IF($A37&lt;2,"",VLOOKUP($A37,All_Data,K$69,0))</f>
        <v>4181.8189308</v>
      </c>
      <c r="L37" s="15" t="n">
        <f aca="false">IF($A37&lt;2,"",VLOOKUP($A37,All_Data,L$69,0))</f>
        <v>3529.3922931</v>
      </c>
      <c r="M37" s="15" t="n">
        <f aca="false">IF($A37&lt;2,"",VLOOKUP($A37,All_Data,M$69,0))</f>
        <v>2947.7107125</v>
      </c>
      <c r="N37" s="55" t="n">
        <f aca="false">SUM(D37:M37)</f>
        <v>786056.19</v>
      </c>
      <c r="P37" s="56" t="str">
        <f aca="false">IF(A37&lt;2,"",A37)</f>
        <v>2.10.10</v>
      </c>
      <c r="Q37" s="57" t="str">
        <f aca="false">IF($A37&lt;2,"",VLOOKUP($A37,All_Data,Q$69,0))</f>
        <v>Nailed It B CDP</v>
      </c>
      <c r="R37" s="26" t="n">
        <f aca="false">SUM(S37:Z37)</f>
        <v>994427.428902799</v>
      </c>
      <c r="S37" s="14" t="n">
        <f aca="false">IF($A37&lt;2,"",VLOOKUP($A37,All_Data,S$69,0))</f>
        <v>623670.946653121</v>
      </c>
      <c r="T37" s="15" t="n">
        <f aca="false">IF($A37&lt;2,"",VLOOKUP($A37,All_Data,T$69,0))</f>
        <v>157566.766772134</v>
      </c>
      <c r="U37" s="15" t="n">
        <f aca="false">IF($A37&lt;2,"",VLOOKUP($A37,All_Data,U$69,0))</f>
        <v>101886.600191137</v>
      </c>
      <c r="V37" s="15" t="n">
        <f aca="false">IF($A37&lt;2,"",VLOOKUP($A37,All_Data,V$69,0))</f>
        <v>20536.2140164107</v>
      </c>
      <c r="W37" s="15" t="n">
        <f aca="false">IF($A37&lt;2,"",VLOOKUP($A37,All_Data,W$69,0))</f>
        <v>44744.7810581489</v>
      </c>
      <c r="X37" s="15" t="n">
        <f aca="false">IF($A37&lt;2,"",VLOOKUP($A37,All_Data,X$69,0))</f>
        <v>16739.4951256046</v>
      </c>
      <c r="Y37" s="15" t="n">
        <f aca="false">IF($A37&lt;2,"",VLOOKUP($A37,All_Data,Y$69,0))</f>
        <v>14155.5116600371</v>
      </c>
      <c r="Z37" s="16" t="n">
        <f aca="false">IF($A37&lt;2,"",VLOOKUP($A37,All_Data,Z$69,0))</f>
        <v>15127.113426206</v>
      </c>
      <c r="AA37" s="25" t="n">
        <f aca="false">IF(N37=0,,R37/N37*1000)</f>
        <v>1265.08440688292</v>
      </c>
      <c r="AB37" s="26" t="n">
        <f aca="false">IF($A37&lt;2,,VLOOKUP($A37,All_Data,AB$69,0))</f>
        <v>1024231.22</v>
      </c>
      <c r="AC37" s="27" t="n">
        <f aca="false">IF(AB37=0,,R37/AB37)</f>
        <v>0.970901305764532</v>
      </c>
    </row>
    <row r="38" customFormat="false" ht="15" hidden="false" customHeight="false" outlineLevel="0" collapsed="false">
      <c r="A38" s="53" t="s">
        <v>55</v>
      </c>
      <c r="B38" s="54" t="str">
        <f aca="false">IF($A38&lt;2,"",VLOOKUP($A38,All_Data,B$69,0))</f>
        <v>Cypress 33 B CDP MTR #1</v>
      </c>
      <c r="C38" s="26" t="n">
        <f aca="false">IF($A38&lt;2,"",VLOOKUP($A38,All_Data,C$69,0))</f>
        <v>0</v>
      </c>
      <c r="D38" s="14" t="n">
        <f aca="false">IF($A38&lt;2,"",VLOOKUP($A38,All_Data,D$69,0))</f>
        <v>0</v>
      </c>
      <c r="E38" s="15" t="n">
        <f aca="false">IF($A38&lt;2,"",VLOOKUP($A38,All_Data,E$69,0))</f>
        <v>0</v>
      </c>
      <c r="F38" s="15" t="n">
        <f aca="false">IF($A38&lt;2,"",VLOOKUP($A38,All_Data,F$69,0))</f>
        <v>0</v>
      </c>
      <c r="G38" s="15" t="n">
        <f aca="false">IF($A38&lt;2,"",VLOOKUP($A38,All_Data,G$69,0))</f>
        <v>0</v>
      </c>
      <c r="H38" s="15" t="n">
        <f aca="false">IF($A38&lt;2,"",VLOOKUP($A38,All_Data,H$69,0))</f>
        <v>0</v>
      </c>
      <c r="I38" s="15" t="n">
        <f aca="false">IF($A38&lt;2,"",VLOOKUP($A38,All_Data,I$69,0))</f>
        <v>0</v>
      </c>
      <c r="J38" s="15" t="n">
        <f aca="false">IF($A38&lt;2,"",VLOOKUP($A38,All_Data,J$69,0))</f>
        <v>0</v>
      </c>
      <c r="K38" s="15" t="n">
        <f aca="false">IF($A38&lt;2,"",VLOOKUP($A38,All_Data,K$69,0))</f>
        <v>0</v>
      </c>
      <c r="L38" s="15" t="n">
        <f aca="false">IF($A38&lt;2,"",VLOOKUP($A38,All_Data,L$69,0))</f>
        <v>0</v>
      </c>
      <c r="M38" s="15" t="n">
        <f aca="false">IF($A38&lt;2,"",VLOOKUP($A38,All_Data,M$69,0))</f>
        <v>0</v>
      </c>
      <c r="N38" s="55" t="n">
        <f aca="false">SUM(D38:M38)</f>
        <v>0</v>
      </c>
      <c r="P38" s="56" t="str">
        <f aca="false">IF(A38&lt;2,"",A38)</f>
        <v>2.10.11</v>
      </c>
      <c r="Q38" s="57" t="str">
        <f aca="false">IF($A38&lt;2,"",VLOOKUP($A38,All_Data,Q$69,0))</f>
        <v>Cypress 33 B CDP MTR #1</v>
      </c>
      <c r="R38" s="26" t="n">
        <f aca="false">SUM(S38:Z38)</f>
        <v>0</v>
      </c>
      <c r="S38" s="14" t="n">
        <f aca="false">IF($A38&lt;2,"",VLOOKUP($A38,All_Data,S$69,0))</f>
        <v>0</v>
      </c>
      <c r="T38" s="15" t="n">
        <f aca="false">IF($A38&lt;2,"",VLOOKUP($A38,All_Data,T$69,0))</f>
        <v>0</v>
      </c>
      <c r="U38" s="15" t="n">
        <f aca="false">IF($A38&lt;2,"",VLOOKUP($A38,All_Data,U$69,0))</f>
        <v>0</v>
      </c>
      <c r="V38" s="15" t="n">
        <f aca="false">IF($A38&lt;2,"",VLOOKUP($A38,All_Data,V$69,0))</f>
        <v>0</v>
      </c>
      <c r="W38" s="15" t="n">
        <f aca="false">IF($A38&lt;2,"",VLOOKUP($A38,All_Data,W$69,0))</f>
        <v>0</v>
      </c>
      <c r="X38" s="15" t="n">
        <f aca="false">IF($A38&lt;2,"",VLOOKUP($A38,All_Data,X$69,0))</f>
        <v>0</v>
      </c>
      <c r="Y38" s="15" t="n">
        <f aca="false">IF($A38&lt;2,"",VLOOKUP($A38,All_Data,Y$69,0))</f>
        <v>0</v>
      </c>
      <c r="Z38" s="16" t="n">
        <f aca="false">IF($A38&lt;2,"",VLOOKUP($A38,All_Data,Z$69,0))</f>
        <v>0</v>
      </c>
      <c r="AA38" s="25" t="n">
        <f aca="false">IF(N38=0,,R38/N38*1000)</f>
        <v>0</v>
      </c>
      <c r="AB38" s="26" t="n">
        <f aca="false">IF($A38&lt;2,,VLOOKUP($A38,All_Data,AB$69,0))</f>
        <v>0</v>
      </c>
      <c r="AC38" s="27" t="n">
        <f aca="false">IF(AB38=0,,R38/AB38)</f>
        <v>0</v>
      </c>
    </row>
    <row r="39" customFormat="false" ht="15" hidden="false" customHeight="false" outlineLevel="0" collapsed="false">
      <c r="A39" s="53" t="s">
        <v>56</v>
      </c>
      <c r="B39" s="54" t="str">
        <f aca="false">IF($A39&lt;2,"",VLOOKUP($A39,All_Data,B$69,0))</f>
        <v>Cypress 33 B CDP MTR #2</v>
      </c>
      <c r="C39" s="26" t="n">
        <f aca="false">IF($A39&lt;2,"",VLOOKUP($A39,All_Data,C$69,0))</f>
        <v>325254.55</v>
      </c>
      <c r="D39" s="14" t="n">
        <f aca="false">IF($A39&lt;2,"",VLOOKUP($A39,All_Data,D$69,0))</f>
        <v>5047.950616</v>
      </c>
      <c r="E39" s="15" t="n">
        <f aca="false">IF($A39&lt;2,"",VLOOKUP($A39,All_Data,E$69,0))</f>
        <v>3896.549509</v>
      </c>
      <c r="F39" s="15" t="n">
        <f aca="false">IF($A39&lt;2,"",VLOOKUP($A39,All_Data,F$69,0))</f>
        <v>253932.732276</v>
      </c>
      <c r="G39" s="15" t="n">
        <f aca="false">IF($A39&lt;2,"",VLOOKUP($A39,All_Data,G$69,0))</f>
        <v>35205.552492</v>
      </c>
      <c r="H39" s="15" t="n">
        <f aca="false">IF($A39&lt;2,"",VLOOKUP($A39,All_Data,H$69,0))</f>
        <v>15547.16749</v>
      </c>
      <c r="I39" s="15" t="n">
        <f aca="false">IF($A39&lt;2,"",VLOOKUP($A39,All_Data,I$69,0))</f>
        <v>2182.4580305</v>
      </c>
      <c r="J39" s="15" t="n">
        <f aca="false">IF($A39&lt;2,"",VLOOKUP($A39,All_Data,J$69,0))</f>
        <v>4872.313159</v>
      </c>
      <c r="K39" s="15" t="n">
        <f aca="false">IF($A39&lt;2,"",VLOOKUP($A39,All_Data,K$69,0))</f>
        <v>1200.1892895</v>
      </c>
      <c r="L39" s="15" t="n">
        <f aca="false">IF($A39&lt;2,"",VLOOKUP($A39,All_Data,L$69,0))</f>
        <v>1320.533473</v>
      </c>
      <c r="M39" s="15" t="n">
        <f aca="false">IF($A39&lt;2,"",VLOOKUP($A39,All_Data,M$69,0))</f>
        <v>2049.103665</v>
      </c>
      <c r="N39" s="55" t="n">
        <f aca="false">SUM(D39:M39)</f>
        <v>325254.55</v>
      </c>
      <c r="P39" s="56" t="str">
        <f aca="false">IF(A39&lt;2,"",A39)</f>
        <v>2.10.12</v>
      </c>
      <c r="Q39" s="57" t="str">
        <f aca="false">IF($A39&lt;2,"",VLOOKUP($A39,All_Data,Q$69,0))</f>
        <v>Cypress 33 B CDP MTR #2</v>
      </c>
      <c r="R39" s="26" t="n">
        <f aca="false">SUM(S39:Z39)</f>
        <v>401667.184518824</v>
      </c>
      <c r="S39" s="14" t="n">
        <f aca="false">IF($A39&lt;2,"",VLOOKUP($A39,All_Data,S$69,0))</f>
        <v>256580.04258566</v>
      </c>
      <c r="T39" s="15" t="n">
        <f aca="false">IF($A39&lt;2,"",VLOOKUP($A39,All_Data,T$69,0))</f>
        <v>62333.2774329332</v>
      </c>
      <c r="U39" s="15" t="n">
        <f aca="false">IF($A39&lt;2,"",VLOOKUP($A39,All_Data,U$69,0))</f>
        <v>39135.8184909251</v>
      </c>
      <c r="V39" s="15" t="n">
        <f aca="false">IF($A39&lt;2,"",VLOOKUP($A39,All_Data,V$69,0))</f>
        <v>7100.3491026557</v>
      </c>
      <c r="W39" s="15" t="n">
        <f aca="false">IF($A39&lt;2,"",VLOOKUP($A39,All_Data,W$69,0))</f>
        <v>15902.3045232456</v>
      </c>
      <c r="X39" s="15" t="n">
        <f aca="false">IF($A39&lt;2,"",VLOOKUP($A39,All_Data,X$69,0))</f>
        <v>4804.07119335916</v>
      </c>
      <c r="Y39" s="15" t="n">
        <f aca="false">IF($A39&lt;2,"",VLOOKUP($A39,All_Data,Y$69,0))</f>
        <v>5296.11747847767</v>
      </c>
      <c r="Z39" s="16" t="n">
        <f aca="false">IF($A39&lt;2,"",VLOOKUP($A39,All_Data,Z$69,0))</f>
        <v>10515.2037115677</v>
      </c>
      <c r="AA39" s="25" t="n">
        <f aca="false">IF(N39=0,,R39/N39*1000)</f>
        <v>1234.93179271074</v>
      </c>
      <c r="AB39" s="26" t="n">
        <f aca="false">IF($A39&lt;2,,VLOOKUP($A39,All_Data,AB$69,0))</f>
        <v>417952.1</v>
      </c>
      <c r="AC39" s="27" t="n">
        <f aca="false">IF(AB39=0,,R39/AB39)</f>
        <v>0.961036407087855</v>
      </c>
    </row>
    <row r="40" customFormat="false" ht="15" hidden="false" customHeight="false" outlineLevel="0" collapsed="false">
      <c r="A40" s="53" t="s">
        <v>57</v>
      </c>
      <c r="B40" s="54" t="str">
        <f aca="false">IF($A40&lt;2,"",VLOOKUP($A40,All_Data,B$69,0))</f>
        <v>Money Graham B CDP</v>
      </c>
      <c r="C40" s="26" t="n">
        <f aca="false">IF($A40&lt;2,"",VLOOKUP($A40,All_Data,C$69,0))</f>
        <v>166498.74</v>
      </c>
      <c r="D40" s="14" t="n">
        <f aca="false">IF($A40&lt;2,"",VLOOKUP($A40,All_Data,D$69,0))</f>
        <v>682.644834</v>
      </c>
      <c r="E40" s="15" t="n">
        <f aca="false">IF($A40&lt;2,"",VLOOKUP($A40,All_Data,E$69,0))</f>
        <v>1451.8690128</v>
      </c>
      <c r="F40" s="15" t="n">
        <f aca="false">IF($A40&lt;2,"",VLOOKUP($A40,All_Data,F$69,0))</f>
        <v>115684.9895394</v>
      </c>
      <c r="G40" s="15" t="n">
        <f aca="false">IF($A40&lt;2,"",VLOOKUP($A40,All_Data,G$69,0))</f>
        <v>24393.7303974</v>
      </c>
      <c r="H40" s="15" t="n">
        <f aca="false">IF($A40&lt;2,"",VLOOKUP($A40,All_Data,H$69,0))</f>
        <v>14258.9520936</v>
      </c>
      <c r="I40" s="15" t="n">
        <f aca="false">IF($A40&lt;2,"",VLOOKUP($A40,All_Data,I$69,0))</f>
        <v>2151.1637208</v>
      </c>
      <c r="J40" s="15" t="n">
        <f aca="false">IF($A40&lt;2,"",VLOOKUP($A40,All_Data,J$69,0))</f>
        <v>4911.71283</v>
      </c>
      <c r="K40" s="15" t="n">
        <f aca="false">IF($A40&lt;2,"",VLOOKUP($A40,All_Data,K$69,0))</f>
        <v>990.667503</v>
      </c>
      <c r="L40" s="15" t="n">
        <f aca="false">IF($A40&lt;2,"",VLOOKUP($A40,All_Data,L$69,0))</f>
        <v>850.8085614</v>
      </c>
      <c r="M40" s="15" t="n">
        <f aca="false">IF($A40&lt;2,"",VLOOKUP($A40,All_Data,M$69,0))</f>
        <v>1122.2015076</v>
      </c>
      <c r="N40" s="55" t="n">
        <f aca="false">SUM(D40:M40)</f>
        <v>166498.74</v>
      </c>
      <c r="P40" s="56" t="str">
        <f aca="false">IF(A40&lt;2,"",A40)</f>
        <v>2.10.13</v>
      </c>
      <c r="Q40" s="57" t="str">
        <f aca="false">IF($A40&lt;2,"",VLOOKUP($A40,All_Data,Q$69,0))</f>
        <v>Money Graham B CDP</v>
      </c>
      <c r="R40" s="26" t="n">
        <f aca="false">SUM(S40:Z40)</f>
        <v>232389.445723414</v>
      </c>
      <c r="S40" s="14" t="n">
        <f aca="false">IF($A40&lt;2,"",VLOOKUP($A40,All_Data,S$69,0))</f>
        <v>117016.497058881</v>
      </c>
      <c r="T40" s="15" t="n">
        <f aca="false">IF($A40&lt;2,"",VLOOKUP($A40,All_Data,T$69,0))</f>
        <v>43236.7370931698</v>
      </c>
      <c r="U40" s="15" t="n">
        <f aca="false">IF($A40&lt;2,"",VLOOKUP($A40,All_Data,U$69,0))</f>
        <v>35931.6075869863</v>
      </c>
      <c r="V40" s="15" t="n">
        <f aca="false">IF($A40&lt;2,"",VLOOKUP($A40,All_Data,V$69,0))</f>
        <v>7006.04884128752</v>
      </c>
      <c r="W40" s="15" t="n">
        <f aca="false">IF($A40&lt;2,"",VLOOKUP($A40,All_Data,W$69,0))</f>
        <v>16048.1041171055</v>
      </c>
      <c r="X40" s="15" t="n">
        <f aca="false">IF($A40&lt;2,"",VLOOKUP($A40,All_Data,X$69,0))</f>
        <v>3969.66171887837</v>
      </c>
      <c r="Y40" s="15" t="n">
        <f aca="false">IF($A40&lt;2,"",VLOOKUP($A40,All_Data,Y$69,0))</f>
        <v>3415.90623912779</v>
      </c>
      <c r="Z40" s="16" t="n">
        <f aca="false">IF($A40&lt;2,"",VLOOKUP($A40,All_Data,Z$69,0))</f>
        <v>5764.88306797825</v>
      </c>
      <c r="AA40" s="25" t="n">
        <f aca="false">IF(N40=0,,R40/N40*1000)</f>
        <v>1395.74296912646</v>
      </c>
      <c r="AB40" s="26" t="n">
        <f aca="false">IF($A40&lt;2,,VLOOKUP($A40,All_Data,AB$69,0))</f>
        <v>223957.45</v>
      </c>
      <c r="AC40" s="27" t="n">
        <f aca="false">IF(AB40=0,,R40/AB40)</f>
        <v>1.03764998986823</v>
      </c>
    </row>
    <row r="41" customFormat="false" ht="15" hidden="false" customHeight="false" outlineLevel="0" collapsed="false">
      <c r="A41" s="53" t="s">
        <v>58</v>
      </c>
      <c r="B41" s="54" t="str">
        <f aca="false">IF($A41&lt;2,"",VLOOKUP($A41,All_Data,B$69,0))</f>
        <v>Money Graham A CDP MTR #2</v>
      </c>
      <c r="C41" s="26" t="n">
        <f aca="false">IF($A41&lt;2,"",VLOOKUP($A41,All_Data,C$69,0))</f>
        <v>397018.39</v>
      </c>
      <c r="D41" s="14" t="n">
        <f aca="false">IF($A41&lt;2,"",VLOOKUP($A41,All_Data,D$69,0))</f>
        <v>591.5574011</v>
      </c>
      <c r="E41" s="15" t="n">
        <f aca="false">IF($A41&lt;2,"",VLOOKUP($A41,All_Data,E$69,0))</f>
        <v>3156.2962005</v>
      </c>
      <c r="F41" s="15" t="n">
        <f aca="false">IF($A41&lt;2,"",VLOOKUP($A41,All_Data,F$69,0))</f>
        <v>312941.8055497</v>
      </c>
      <c r="G41" s="15" t="n">
        <f aca="false">IF($A41&lt;2,"",VLOOKUP($A41,All_Data,G$69,0))</f>
        <v>43945.9655891</v>
      </c>
      <c r="H41" s="15" t="n">
        <f aca="false">IF($A41&lt;2,"",VLOOKUP($A41,All_Data,H$69,0))</f>
        <v>19013.2106971</v>
      </c>
      <c r="I41" s="15" t="n">
        <f aca="false">IF($A41&lt;2,"",VLOOKUP($A41,All_Data,I$69,0))</f>
        <v>3013.3695801</v>
      </c>
      <c r="J41" s="15" t="n">
        <f aca="false">IF($A41&lt;2,"",VLOOKUP($A41,All_Data,J$69,0))</f>
        <v>6526.9823316</v>
      </c>
      <c r="K41" s="15" t="n">
        <f aca="false">IF($A41&lt;2,"",VLOOKUP($A41,All_Data,K$69,0))</f>
        <v>1770.7020194</v>
      </c>
      <c r="L41" s="15" t="n">
        <f aca="false">IF($A41&lt;2,"",VLOOKUP($A41,All_Data,L$69,0))</f>
        <v>1981.1217661</v>
      </c>
      <c r="M41" s="15" t="n">
        <f aca="false">IF($A41&lt;2,"",VLOOKUP($A41,All_Data,M$69,0))</f>
        <v>4077.3788653</v>
      </c>
      <c r="N41" s="55" t="n">
        <f aca="false">SUM(D41:M41)</f>
        <v>397018.39</v>
      </c>
      <c r="P41" s="56" t="str">
        <f aca="false">IF(A41&lt;2,"",A41)</f>
        <v>2.10.2</v>
      </c>
      <c r="Q41" s="57" t="str">
        <f aca="false">IF($A41&lt;2,"",VLOOKUP($A41,All_Data,Q$69,0))</f>
        <v>Money Graham A CDP MTR #2</v>
      </c>
      <c r="R41" s="26" t="n">
        <f aca="false">SUM(S41:Z41)</f>
        <v>509033.581033398</v>
      </c>
      <c r="S41" s="14" t="n">
        <f aca="false">IF($A41&lt;2,"",VLOOKUP($A41,All_Data,S$69,0))</f>
        <v>316264.479970973</v>
      </c>
      <c r="T41" s="15" t="n">
        <f aca="false">IF($A41&lt;2,"",VLOOKUP($A41,All_Data,T$69,0))</f>
        <v>77823.4459011716</v>
      </c>
      <c r="U41" s="15" t="n">
        <f aca="false">IF($A41&lt;2,"",VLOOKUP($A41,All_Data,U$69,0))</f>
        <v>47869.7602245388</v>
      </c>
      <c r="V41" s="15" t="n">
        <f aca="false">IF($A41&lt;2,"",VLOOKUP($A41,All_Data,V$69,0))</f>
        <v>9805.47978078922</v>
      </c>
      <c r="W41" s="15" t="n">
        <f aca="false">IF($A41&lt;2,"",VLOOKUP($A41,All_Data,W$69,0))</f>
        <v>21306.8847223421</v>
      </c>
      <c r="X41" s="15" t="n">
        <f aca="false">IF($A41&lt;2,"",VLOOKUP($A41,All_Data,X$69,0))</f>
        <v>7089.04638258049</v>
      </c>
      <c r="Y41" s="15" t="n">
        <f aca="false">IF($A41&lt;2,"",VLOOKUP($A41,All_Data,Y$69,0))</f>
        <v>7946.97803556323</v>
      </c>
      <c r="Z41" s="16" t="n">
        <f aca="false">IF($A41&lt;2,"",VLOOKUP($A41,All_Data,Z$69,0))</f>
        <v>20927.5060154395</v>
      </c>
      <c r="AA41" s="25" t="n">
        <f aca="false">IF(N41=0,,R41/N41*1000)</f>
        <v>1282.14106412904</v>
      </c>
      <c r="AB41" s="26" t="n">
        <f aca="false">IF($A41&lt;2,,VLOOKUP($A41,All_Data,AB$69,0))</f>
        <v>508977.57</v>
      </c>
      <c r="AC41" s="27" t="n">
        <f aca="false">IF(AB41=0,,R41/AB41)</f>
        <v>1.00011004617236</v>
      </c>
    </row>
    <row r="42" customFormat="false" ht="15" hidden="false" customHeight="false" outlineLevel="0" collapsed="false">
      <c r="A42" s="53" t="s">
        <v>59</v>
      </c>
      <c r="B42" s="54" t="str">
        <f aca="false">IF($A42&lt;2,"",VLOOKUP($A42,All_Data,B$69,0))</f>
        <v>Pliny The Elder CDP</v>
      </c>
      <c r="C42" s="26" t="n">
        <f aca="false">IF($A42&lt;2,"",VLOOKUP($A42,All_Data,C$69,0))</f>
        <v>287535.81</v>
      </c>
      <c r="D42" s="14" t="n">
        <f aca="false">IF($A42&lt;2,"",VLOOKUP($A42,All_Data,D$69,0))</f>
        <v>250.1561547</v>
      </c>
      <c r="E42" s="15" t="n">
        <f aca="false">IF($A42&lt;2,"",VLOOKUP($A42,All_Data,E$69,0))</f>
        <v>2835.1030866</v>
      </c>
      <c r="F42" s="15" t="n">
        <f aca="false">IF($A42&lt;2,"",VLOOKUP($A42,All_Data,F$69,0))</f>
        <v>228786.4933008</v>
      </c>
      <c r="G42" s="15" t="n">
        <f aca="false">IF($A42&lt;2,"",VLOOKUP($A42,All_Data,G$69,0))</f>
        <v>32186.7585714</v>
      </c>
      <c r="H42" s="15" t="n">
        <f aca="false">IF($A42&lt;2,"",VLOOKUP($A42,All_Data,H$69,0))</f>
        <v>13879.3535487</v>
      </c>
      <c r="I42" s="15" t="n">
        <f aca="false">IF($A42&lt;2,"",VLOOKUP($A42,All_Data,I$69,0))</f>
        <v>2107.6374873</v>
      </c>
      <c r="J42" s="15" t="n">
        <f aca="false">IF($A42&lt;2,"",VLOOKUP($A42,All_Data,J$69,0))</f>
        <v>4313.03715</v>
      </c>
      <c r="K42" s="15" t="n">
        <f aca="false">IF($A42&lt;2,"",VLOOKUP($A42,All_Data,K$69,0))</f>
        <v>1046.6303484</v>
      </c>
      <c r="L42" s="15" t="n">
        <f aca="false">IF($A42&lt;2,"",VLOOKUP($A42,All_Data,L$69,0))</f>
        <v>1055.2564227</v>
      </c>
      <c r="M42" s="15" t="n">
        <f aca="false">IF($A42&lt;2,"",VLOOKUP($A42,All_Data,M$69,0))</f>
        <v>1075.3839294</v>
      </c>
      <c r="N42" s="55" t="n">
        <f aca="false">SUM(D42:M42)</f>
        <v>287535.81</v>
      </c>
      <c r="P42" s="56" t="str">
        <f aca="false">IF(A42&lt;2,"",A42)</f>
        <v>2.10.4</v>
      </c>
      <c r="Q42" s="57" t="str">
        <f aca="false">IF($A42&lt;2,"",VLOOKUP($A42,All_Data,Q$69,0))</f>
        <v>Pliny The Elder CDP</v>
      </c>
      <c r="R42" s="26" t="n">
        <f aca="false">SUM(S42:Z42)</f>
        <v>357932.808178009</v>
      </c>
      <c r="S42" s="14" t="n">
        <f aca="false">IF($A42&lt;2,"",VLOOKUP($A42,All_Data,S$69,0))</f>
        <v>231146.683993973</v>
      </c>
      <c r="T42" s="15" t="n">
        <f aca="false">IF($A42&lt;2,"",VLOOKUP($A42,All_Data,T$69,0))</f>
        <v>56982.1903323744</v>
      </c>
      <c r="U42" s="15" t="n">
        <f aca="false">IF($A42&lt;2,"",VLOOKUP($A42,All_Data,U$69,0))</f>
        <v>34933.7719680402</v>
      </c>
      <c r="V42" s="15" t="n">
        <f aca="false">IF($A42&lt;2,"",VLOOKUP($A42,All_Data,V$69,0))</f>
        <v>6856.18952686545</v>
      </c>
      <c r="W42" s="15" t="n">
        <f aca="false">IF($A42&lt;2,"",VLOOKUP($A42,All_Data,W$69,0))</f>
        <v>14075.4137265399</v>
      </c>
      <c r="X42" s="15" t="n">
        <f aca="false">IF($A42&lt;2,"",VLOOKUP($A42,All_Data,X$69,0))</f>
        <v>4188.95900267993</v>
      </c>
      <c r="Y42" s="15" t="n">
        <f aca="false">IF($A42&lt;2,"",VLOOKUP($A42,All_Data,Y$69,0))</f>
        <v>4231.74313593831</v>
      </c>
      <c r="Z42" s="16" t="n">
        <f aca="false">IF($A42&lt;2,"",VLOOKUP($A42,All_Data,Z$69,0))</f>
        <v>5517.8564915977</v>
      </c>
      <c r="AA42" s="25" t="n">
        <f aca="false">IF(N42=0,,R42/N42*1000)</f>
        <v>1244.82862909496</v>
      </c>
      <c r="AB42" s="26" t="n">
        <f aca="false">IF($A42&lt;2,,VLOOKUP($A42,All_Data,AB$69,0))</f>
        <v>366895.69</v>
      </c>
      <c r="AC42" s="27" t="n">
        <f aca="false">IF(AB42=0,,R42/AB42)</f>
        <v>0.975571035402484</v>
      </c>
    </row>
    <row r="43" customFormat="false" ht="15" hidden="false" customHeight="false" outlineLevel="0" collapsed="false">
      <c r="A43" s="53" t="s">
        <v>60</v>
      </c>
      <c r="B43" s="54" t="str">
        <f aca="false">IF($A43&lt;2,"",VLOOKUP($A43,All_Data,B$69,0))</f>
        <v>Cypress 34 A CDP</v>
      </c>
      <c r="C43" s="26" t="n">
        <f aca="false">IF($A43&lt;2,"",VLOOKUP($A43,All_Data,C$69,0))</f>
        <v>260982.1</v>
      </c>
      <c r="D43" s="14" t="n">
        <f aca="false">IF($A43&lt;2,"",VLOOKUP($A43,All_Data,D$69,0))</f>
        <v>553.282052</v>
      </c>
      <c r="E43" s="15" t="n">
        <f aca="false">IF($A43&lt;2,"",VLOOKUP($A43,All_Data,E$69,0))</f>
        <v>2411.474604</v>
      </c>
      <c r="F43" s="15" t="n">
        <f aca="false">IF($A43&lt;2,"",VLOOKUP($A43,All_Data,F$69,0))</f>
        <v>208289.81401</v>
      </c>
      <c r="G43" s="15" t="n">
        <f aca="false">IF($A43&lt;2,"",VLOOKUP($A43,All_Data,G$69,0))</f>
        <v>27930.304342</v>
      </c>
      <c r="H43" s="15" t="n">
        <f aca="false">IF($A43&lt;2,"",VLOOKUP($A43,All_Data,H$69,0))</f>
        <v>12057.37302</v>
      </c>
      <c r="I43" s="15" t="n">
        <f aca="false">IF($A43&lt;2,"",VLOOKUP($A43,All_Data,I$69,0))</f>
        <v>1787.727385</v>
      </c>
      <c r="J43" s="15" t="n">
        <f aca="false">IF($A43&lt;2,"",VLOOKUP($A43,All_Data,J$69,0))</f>
        <v>3880.803827</v>
      </c>
      <c r="K43" s="15" t="n">
        <f aca="false">IF($A43&lt;2,"",VLOOKUP($A43,All_Data,K$69,0))</f>
        <v>994.341801</v>
      </c>
      <c r="L43" s="15" t="n">
        <f aca="false">IF($A43&lt;2,"",VLOOKUP($A43,All_Data,L$69,0))</f>
        <v>1085.685536</v>
      </c>
      <c r="M43" s="15" t="n">
        <f aca="false">IF($A43&lt;2,"",VLOOKUP($A43,All_Data,M$69,0))</f>
        <v>1991.293423</v>
      </c>
      <c r="N43" s="55" t="n">
        <f aca="false">SUM(D43:M43)</f>
        <v>260982.1</v>
      </c>
      <c r="P43" s="56" t="str">
        <f aca="false">IF(A43&lt;2,"",A43)</f>
        <v>2.10.5</v>
      </c>
      <c r="Q43" s="57" t="str">
        <f aca="false">IF($A43&lt;2,"",VLOOKUP($A43,All_Data,Q$69,0))</f>
        <v>Cypress 34 A CDP</v>
      </c>
      <c r="R43" s="26" t="n">
        <f aca="false">SUM(S43:Z43)</f>
        <v>327295.658492959</v>
      </c>
      <c r="S43" s="14" t="n">
        <f aca="false">IF($A43&lt;2,"",VLOOKUP($A43,All_Data,S$69,0))</f>
        <v>210458.623800417</v>
      </c>
      <c r="T43" s="15" t="n">
        <f aca="false">IF($A43&lt;2,"",VLOOKUP($A43,All_Data,T$69,0))</f>
        <v>49451.4434556613</v>
      </c>
      <c r="U43" s="15" t="n">
        <f aca="false">IF($A43&lt;2,"",VLOOKUP($A43,All_Data,U$69,0))</f>
        <v>30350.814304838</v>
      </c>
      <c r="V43" s="15" t="n">
        <f aca="false">IF($A43&lt;2,"",VLOOKUP($A43,All_Data,V$69,0))</f>
        <v>5816.06968031571</v>
      </c>
      <c r="W43" s="15" t="n">
        <f aca="false">IF($A43&lt;2,"",VLOOKUP($A43,All_Data,W$69,0))</f>
        <v>12666.0462185793</v>
      </c>
      <c r="X43" s="15" t="n">
        <f aca="false">IF($A43&lt;2,"",VLOOKUP($A43,All_Data,X$69,0))</f>
        <v>3980.06249818099</v>
      </c>
      <c r="Y43" s="15" t="n">
        <f aca="false">IF($A43&lt;2,"",VLOOKUP($A43,All_Data,Y$69,0))</f>
        <v>4354.18376953009</v>
      </c>
      <c r="Z43" s="16" t="n">
        <f aca="false">IF($A43&lt;2,"",VLOOKUP($A43,All_Data,Z$69,0))</f>
        <v>10218.4147654368</v>
      </c>
      <c r="AA43" s="25" t="n">
        <f aca="false">IF(N43=0,,R43/N43*1000)</f>
        <v>1254.09236301248</v>
      </c>
      <c r="AB43" s="26" t="n">
        <f aca="false">IF($A43&lt;2,,VLOOKUP($A43,All_Data,AB$69,0))</f>
        <v>327271.55</v>
      </c>
      <c r="AC43" s="27" t="n">
        <f aca="false">IF(AB43=0,,R43/AB43)</f>
        <v>1.00007366510459</v>
      </c>
    </row>
    <row r="44" customFormat="false" ht="15" hidden="false" customHeight="false" outlineLevel="0" collapsed="false">
      <c r="A44" s="53" t="s">
        <v>61</v>
      </c>
      <c r="B44" s="54" t="str">
        <f aca="false">IF($A44&lt;2,"",VLOOKUP($A44,All_Data,B$69,0))</f>
        <v>Welcome to Golden CDP MTR #1</v>
      </c>
      <c r="C44" s="26" t="n">
        <f aca="false">IF($A44&lt;2,"",VLOOKUP($A44,All_Data,C$69,0))</f>
        <v>390995.13</v>
      </c>
      <c r="D44" s="14" t="n">
        <f aca="false">IF($A44&lt;2,"",VLOOKUP($A44,All_Data,D$69,0))</f>
        <v>645.1419645</v>
      </c>
      <c r="E44" s="15" t="n">
        <f aca="false">IF($A44&lt;2,"",VLOOKUP($A44,All_Data,E$69,0))</f>
        <v>3386.0178258</v>
      </c>
      <c r="F44" s="15" t="n">
        <f aca="false">IF($A44&lt;2,"",VLOOKUP($A44,All_Data,F$69,0))</f>
        <v>301828.6906035</v>
      </c>
      <c r="G44" s="15" t="n">
        <f aca="false">IF($A44&lt;2,"",VLOOKUP($A44,All_Data,G$69,0))</f>
        <v>44542.1652096</v>
      </c>
      <c r="H44" s="15" t="n">
        <f aca="false">IF($A44&lt;2,"",VLOOKUP($A44,All_Data,H$69,0))</f>
        <v>20468.5950555</v>
      </c>
      <c r="I44" s="15" t="n">
        <f aca="false">IF($A44&lt;2,"",VLOOKUP($A44,All_Data,I$69,0))</f>
        <v>3288.2690433</v>
      </c>
      <c r="J44" s="15" t="n">
        <f aca="false">IF($A44&lt;2,"",VLOOKUP($A44,All_Data,J$69,0))</f>
        <v>7323.3387849</v>
      </c>
      <c r="K44" s="15" t="n">
        <f aca="false">IF($A44&lt;2,"",VLOOKUP($A44,All_Data,K$69,0))</f>
        <v>2013.6249195</v>
      </c>
      <c r="L44" s="15" t="n">
        <f aca="false">IF($A44&lt;2,"",VLOOKUP($A44,All_Data,L$69,0))</f>
        <v>2306.871267</v>
      </c>
      <c r="M44" s="15" t="n">
        <f aca="false">IF($A44&lt;2,"",VLOOKUP($A44,All_Data,M$69,0))</f>
        <v>5192.4153264</v>
      </c>
      <c r="N44" s="55" t="n">
        <f aca="false">SUM(D44:M44)</f>
        <v>390995.13</v>
      </c>
      <c r="P44" s="56" t="str">
        <f aca="false">IF(A44&lt;2,"",A44)</f>
        <v>2.10.6</v>
      </c>
      <c r="Q44" s="57" t="str">
        <f aca="false">IF($A44&lt;2,"",VLOOKUP($A44,All_Data,Q$69,0))</f>
        <v>Welcome to Golden CDP MTR #1</v>
      </c>
      <c r="R44" s="26" t="n">
        <f aca="false">SUM(S44:Z44)</f>
        <v>514154.211084836</v>
      </c>
      <c r="S44" s="14" t="n">
        <f aca="false">IF($A44&lt;2,"",VLOOKUP($A44,All_Data,S$69,0))</f>
        <v>305113.638780347</v>
      </c>
      <c r="T44" s="15" t="n">
        <f aca="false">IF($A44&lt;2,"",VLOOKUP($A44,All_Data,T$69,0))</f>
        <v>78900.0061279187</v>
      </c>
      <c r="U44" s="15" t="n">
        <f aca="false">IF($A44&lt;2,"",VLOOKUP($A44,All_Data,U$69,0))</f>
        <v>51547.557581433</v>
      </c>
      <c r="V44" s="15" t="n">
        <f aca="false">IF($A44&lt;2,"",VLOOKUP($A44,All_Data,V$69,0))</f>
        <v>10702.816012249</v>
      </c>
      <c r="W44" s="15" t="n">
        <f aca="false">IF($A44&lt;2,"",VLOOKUP($A44,All_Data,W$69,0))</f>
        <v>23912.8264370849</v>
      </c>
      <c r="X44" s="15" t="n">
        <f aca="false">IF($A44&lt;2,"",VLOOKUP($A44,All_Data,X$69,0))</f>
        <v>8063.71517916062</v>
      </c>
      <c r="Y44" s="15" t="n">
        <f aca="false">IF($A44&lt;2,"",VLOOKUP($A44,All_Data,Y$69,0))</f>
        <v>9256.10920864068</v>
      </c>
      <c r="Z44" s="16" t="n">
        <f aca="false">IF($A44&lt;2,"",VLOOKUP($A44,All_Data,Z$69,0))</f>
        <v>26657.5417580029</v>
      </c>
      <c r="AA44" s="25" t="n">
        <f aca="false">IF(N44=0,,R44/N44*1000)</f>
        <v>1314.98878537141</v>
      </c>
      <c r="AB44" s="26" t="n">
        <f aca="false">IF($A44&lt;2,,VLOOKUP($A44,All_Data,AB$69,0))</f>
        <v>514119.49</v>
      </c>
      <c r="AC44" s="27" t="n">
        <f aca="false">IF(AB44=0,,R44/AB44)</f>
        <v>1.00006753504878</v>
      </c>
    </row>
    <row r="45" customFormat="false" ht="15" hidden="false" customHeight="false" outlineLevel="0" collapsed="false">
      <c r="A45" s="53" t="s">
        <v>62</v>
      </c>
      <c r="B45" s="54" t="str">
        <f aca="false">IF($A45&lt;2,"",VLOOKUP($A45,All_Data,B$69,0))</f>
        <v>Welcome to Golden CDP MTR #2</v>
      </c>
      <c r="C45" s="26" t="n">
        <f aca="false">IF($A45&lt;2,"",VLOOKUP($A45,All_Data,C$69,0))</f>
        <v>475522.56</v>
      </c>
      <c r="D45" s="14" t="n">
        <f aca="false">IF($A45&lt;2,"",VLOOKUP($A45,All_Data,D$69,0))</f>
        <v>784.612224</v>
      </c>
      <c r="E45" s="15" t="n">
        <f aca="false">IF($A45&lt;2,"",VLOOKUP($A45,All_Data,E$69,0))</f>
        <v>4118.0253696</v>
      </c>
      <c r="F45" s="15" t="n">
        <f aca="false">IF($A45&lt;2,"",VLOOKUP($A45,All_Data,F$69,0))</f>
        <v>367079.640192</v>
      </c>
      <c r="G45" s="15" t="n">
        <f aca="false">IF($A45&lt;2,"",VLOOKUP($A45,All_Data,G$69,0))</f>
        <v>54171.5300352</v>
      </c>
      <c r="H45" s="15" t="n">
        <f aca="false">IF($A45&lt;2,"",VLOOKUP($A45,All_Data,H$69,0))</f>
        <v>24893.606016</v>
      </c>
      <c r="I45" s="15" t="n">
        <f aca="false">IF($A45&lt;2,"",VLOOKUP($A45,All_Data,I$69,0))</f>
        <v>3999.1447296</v>
      </c>
      <c r="J45" s="15" t="n">
        <f aca="false">IF($A45&lt;2,"",VLOOKUP($A45,All_Data,J$69,0))</f>
        <v>8906.5375488</v>
      </c>
      <c r="K45" s="15" t="n">
        <f aca="false">IF($A45&lt;2,"",VLOOKUP($A45,All_Data,K$69,0))</f>
        <v>2448.941184</v>
      </c>
      <c r="L45" s="15" t="n">
        <f aca="false">IF($A45&lt;2,"",VLOOKUP($A45,All_Data,L$69,0))</f>
        <v>2805.583104</v>
      </c>
      <c r="M45" s="15" t="n">
        <f aca="false">IF($A45&lt;2,"",VLOOKUP($A45,All_Data,M$69,0))</f>
        <v>6314.9395968</v>
      </c>
      <c r="N45" s="55" t="n">
        <f aca="false">SUM(D45:M45)</f>
        <v>475522.56</v>
      </c>
      <c r="P45" s="56" t="str">
        <f aca="false">IF(A45&lt;2,"",A45)</f>
        <v>2.10.7</v>
      </c>
      <c r="Q45" s="57" t="str">
        <f aca="false">IF($A45&lt;2,"",VLOOKUP($A45,All_Data,Q$69,0))</f>
        <v>Welcome to Golden CDP MTR #2</v>
      </c>
      <c r="R45" s="26" t="n">
        <f aca="false">SUM(S45:Z45)</f>
        <v>625306.833591103</v>
      </c>
      <c r="S45" s="14" t="n">
        <f aca="false">IF($A45&lt;2,"",VLOOKUP($A45,All_Data,S$69,0))</f>
        <v>371074.746132377</v>
      </c>
      <c r="T45" s="15" t="n">
        <f aca="false">IF($A45&lt;2,"",VLOOKUP($A45,All_Data,T$69,0))</f>
        <v>95957.0337818877</v>
      </c>
      <c r="U45" s="15" t="n">
        <f aca="false">IF($A45&lt;2,"",VLOOKUP($A45,All_Data,U$69,0))</f>
        <v>62691.3858054202</v>
      </c>
      <c r="V45" s="15" t="n">
        <f aca="false">IF($A45&lt;2,"",VLOOKUP($A45,All_Data,V$69,0))</f>
        <v>13016.6083382001</v>
      </c>
      <c r="W45" s="15" t="n">
        <f aca="false">IF($A45&lt;2,"",VLOOKUP($A45,All_Data,W$69,0))</f>
        <v>29082.4298609506</v>
      </c>
      <c r="X45" s="15" t="n">
        <f aca="false">IF($A45&lt;2,"",VLOOKUP($A45,All_Data,X$69,0))</f>
        <v>9806.97249376308</v>
      </c>
      <c r="Y45" s="15" t="n">
        <f aca="false">IF($A45&lt;2,"",VLOOKUP($A45,All_Data,Y$69,0))</f>
        <v>11257.1446773068</v>
      </c>
      <c r="Z45" s="16" t="n">
        <f aca="false">IF($A45&lt;2,"",VLOOKUP($A45,All_Data,Z$69,0))</f>
        <v>32420.5125011978</v>
      </c>
      <c r="AA45" s="25" t="n">
        <f aca="false">IF(N45=0,,R45/N45*1000)</f>
        <v>1314.98878537141</v>
      </c>
      <c r="AB45" s="26" t="n">
        <f aca="false">IF($A45&lt;2,,VLOOKUP($A45,All_Data,AB$69,0))</f>
        <v>625264.62</v>
      </c>
      <c r="AC45" s="27" t="n">
        <f aca="false">IF(AB45=0,,R45/AB45)</f>
        <v>1.00006751316123</v>
      </c>
    </row>
    <row r="46" customFormat="false" ht="15" hidden="false" customHeight="false" outlineLevel="0" collapsed="false">
      <c r="A46" s="53" t="s">
        <v>63</v>
      </c>
      <c r="B46" s="54" t="str">
        <f aca="false">IF($A46&lt;2,"",VLOOKUP($A46,All_Data,B$69,0))</f>
        <v>Cypress 34 B CDP</v>
      </c>
      <c r="C46" s="26" t="n">
        <f aca="false">IF($A46&lt;2,"",VLOOKUP($A46,All_Data,C$69,0))</f>
        <v>131921.42</v>
      </c>
      <c r="D46" s="14" t="n">
        <f aca="false">IF($A46&lt;2,"",VLOOKUP($A46,All_Data,D$69,0))</f>
        <v>143.7943478</v>
      </c>
      <c r="E46" s="15" t="n">
        <f aca="false">IF($A46&lt;2,"",VLOOKUP($A46,All_Data,E$69,0))</f>
        <v>1378.578839</v>
      </c>
      <c r="F46" s="15" t="n">
        <f aca="false">IF($A46&lt;2,"",VLOOKUP($A46,All_Data,F$69,0))</f>
        <v>102910.5805278</v>
      </c>
      <c r="G46" s="15" t="n">
        <f aca="false">IF($A46&lt;2,"",VLOOKUP($A46,All_Data,G$69,0))</f>
        <v>15273.8620076</v>
      </c>
      <c r="H46" s="15" t="n">
        <f aca="false">IF($A46&lt;2,"",VLOOKUP($A46,All_Data,H$69,0))</f>
        <v>7140.9064646</v>
      </c>
      <c r="I46" s="15" t="n">
        <f aca="false">IF($A46&lt;2,"",VLOOKUP($A46,All_Data,I$69,0))</f>
        <v>1001.2835778</v>
      </c>
      <c r="J46" s="15" t="n">
        <f aca="false">IF($A46&lt;2,"",VLOOKUP($A46,All_Data,J$69,0))</f>
        <v>2211.0029992</v>
      </c>
      <c r="K46" s="15" t="n">
        <f aca="false">IF($A46&lt;2,"",VLOOKUP($A46,All_Data,K$69,0))</f>
        <v>489.4284682</v>
      </c>
      <c r="L46" s="15" t="n">
        <f aca="false">IF($A46&lt;2,"",VLOOKUP($A46,All_Data,L$69,0))</f>
        <v>526.3664658</v>
      </c>
      <c r="M46" s="15" t="n">
        <f aca="false">IF($A46&lt;2,"",VLOOKUP($A46,All_Data,M$69,0))</f>
        <v>845.6163022</v>
      </c>
      <c r="N46" s="55" t="n">
        <f aca="false">SUM(D46:M46)</f>
        <v>131921.42</v>
      </c>
      <c r="P46" s="56" t="str">
        <f aca="false">IF(A46&lt;2,"",A46)</f>
        <v>2.10.8</v>
      </c>
      <c r="Q46" s="57" t="str">
        <f aca="false">IF($A46&lt;2,"",VLOOKUP($A46,All_Data,Q$69,0))</f>
        <v>Cypress 34 B CDP</v>
      </c>
      <c r="R46" s="26" t="n">
        <f aca="false">SUM(S46:Z46)</f>
        <v>167903.357596935</v>
      </c>
      <c r="S46" s="14" t="n">
        <f aca="false">IF($A46&lt;2,"",VLOOKUP($A46,All_Data,S$69,0))</f>
        <v>103994.65874655</v>
      </c>
      <c r="T46" s="15" t="n">
        <f aca="false">IF($A46&lt;2,"",VLOOKUP($A46,All_Data,T$69,0))</f>
        <v>27046.0894179214</v>
      </c>
      <c r="U46" s="15" t="n">
        <f aca="false">IF($A46&lt;2,"",VLOOKUP($A46,All_Data,U$69,0))</f>
        <v>17977.2520365548</v>
      </c>
      <c r="V46" s="15" t="n">
        <f aca="false">IF($A46&lt;2,"",VLOOKUP($A46,All_Data,V$69,0))</f>
        <v>3257.89972838963</v>
      </c>
      <c r="W46" s="15" t="n">
        <f aca="false">IF($A46&lt;2,"",VLOOKUP($A46,All_Data,W$69,0))</f>
        <v>7217.07173862538</v>
      </c>
      <c r="X46" s="15" t="n">
        <f aca="false">IF($A46&lt;2,"",VLOOKUP($A46,All_Data,X$69,0))</f>
        <v>1959.27651928556</v>
      </c>
      <c r="Y46" s="15" t="n">
        <f aca="false">IF($A46&lt;2,"",VLOOKUP($A46,All_Data,Y$69,0))</f>
        <v>2111.26733140745</v>
      </c>
      <c r="Z46" s="16" t="n">
        <f aca="false">IF($A46&lt;2,"",VLOOKUP($A46,All_Data,Z$69,0))</f>
        <v>4339.84207820023</v>
      </c>
      <c r="AA46" s="25" t="n">
        <f aca="false">IF(N46=0,,R46/N46*1000)</f>
        <v>1272.75280691289</v>
      </c>
      <c r="AB46" s="26" t="n">
        <f aca="false">IF($A46&lt;2,,VLOOKUP($A46,All_Data,AB$69,0))</f>
        <v>167935.97</v>
      </c>
      <c r="AC46" s="27" t="n">
        <f aca="false">IF(AB46=0,,R46/AB46)</f>
        <v>0.999805804539283</v>
      </c>
    </row>
    <row r="47" customFormat="false" ht="15" hidden="false" customHeight="false" outlineLevel="0" collapsed="false">
      <c r="A47" s="53" t="s">
        <v>64</v>
      </c>
      <c r="B47" s="54" t="str">
        <f aca="false">IF($A47&lt;2,"",VLOOKUP($A47,All_Data,B$69,0))</f>
        <v>Nailed It A CDP</v>
      </c>
      <c r="C47" s="26" t="n">
        <f aca="false">IF($A47&lt;2,"",VLOOKUP($A47,All_Data,C$69,0))</f>
        <v>522485.52</v>
      </c>
      <c r="D47" s="14" t="n">
        <f aca="false">IF($A47&lt;2,"",VLOOKUP($A47,All_Data,D$69,0))</f>
        <v>935.2490808</v>
      </c>
      <c r="E47" s="15" t="n">
        <f aca="false">IF($A47&lt;2,"",VLOOKUP($A47,All_Data,E$69,0))</f>
        <v>4190.3338704</v>
      </c>
      <c r="F47" s="15" t="n">
        <f aca="false">IF($A47&lt;2,"",VLOOKUP($A47,All_Data,F$69,0))</f>
        <v>410360.127408</v>
      </c>
      <c r="G47" s="15" t="n">
        <f aca="false">IF($A47&lt;2,"",VLOOKUP($A47,All_Data,G$69,0))</f>
        <v>58298.9343216</v>
      </c>
      <c r="H47" s="15" t="n">
        <f aca="false">IF($A47&lt;2,"",VLOOKUP($A47,All_Data,H$69,0))</f>
        <v>26223.5482488</v>
      </c>
      <c r="I47" s="15" t="n">
        <f aca="false">IF($A47&lt;2,"",VLOOKUP($A47,All_Data,I$69,0))</f>
        <v>4216.4581464</v>
      </c>
      <c r="J47" s="15" t="n">
        <f aca="false">IF($A47&lt;2,"",VLOOKUP($A47,All_Data,J$69,0))</f>
        <v>9169.620876</v>
      </c>
      <c r="K47" s="15" t="n">
        <f aca="false">IF($A47&lt;2,"",VLOOKUP($A47,All_Data,K$69,0))</f>
        <v>2481.80622</v>
      </c>
      <c r="L47" s="15" t="n">
        <f aca="false">IF($A47&lt;2,"",VLOOKUP($A47,All_Data,L$69,0))</f>
        <v>2816.1969528</v>
      </c>
      <c r="M47" s="15" t="n">
        <f aca="false">IF($A47&lt;2,"",VLOOKUP($A47,All_Data,M$69,0))</f>
        <v>3793.2448752</v>
      </c>
      <c r="N47" s="55" t="n">
        <f aca="false">SUM(D47:M47)</f>
        <v>522485.52</v>
      </c>
      <c r="P47" s="56" t="str">
        <f aca="false">IF(A47&lt;2,"",A47)</f>
        <v>2.10.9</v>
      </c>
      <c r="Q47" s="57" t="str">
        <f aca="false">IF($A47&lt;2,"",VLOOKUP($A47,All_Data,Q$69,0))</f>
        <v>Nailed It A CDP</v>
      </c>
      <c r="R47" s="26" t="n">
        <f aca="false">SUM(S47:Z47)</f>
        <v>668314.746479383</v>
      </c>
      <c r="S47" s="14" t="n">
        <f aca="false">IF($A47&lt;2,"",VLOOKUP($A47,All_Data,S$69,0))</f>
        <v>414703.198887281</v>
      </c>
      <c r="T47" s="15" t="n">
        <f aca="false">IF($A47&lt;2,"",VLOOKUP($A47,All_Data,T$69,0))</f>
        <v>103237.494596658</v>
      </c>
      <c r="U47" s="15" t="n">
        <f aca="false">IF($A47&lt;2,"",VLOOKUP($A47,All_Data,U$69,0))</f>
        <v>66021.0824851783</v>
      </c>
      <c r="V47" s="15" t="n">
        <f aca="false">IF($A47&lt;2,"",VLOOKUP($A47,All_Data,V$69,0))</f>
        <v>13719.8586584127</v>
      </c>
      <c r="W47" s="15" t="n">
        <f aca="false">IF($A47&lt;2,"",VLOOKUP($A47,All_Data,W$69,0))</f>
        <v>29932.5897785159</v>
      </c>
      <c r="X47" s="15" t="n">
        <f aca="false">IF($A47&lt;2,"",VLOOKUP($A47,All_Data,X$69,0))</f>
        <v>9935.63431588506</v>
      </c>
      <c r="Y47" s="15" t="n">
        <f aca="false">IF($A47&lt;2,"",VLOOKUP($A47,All_Data,Y$69,0))</f>
        <v>11296.3791937896</v>
      </c>
      <c r="Z47" s="16" t="n">
        <f aca="false">IF($A47&lt;2,"",VLOOKUP($A47,All_Data,Z$69,0))</f>
        <v>19468.508563662</v>
      </c>
      <c r="AA47" s="25" t="n">
        <f aca="false">IF(N47=0,,R47/N47*1000)</f>
        <v>1279.10673290885</v>
      </c>
      <c r="AB47" s="26" t="n">
        <f aca="false">IF($A47&lt;2,,VLOOKUP($A47,All_Data,AB$69,0))</f>
        <v>668258.98</v>
      </c>
      <c r="AC47" s="27" t="n">
        <f aca="false">IF(AB47=0,,R47/AB47)</f>
        <v>1.0000834504003</v>
      </c>
    </row>
    <row r="48" customFormat="false" ht="15" hidden="false" customHeight="false" outlineLevel="0" collapsed="false">
      <c r="A48" s="53" t="s">
        <v>65</v>
      </c>
      <c r="B48" s="54" t="str">
        <f aca="false">IF($A48&lt;2,"",VLOOKUP($A48,All_Data,B$69,0))</f>
        <v>Bluto CDP</v>
      </c>
      <c r="C48" s="26" t="n">
        <f aca="false">IF($A48&lt;2,"",VLOOKUP($A48,All_Data,C$69,0))</f>
        <v>84015.9</v>
      </c>
      <c r="D48" s="14" t="n">
        <f aca="false">IF($A48&lt;2,"",VLOOKUP($A48,All_Data,D$69,0))</f>
        <v>80.655264</v>
      </c>
      <c r="E48" s="15" t="n">
        <f aca="false">IF($A48&lt;2,"",VLOOKUP($A48,All_Data,E$69,0))</f>
        <v>618.357024</v>
      </c>
      <c r="F48" s="15" t="n">
        <f aca="false">IF($A48&lt;2,"",VLOOKUP($A48,All_Data,F$69,0))</f>
        <v>68252.836842</v>
      </c>
      <c r="G48" s="15" t="n">
        <f aca="false">IF($A48&lt;2,"",VLOOKUP($A48,All_Data,G$69,0))</f>
        <v>8968.697325</v>
      </c>
      <c r="H48" s="15" t="n">
        <f aca="false">IF($A48&lt;2,"",VLOOKUP($A48,All_Data,H$69,0))</f>
        <v>3347.193456</v>
      </c>
      <c r="I48" s="15" t="n">
        <f aca="false">IF($A48&lt;2,"",VLOOKUP($A48,All_Data,I$69,0))</f>
        <v>540.222237</v>
      </c>
      <c r="J48" s="15" t="n">
        <f aca="false">IF($A48&lt;2,"",VLOOKUP($A48,All_Data,J$69,0))</f>
        <v>986.346666</v>
      </c>
      <c r="K48" s="15" t="n">
        <f aca="false">IF($A48&lt;2,"",VLOOKUP($A48,All_Data,K$69,0))</f>
        <v>285.65406</v>
      </c>
      <c r="L48" s="15" t="n">
        <f aca="false">IF($A48&lt;2,"",VLOOKUP($A48,All_Data,L$69,0))</f>
        <v>299.936763</v>
      </c>
      <c r="M48" s="15" t="n">
        <f aca="false">IF($A48&lt;2,"",VLOOKUP($A48,All_Data,M$69,0))</f>
        <v>636.000363</v>
      </c>
      <c r="N48" s="55" t="n">
        <f aca="false">SUM(D48:M48)</f>
        <v>84015.9</v>
      </c>
      <c r="P48" s="56" t="str">
        <f aca="false">IF(A48&lt;2,"",A48)</f>
        <v>2.11.2</v>
      </c>
      <c r="Q48" s="57" t="str">
        <f aca="false">IF($A48&lt;2,"",VLOOKUP($A48,All_Data,Q$69,0))</f>
        <v>Bluto CDP</v>
      </c>
      <c r="R48" s="26" t="n">
        <f aca="false">SUM(S48:Z48)</f>
        <v>103839.883978038</v>
      </c>
      <c r="S48" s="14" t="n">
        <f aca="false">IF($A48&lt;2,"",VLOOKUP($A48,All_Data,S$69,0))</f>
        <v>68953.4046726779</v>
      </c>
      <c r="T48" s="15" t="n">
        <f aca="false">IF($A48&lt;2,"",VLOOKUP($A48,All_Data,T$69,0))</f>
        <v>15877.0198061338</v>
      </c>
      <c r="U48" s="15" t="n">
        <f aca="false">IF($A48&lt;2,"",VLOOKUP($A48,All_Data,U$69,0))</f>
        <v>8424.31850827214</v>
      </c>
      <c r="V48" s="15" t="n">
        <f aca="false">IF($A48&lt;2,"",VLOOKUP($A48,All_Data,V$69,0))</f>
        <v>1757.26427130407</v>
      </c>
      <c r="W48" s="15" t="n">
        <f aca="false">IF($A48&lt;2,"",VLOOKUP($A48,All_Data,W$69,0))</f>
        <v>3218.73537759629</v>
      </c>
      <c r="X48" s="15" t="n">
        <f aca="false">IF($A48&lt;2,"",VLOOKUP($A48,All_Data,X$69,0))</f>
        <v>1143.22288546714</v>
      </c>
      <c r="Y48" s="15" t="n">
        <f aca="false">IF($A48&lt;2,"",VLOOKUP($A48,All_Data,Y$69,0))</f>
        <v>1202.73158651313</v>
      </c>
      <c r="Z48" s="16" t="n">
        <f aca="false">IF($A48&lt;2,"",VLOOKUP($A48,All_Data,Z$69,0))</f>
        <v>3263.18687007302</v>
      </c>
      <c r="AA48" s="25" t="n">
        <f aca="false">IF(N48=0,,R48/N48*1000)</f>
        <v>1235.95514632394</v>
      </c>
      <c r="AB48" s="26" t="n">
        <f aca="false">IF($A48&lt;2,,VLOOKUP($A48,All_Data,AB$69,0))</f>
        <v>103843.65</v>
      </c>
      <c r="AC48" s="27" t="n">
        <f aca="false">IF(AB48=0,,R48/AB48)</f>
        <v>0.999963733728904</v>
      </c>
    </row>
    <row r="49" customFormat="false" ht="15" hidden="false" customHeight="false" outlineLevel="0" collapsed="false">
      <c r="A49" s="53" t="s">
        <v>66</v>
      </c>
      <c r="B49" s="54" t="str">
        <f aca="false">IF($A49&lt;2,"",VLOOKUP($A49,All_Data,B$69,0))</f>
        <v>DF Ranch CDP</v>
      </c>
      <c r="C49" s="26" t="n">
        <f aca="false">IF($A49&lt;2,"",VLOOKUP($A49,All_Data,C$69,0))</f>
        <v>0</v>
      </c>
      <c r="D49" s="14" t="n">
        <f aca="false">IF($A49&lt;2,"",VLOOKUP($A49,All_Data,D$69,0))</f>
        <v>0</v>
      </c>
      <c r="E49" s="15" t="n">
        <f aca="false">IF($A49&lt;2,"",VLOOKUP($A49,All_Data,E$69,0))</f>
        <v>0</v>
      </c>
      <c r="F49" s="15" t="n">
        <f aca="false">IF($A49&lt;2,"",VLOOKUP($A49,All_Data,F$69,0))</f>
        <v>0</v>
      </c>
      <c r="G49" s="15" t="n">
        <f aca="false">IF($A49&lt;2,"",VLOOKUP($A49,All_Data,G$69,0))</f>
        <v>0</v>
      </c>
      <c r="H49" s="15" t="n">
        <f aca="false">IF($A49&lt;2,"",VLOOKUP($A49,All_Data,H$69,0))</f>
        <v>0</v>
      </c>
      <c r="I49" s="15" t="n">
        <f aca="false">IF($A49&lt;2,"",VLOOKUP($A49,All_Data,I$69,0))</f>
        <v>0</v>
      </c>
      <c r="J49" s="15" t="n">
        <f aca="false">IF($A49&lt;2,"",VLOOKUP($A49,All_Data,J$69,0))</f>
        <v>0</v>
      </c>
      <c r="K49" s="15" t="n">
        <f aca="false">IF($A49&lt;2,"",VLOOKUP($A49,All_Data,K$69,0))</f>
        <v>0</v>
      </c>
      <c r="L49" s="15" t="n">
        <f aca="false">IF($A49&lt;2,"",VLOOKUP($A49,All_Data,L$69,0))</f>
        <v>0</v>
      </c>
      <c r="M49" s="15" t="n">
        <f aca="false">IF($A49&lt;2,"",VLOOKUP($A49,All_Data,M$69,0))</f>
        <v>0</v>
      </c>
      <c r="N49" s="55" t="n">
        <f aca="false">SUM(D49:M49)</f>
        <v>0</v>
      </c>
      <c r="P49" s="56" t="str">
        <f aca="false">IF(A49&lt;2,"",A49)</f>
        <v>2.11.3</v>
      </c>
      <c r="Q49" s="57" t="str">
        <f aca="false">IF($A49&lt;2,"",VLOOKUP($A49,All_Data,Q$69,0))</f>
        <v>DF Ranch CDP</v>
      </c>
      <c r="R49" s="26" t="n">
        <f aca="false">SUM(S49:Z49)</f>
        <v>0</v>
      </c>
      <c r="S49" s="14" t="n">
        <f aca="false">IF($A49&lt;2,"",VLOOKUP($A49,All_Data,S$69,0))</f>
        <v>0</v>
      </c>
      <c r="T49" s="15" t="n">
        <f aca="false">IF($A49&lt;2,"",VLOOKUP($A49,All_Data,T$69,0))</f>
        <v>0</v>
      </c>
      <c r="U49" s="15" t="n">
        <f aca="false">IF($A49&lt;2,"",VLOOKUP($A49,All_Data,U$69,0))</f>
        <v>0</v>
      </c>
      <c r="V49" s="15" t="n">
        <f aca="false">IF($A49&lt;2,"",VLOOKUP($A49,All_Data,V$69,0))</f>
        <v>0</v>
      </c>
      <c r="W49" s="15" t="n">
        <f aca="false">IF($A49&lt;2,"",VLOOKUP($A49,All_Data,W$69,0))</f>
        <v>0</v>
      </c>
      <c r="X49" s="15" t="n">
        <f aca="false">IF($A49&lt;2,"",VLOOKUP($A49,All_Data,X$69,0))</f>
        <v>0</v>
      </c>
      <c r="Y49" s="15" t="n">
        <f aca="false">IF($A49&lt;2,"",VLOOKUP($A49,All_Data,Y$69,0))</f>
        <v>0</v>
      </c>
      <c r="Z49" s="16" t="n">
        <f aca="false">IF($A49&lt;2,"",VLOOKUP($A49,All_Data,Z$69,0))</f>
        <v>0</v>
      </c>
      <c r="AA49" s="25" t="n">
        <f aca="false">IF(N49=0,,R49/N49*1000)</f>
        <v>0</v>
      </c>
      <c r="AB49" s="26" t="n">
        <f aca="false">IF($A49&lt;2,,VLOOKUP($A49,All_Data,AB$69,0))</f>
        <v>0</v>
      </c>
      <c r="AC49" s="27" t="n">
        <f aca="false">IF(AB49=0,,R49/AB49)</f>
        <v>0</v>
      </c>
    </row>
    <row r="50" customFormat="false" ht="15" hidden="false" customHeight="false" outlineLevel="0" collapsed="false">
      <c r="A50" s="53" t="s">
        <v>67</v>
      </c>
      <c r="B50" s="54" t="str">
        <f aca="false">IF($A50&lt;2,"",VLOOKUP($A50,All_Data,B$69,0))</f>
        <v>Quito CDP MTR #1</v>
      </c>
      <c r="C50" s="26" t="n">
        <f aca="false">IF($A50&lt;2,"",VLOOKUP($A50,All_Data,C$69,0))</f>
        <v>0</v>
      </c>
      <c r="D50" s="14" t="n">
        <f aca="false">IF($A50&lt;2,"",VLOOKUP($A50,All_Data,D$69,0))</f>
        <v>0</v>
      </c>
      <c r="E50" s="15" t="n">
        <f aca="false">IF($A50&lt;2,"",VLOOKUP($A50,All_Data,E$69,0))</f>
        <v>0</v>
      </c>
      <c r="F50" s="15" t="n">
        <f aca="false">IF($A50&lt;2,"",VLOOKUP($A50,All_Data,F$69,0))</f>
        <v>0</v>
      </c>
      <c r="G50" s="15" t="n">
        <f aca="false">IF($A50&lt;2,"",VLOOKUP($A50,All_Data,G$69,0))</f>
        <v>0</v>
      </c>
      <c r="H50" s="15" t="n">
        <f aca="false">IF($A50&lt;2,"",VLOOKUP($A50,All_Data,H$69,0))</f>
        <v>0</v>
      </c>
      <c r="I50" s="15" t="n">
        <f aca="false">IF($A50&lt;2,"",VLOOKUP($A50,All_Data,I$69,0))</f>
        <v>0</v>
      </c>
      <c r="J50" s="15" t="n">
        <f aca="false">IF($A50&lt;2,"",VLOOKUP($A50,All_Data,J$69,0))</f>
        <v>0</v>
      </c>
      <c r="K50" s="15" t="n">
        <f aca="false">IF($A50&lt;2,"",VLOOKUP($A50,All_Data,K$69,0))</f>
        <v>0</v>
      </c>
      <c r="L50" s="15" t="n">
        <f aca="false">IF($A50&lt;2,"",VLOOKUP($A50,All_Data,L$69,0))</f>
        <v>0</v>
      </c>
      <c r="M50" s="15" t="n">
        <f aca="false">IF($A50&lt;2,"",VLOOKUP($A50,All_Data,M$69,0))</f>
        <v>0</v>
      </c>
      <c r="N50" s="55" t="n">
        <f aca="false">SUM(D50:M50)</f>
        <v>0</v>
      </c>
      <c r="P50" s="56" t="str">
        <f aca="false">IF(A50&lt;2,"",A50)</f>
        <v>2.12.1</v>
      </c>
      <c r="Q50" s="57" t="str">
        <f aca="false">IF($A50&lt;2,"",VLOOKUP($A50,All_Data,Q$69,0))</f>
        <v>Quito CDP MTR #1</v>
      </c>
      <c r="R50" s="26" t="n">
        <f aca="false">SUM(S50:Z50)</f>
        <v>0</v>
      </c>
      <c r="S50" s="14" t="n">
        <f aca="false">IF($A50&lt;2,"",VLOOKUP($A50,All_Data,S$69,0))</f>
        <v>0</v>
      </c>
      <c r="T50" s="15" t="n">
        <f aca="false">IF($A50&lt;2,"",VLOOKUP($A50,All_Data,T$69,0))</f>
        <v>0</v>
      </c>
      <c r="U50" s="15" t="n">
        <f aca="false">IF($A50&lt;2,"",VLOOKUP($A50,All_Data,U$69,0))</f>
        <v>0</v>
      </c>
      <c r="V50" s="15" t="n">
        <f aca="false">IF($A50&lt;2,"",VLOOKUP($A50,All_Data,V$69,0))</f>
        <v>0</v>
      </c>
      <c r="W50" s="15" t="n">
        <f aca="false">IF($A50&lt;2,"",VLOOKUP($A50,All_Data,W$69,0))</f>
        <v>0</v>
      </c>
      <c r="X50" s="15" t="n">
        <f aca="false">IF($A50&lt;2,"",VLOOKUP($A50,All_Data,X$69,0))</f>
        <v>0</v>
      </c>
      <c r="Y50" s="15" t="n">
        <f aca="false">IF($A50&lt;2,"",VLOOKUP($A50,All_Data,Y$69,0))</f>
        <v>0</v>
      </c>
      <c r="Z50" s="16" t="n">
        <f aca="false">IF($A50&lt;2,"",VLOOKUP($A50,All_Data,Z$69,0))</f>
        <v>0</v>
      </c>
      <c r="AA50" s="25" t="n">
        <f aca="false">IF(N50=0,,R50/N50*1000)</f>
        <v>0</v>
      </c>
      <c r="AB50" s="26" t="n">
        <f aca="false">IF($A50&lt;2,,VLOOKUP($A50,All_Data,AB$69,0))</f>
        <v>0</v>
      </c>
      <c r="AC50" s="27" t="n">
        <f aca="false">IF(AB50=0,,R50/AB50)</f>
        <v>0</v>
      </c>
    </row>
    <row r="51" customFormat="false" ht="15" hidden="false" customHeight="false" outlineLevel="0" collapsed="false">
      <c r="A51" s="53" t="s">
        <v>68</v>
      </c>
      <c r="B51" s="54" t="str">
        <f aca="false">IF($A51&lt;2,"",VLOOKUP($A51,All_Data,B$69,0))</f>
        <v>Quito CDP MTR #2</v>
      </c>
      <c r="C51" s="26" t="n">
        <f aca="false">IF($A51&lt;2,"",VLOOKUP($A51,All_Data,C$69,0))</f>
        <v>374548.34</v>
      </c>
      <c r="D51" s="14" t="n">
        <f aca="false">IF($A51&lt;2,"",VLOOKUP($A51,All_Data,D$69,0))</f>
        <v>674.187012</v>
      </c>
      <c r="E51" s="15" t="n">
        <f aca="false">IF($A51&lt;2,"",VLOOKUP($A51,All_Data,E$69,0))</f>
        <v>2363.4000254</v>
      </c>
      <c r="F51" s="15" t="n">
        <f aca="false">IF($A51&lt;2,"",VLOOKUP($A51,All_Data,F$69,0))</f>
        <v>322002.9533814</v>
      </c>
      <c r="G51" s="15" t="n">
        <f aca="false">IF($A51&lt;2,"",VLOOKUP($A51,All_Data,G$69,0))</f>
        <v>27046.1356314</v>
      </c>
      <c r="H51" s="15" t="n">
        <f aca="false">IF($A51&lt;2,"",VLOOKUP($A51,All_Data,H$69,0))</f>
        <v>12135.366216</v>
      </c>
      <c r="I51" s="15" t="n">
        <f aca="false">IF($A51&lt;2,"",VLOOKUP($A51,All_Data,I$69,0))</f>
        <v>1618.0488288</v>
      </c>
      <c r="J51" s="15" t="n">
        <f aca="false">IF($A51&lt;2,"",VLOOKUP($A51,All_Data,J$69,0))</f>
        <v>4097.5588396</v>
      </c>
      <c r="K51" s="15" t="n">
        <f aca="false">IF($A51&lt;2,"",VLOOKUP($A51,All_Data,K$69,0))</f>
        <v>1082.4447026</v>
      </c>
      <c r="L51" s="15" t="n">
        <f aca="false">IF($A51&lt;2,"",VLOOKUP($A51,All_Data,L$69,0))</f>
        <v>1322.1556402</v>
      </c>
      <c r="M51" s="15" t="n">
        <f aca="false">IF($A51&lt;2,"",VLOOKUP($A51,All_Data,M$69,0))</f>
        <v>2206.0897226</v>
      </c>
      <c r="N51" s="55" t="n">
        <f aca="false">SUM(D51:M51)</f>
        <v>374548.34</v>
      </c>
      <c r="P51" s="56" t="str">
        <f aca="false">IF(A51&lt;2,"",A51)</f>
        <v>2.12.2</v>
      </c>
      <c r="Q51" s="57" t="str">
        <f aca="false">IF($A51&lt;2,"",VLOOKUP($A51,All_Data,Q$69,0))</f>
        <v>Quito CDP MTR #2</v>
      </c>
      <c r="R51" s="26" t="n">
        <f aca="false">SUM(S51:Z51)</f>
        <v>443156.975053331</v>
      </c>
      <c r="S51" s="14" t="n">
        <f aca="false">IF($A51&lt;2,"",VLOOKUP($A51,All_Data,S$69,0))</f>
        <v>325190.389064127</v>
      </c>
      <c r="T51" s="15" t="n">
        <f aca="false">IF($A51&lt;2,"",VLOOKUP($A51,All_Data,T$69,0))</f>
        <v>47861.6513795227</v>
      </c>
      <c r="U51" s="15" t="n">
        <f aca="false">IF($A51&lt;2,"",VLOOKUP($A51,All_Data,U$69,0))</f>
        <v>30531.6088639854</v>
      </c>
      <c r="V51" s="15" t="n">
        <f aca="false">IF($A51&lt;2,"",VLOOKUP($A51,All_Data,V$69,0))</f>
        <v>5261.37290776289</v>
      </c>
      <c r="W51" s="15" t="n">
        <f aca="false">IF($A51&lt;2,"",VLOOKUP($A51,All_Data,W$69,0))</f>
        <v>13366.6854979992</v>
      </c>
      <c r="X51" s="15" t="n">
        <f aca="false">IF($A51&lt;2,"",VLOOKUP($A51,All_Data,X$69,0))</f>
        <v>4330.51020814833</v>
      </c>
      <c r="Y51" s="15" t="n">
        <f aca="false">IF($A51&lt;2,"",VLOOKUP($A51,All_Data,Y$69,0))</f>
        <v>5299.86048425575</v>
      </c>
      <c r="Z51" s="16" t="n">
        <f aca="false">IF($A51&lt;2,"",VLOOKUP($A51,All_Data,Z$69,0))</f>
        <v>11314.8966475296</v>
      </c>
      <c r="AA51" s="25" t="n">
        <f aca="false">IF(N51=0,,R51/N51*1000)</f>
        <v>1183.17698338572</v>
      </c>
      <c r="AB51" s="26" t="n">
        <f aca="false">IF($A51&lt;2,,VLOOKUP($A51,All_Data,AB$69,0))</f>
        <v>443090.69</v>
      </c>
      <c r="AC51" s="27" t="n">
        <f aca="false">IF(AB51=0,,R51/AB51)</f>
        <v>1.00014959703471</v>
      </c>
    </row>
    <row r="52" customFormat="false" ht="15" hidden="false" customHeight="false" outlineLevel="0" collapsed="false">
      <c r="A52" s="53" t="s">
        <v>69</v>
      </c>
      <c r="B52" s="54" t="str">
        <f aca="false">IF($A52&lt;2,"",VLOOKUP($A52,All_Data,B$69,0))</f>
        <v>Brazos CDP</v>
      </c>
      <c r="C52" s="26" t="n">
        <f aca="false">IF($A52&lt;2,"",VLOOKUP($A52,All_Data,C$69,0))</f>
        <v>70367.31</v>
      </c>
      <c r="D52" s="14" t="n">
        <f aca="false">IF($A52&lt;2,"",VLOOKUP($A52,All_Data,D$69,0))</f>
        <v>294.8390289</v>
      </c>
      <c r="E52" s="15" t="n">
        <f aca="false">IF($A52&lt;2,"",VLOOKUP($A52,All_Data,E$69,0))</f>
        <v>541.828287</v>
      </c>
      <c r="F52" s="15" t="n">
        <f aca="false">IF($A52&lt;2,"",VLOOKUP($A52,All_Data,F$69,0))</f>
        <v>58086.1033857</v>
      </c>
      <c r="G52" s="15" t="n">
        <f aca="false">IF($A52&lt;2,"",VLOOKUP($A52,All_Data,G$69,0))</f>
        <v>6285.9118023</v>
      </c>
      <c r="H52" s="15" t="n">
        <f aca="false">IF($A52&lt;2,"",VLOOKUP($A52,All_Data,H$69,0))</f>
        <v>2986.3886364</v>
      </c>
      <c r="I52" s="15" t="n">
        <f aca="false">IF($A52&lt;2,"",VLOOKUP($A52,All_Data,I$69,0))</f>
        <v>349.7255307</v>
      </c>
      <c r="J52" s="15" t="n">
        <f aca="false">IF($A52&lt;2,"",VLOOKUP($A52,All_Data,J$69,0))</f>
        <v>1005.5488599</v>
      </c>
      <c r="K52" s="15" t="n">
        <f aca="false">IF($A52&lt;2,"",VLOOKUP($A52,All_Data,K$69,0))</f>
        <v>215.3239686</v>
      </c>
      <c r="L52" s="15" t="n">
        <f aca="false">IF($A52&lt;2,"",VLOOKUP($A52,All_Data,L$69,0))</f>
        <v>276.5435283</v>
      </c>
      <c r="M52" s="15" t="n">
        <f aca="false">IF($A52&lt;2,"",VLOOKUP($A52,All_Data,M$69,0))</f>
        <v>325.0969722</v>
      </c>
      <c r="N52" s="55" t="n">
        <f aca="false">SUM(D52:M52)</f>
        <v>70367.31</v>
      </c>
      <c r="P52" s="56" t="str">
        <f aca="false">IF(A52&lt;2,"",A52)</f>
        <v>2.13.1</v>
      </c>
      <c r="Q52" s="57" t="str">
        <f aca="false">IF($A52&lt;2,"",VLOOKUP($A52,All_Data,Q$69,0))</f>
        <v>Brazos CDP</v>
      </c>
      <c r="R52" s="26" t="n">
        <f aca="false">SUM(S52:Z52)</f>
        <v>85372.4021980059</v>
      </c>
      <c r="S52" s="14" t="n">
        <f aca="false">IF($A52&lt;2,"",VLOOKUP($A52,All_Data,S$69,0))</f>
        <v>58674.3437128812</v>
      </c>
      <c r="T52" s="15" t="n">
        <f aca="false">IF($A52&lt;2,"",VLOOKUP($A52,All_Data,T$69,0))</f>
        <v>11126.2519743383</v>
      </c>
      <c r="U52" s="15" t="n">
        <f aca="false">IF($A52&lt;2,"",VLOOKUP($A52,All_Data,U$69,0))</f>
        <v>7515.21272359299</v>
      </c>
      <c r="V52" s="15" t="n">
        <f aca="false">IF($A52&lt;2,"",VLOOKUP($A52,All_Data,V$69,0))</f>
        <v>1137.4516606997</v>
      </c>
      <c r="W52" s="15" t="n">
        <f aca="false">IF($A52&lt;2,"",VLOOKUP($A52,All_Data,W$69,0))</f>
        <v>3280.95187026976</v>
      </c>
      <c r="X52" s="15" t="n">
        <f aca="false">IF($A52&lt;2,"",VLOOKUP($A52,All_Data,X$69,0))</f>
        <v>861.636074448116</v>
      </c>
      <c r="Y52" s="15" t="n">
        <f aca="false">IF($A52&lt;2,"",VLOOKUP($A52,All_Data,Y$69,0))</f>
        <v>1108.77520439901</v>
      </c>
      <c r="Z52" s="16" t="n">
        <f aca="false">IF($A52&lt;2,"",VLOOKUP($A52,All_Data,Z$69,0))</f>
        <v>1667.77897737677</v>
      </c>
      <c r="AA52" s="25" t="n">
        <f aca="false">IF(N52=0,,R52/N52*1000)</f>
        <v>1213.23953122559</v>
      </c>
      <c r="AB52" s="26" t="n">
        <f aca="false">IF($A52&lt;2,,VLOOKUP($A52,All_Data,AB$69,0))</f>
        <v>85355.54</v>
      </c>
      <c r="AC52" s="27" t="n">
        <f aca="false">IF(AB52=0,,R52/AB52)</f>
        <v>1.00019755247294</v>
      </c>
    </row>
    <row r="53" customFormat="false" ht="15" hidden="false" customHeight="false" outlineLevel="0" collapsed="false">
      <c r="A53" s="53" t="s">
        <v>70</v>
      </c>
      <c r="B53" s="54" t="str">
        <f aca="false">IF($A53&lt;2,"",VLOOKUP($A53,All_Data,B$69,0))</f>
        <v>Abigail CDP</v>
      </c>
      <c r="C53" s="26" t="n">
        <f aca="false">IF($A53&lt;2,"",VLOOKUP($A53,All_Data,C$69,0))</f>
        <v>24409.81</v>
      </c>
      <c r="D53" s="14" t="n">
        <f aca="false">IF($A53&lt;2,"",VLOOKUP($A53,All_Data,D$69,0))</f>
        <v>55.1661706</v>
      </c>
      <c r="E53" s="15" t="n">
        <f aca="false">IF($A53&lt;2,"",VLOOKUP($A53,All_Data,E$69,0))</f>
        <v>145.4824676</v>
      </c>
      <c r="F53" s="15" t="n">
        <f aca="false">IF($A53&lt;2,"",VLOOKUP($A53,All_Data,F$69,0))</f>
        <v>20546.9575675</v>
      </c>
      <c r="G53" s="15" t="n">
        <f aca="false">IF($A53&lt;2,"",VLOOKUP($A53,All_Data,G$69,0))</f>
        <v>1889.319294</v>
      </c>
      <c r="H53" s="15" t="n">
        <f aca="false">IF($A53&lt;2,"",VLOOKUP($A53,All_Data,H$69,0))</f>
        <v>920.249837</v>
      </c>
      <c r="I53" s="15" t="n">
        <f aca="false">IF($A53&lt;2,"",VLOOKUP($A53,All_Data,I$69,0))</f>
        <v>124.490031</v>
      </c>
      <c r="J53" s="15" t="n">
        <f aca="false">IF($A53&lt;2,"",VLOOKUP($A53,All_Data,J$69,0))</f>
        <v>314.6424509</v>
      </c>
      <c r="K53" s="15" t="n">
        <f aca="false">IF($A53&lt;2,"",VLOOKUP($A53,All_Data,K$69,0))</f>
        <v>83.4815502</v>
      </c>
      <c r="L53" s="15" t="n">
        <f aca="false">IF($A53&lt;2,"",VLOOKUP($A53,All_Data,L$69,0))</f>
        <v>101.0566134</v>
      </c>
      <c r="M53" s="15" t="n">
        <f aca="false">IF($A53&lt;2,"",VLOOKUP($A53,All_Data,M$69,0))</f>
        <v>228.9640178</v>
      </c>
      <c r="N53" s="55" t="n">
        <f aca="false">SUM(D53:M53)</f>
        <v>24409.81</v>
      </c>
      <c r="P53" s="56" t="str">
        <f aca="false">IF(A53&lt;2,"",A53)</f>
        <v>2.13.2</v>
      </c>
      <c r="Q53" s="57" t="str">
        <f aca="false">IF($A53&lt;2,"",VLOOKUP($A53,All_Data,Q$69,0))</f>
        <v>Abigail CDP</v>
      </c>
      <c r="R53" s="26" t="n">
        <f aca="false">SUM(S53:Z53)</f>
        <v>29761.4003061163</v>
      </c>
      <c r="S53" s="14" t="n">
        <f aca="false">IF($A53&lt;2,"",VLOOKUP($A53,All_Data,S$69,0))</f>
        <v>20755.767856769</v>
      </c>
      <c r="T53" s="15" t="n">
        <f aca="false">IF($A53&lt;2,"",VLOOKUP($A53,All_Data,T$69,0))</f>
        <v>3344.26936987131</v>
      </c>
      <c r="U53" s="15" t="n">
        <f aca="false">IF($A53&lt;2,"",VLOOKUP($A53,All_Data,U$69,0))</f>
        <v>2315.87964959832</v>
      </c>
      <c r="V53" s="15" t="n">
        <f aca="false">IF($A53&lt;2,"",VLOOKUP($A53,All_Data,V$69,0))</f>
        <v>404.907172448106</v>
      </c>
      <c r="W53" s="15" t="n">
        <f aca="false">IF($A53&lt;2,"",VLOOKUP($A53,All_Data,W$69,0))</f>
        <v>1026.66624048223</v>
      </c>
      <c r="X53" s="15" t="n">
        <f aca="false">IF($A53&lt;2,"",VLOOKUP($A53,All_Data,X$69,0))</f>
        <v>334.069853311336</v>
      </c>
      <c r="Y53" s="15" t="n">
        <f aca="false">IF($A53&lt;2,"",VLOOKUP($A53,All_Data,Y$69,0))</f>
        <v>405.19122296058</v>
      </c>
      <c r="Z53" s="16" t="n">
        <f aca="false">IF($A53&lt;2,"",VLOOKUP($A53,All_Data,Z$69,0))</f>
        <v>1174.64894067542</v>
      </c>
      <c r="AA53" s="25" t="n">
        <f aca="false">IF(N53=0,,R53/N53*1000)</f>
        <v>1219.2393265706</v>
      </c>
      <c r="AB53" s="26" t="n">
        <f aca="false">IF($A53&lt;2,,VLOOKUP($A53,All_Data,AB$69,0))</f>
        <v>29755.56</v>
      </c>
      <c r="AC53" s="27" t="n">
        <f aca="false">IF(AB53=0,,R53/AB53)</f>
        <v>1.00019627612844</v>
      </c>
    </row>
    <row r="54" customFormat="false" ht="15" hidden="false" customHeight="false" outlineLevel="0" collapsed="false">
      <c r="A54" s="53" t="s">
        <v>71</v>
      </c>
      <c r="B54" s="54" t="str">
        <f aca="false">IF($A54&lt;2,"",VLOOKUP($A54,All_Data,B$69,0))</f>
        <v>Emma CDP</v>
      </c>
      <c r="C54" s="26" t="n">
        <f aca="false">IF($A54&lt;2,"",VLOOKUP($A54,All_Data,C$69,0))</f>
        <v>45054.18</v>
      </c>
      <c r="D54" s="14" t="n">
        <f aca="false">IF($A54&lt;2,"",VLOOKUP($A54,All_Data,D$69,0))</f>
        <v>54.5155578</v>
      </c>
      <c r="E54" s="15" t="n">
        <f aca="false">IF($A54&lt;2,"",VLOOKUP($A54,All_Data,E$69,0))</f>
        <v>303.2146314</v>
      </c>
      <c r="F54" s="15" t="n">
        <f aca="false">IF($A54&lt;2,"",VLOOKUP($A54,All_Data,F$69,0))</f>
        <v>37937.872269</v>
      </c>
      <c r="G54" s="15" t="n">
        <f aca="false">IF($A54&lt;2,"",VLOOKUP($A54,All_Data,G$69,0))</f>
        <v>3430.875807</v>
      </c>
      <c r="H54" s="15" t="n">
        <f aca="false">IF($A54&lt;2,"",VLOOKUP($A54,All_Data,H$69,0))</f>
        <v>1651.235697</v>
      </c>
      <c r="I54" s="15" t="n">
        <f aca="false">IF($A54&lt;2,"",VLOOKUP($A54,All_Data,I$69,0))</f>
        <v>225.2709</v>
      </c>
      <c r="J54" s="15" t="n">
        <f aca="false">IF($A54&lt;2,"",VLOOKUP($A54,All_Data,J$69,0))</f>
        <v>576.2429622</v>
      </c>
      <c r="K54" s="15" t="n">
        <f aca="false">IF($A54&lt;2,"",VLOOKUP($A54,All_Data,K$69,0))</f>
        <v>159.0412554</v>
      </c>
      <c r="L54" s="15" t="n">
        <f aca="false">IF($A54&lt;2,"",VLOOKUP($A54,All_Data,L$69,0))</f>
        <v>194.1835158</v>
      </c>
      <c r="M54" s="15" t="n">
        <f aca="false">IF($A54&lt;2,"",VLOOKUP($A54,All_Data,M$69,0))</f>
        <v>521.7274044</v>
      </c>
      <c r="N54" s="55" t="n">
        <f aca="false">SUM(D54:M54)</f>
        <v>45054.18</v>
      </c>
      <c r="P54" s="56" t="str">
        <f aca="false">IF(A54&lt;2,"",A54)</f>
        <v>2.13.3</v>
      </c>
      <c r="Q54" s="57" t="str">
        <f aca="false">IF($A54&lt;2,"",VLOOKUP($A54,All_Data,Q$69,0))</f>
        <v>Emma CDP</v>
      </c>
      <c r="R54" s="26" t="n">
        <f aca="false">SUM(S54:Z54)</f>
        <v>55259.3340472924</v>
      </c>
      <c r="S54" s="14" t="n">
        <f aca="false">IF($A54&lt;2,"",VLOOKUP($A54,All_Data,S$69,0))</f>
        <v>38325.4271524517</v>
      </c>
      <c r="T54" s="15" t="n">
        <f aca="false">IF($A54&lt;2,"",VLOOKUP($A54,All_Data,T$69,0))</f>
        <v>6073.28472903626</v>
      </c>
      <c r="U54" s="15" t="n">
        <f aca="false">IF($A54&lt;2,"",VLOOKUP($A54,All_Data,U$69,0))</f>
        <v>4155.67962858856</v>
      </c>
      <c r="V54" s="15" t="n">
        <f aca="false">IF($A54&lt;2,"",VLOOKUP($A54,All_Data,V$69,0))</f>
        <v>732.738046329215</v>
      </c>
      <c r="W54" s="15" t="n">
        <f aca="false">IF($A54&lt;2,"",VLOOKUP($A54,All_Data,W$69,0))</f>
        <v>1880.35717999667</v>
      </c>
      <c r="X54" s="15" t="n">
        <f aca="false">IF($A54&lt;2,"",VLOOKUP($A54,All_Data,X$69,0))</f>
        <v>636.472039772183</v>
      </c>
      <c r="Y54" s="15" t="n">
        <f aca="false">IF($A54&lt;2,"",VLOOKUP($A54,All_Data,Y$69,0))</f>
        <v>778.628690809938</v>
      </c>
      <c r="Z54" s="16" t="n">
        <f aca="false">IF($A54&lt;2,"",VLOOKUP($A54,All_Data,Z$69,0))</f>
        <v>2676.74658030789</v>
      </c>
      <c r="AA54" s="25" t="n">
        <f aca="false">IF(N54=0,,R54/N54*1000)</f>
        <v>1226.5084848352</v>
      </c>
      <c r="AB54" s="26" t="n">
        <f aca="false">IF($A54&lt;2,,VLOOKUP($A54,All_Data,AB$69,0))</f>
        <v>55281.48</v>
      </c>
      <c r="AC54" s="27" t="n">
        <f aca="false">IF(AB54=0,,R54/AB54)</f>
        <v>0.99959939653013</v>
      </c>
    </row>
    <row r="55" customFormat="false" ht="15" hidden="false" customHeight="false" outlineLevel="0" collapsed="false">
      <c r="A55" s="53" t="s">
        <v>72</v>
      </c>
      <c r="B55" s="54" t="str">
        <f aca="false">IF($A55&lt;2,"",VLOOKUP($A55,All_Data,B$69,0))</f>
        <v>Crestwood CDP</v>
      </c>
      <c r="C55" s="26" t="n">
        <f aca="false">IF($A55&lt;2,"",VLOOKUP($A55,All_Data,C$69,0))</f>
        <v>300611.73</v>
      </c>
      <c r="D55" s="14" t="n">
        <f aca="false">IF($A55&lt;2,"",VLOOKUP($A55,All_Data,D$69,0))</f>
        <v>547.1133486</v>
      </c>
      <c r="E55" s="15" t="n">
        <f aca="false">IF($A55&lt;2,"",VLOOKUP($A55,All_Data,E$69,0))</f>
        <v>2005.0802391</v>
      </c>
      <c r="F55" s="15" t="n">
        <f aca="false">IF($A55&lt;2,"",VLOOKUP($A55,All_Data,F$69,0))</f>
        <v>252859.5566895</v>
      </c>
      <c r="G55" s="15" t="n">
        <f aca="false">IF($A55&lt;2,"",VLOOKUP($A55,All_Data,G$69,0))</f>
        <v>23156.1215619</v>
      </c>
      <c r="H55" s="15" t="n">
        <f aca="false">IF($A55&lt;2,"",VLOOKUP($A55,All_Data,H$69,0))</f>
        <v>11426.2518573</v>
      </c>
      <c r="I55" s="15" t="n">
        <f aca="false">IF($A55&lt;2,"",VLOOKUP($A55,All_Data,I$69,0))</f>
        <v>1593.242169</v>
      </c>
      <c r="J55" s="15" t="n">
        <f aca="false">IF($A55&lt;2,"",VLOOKUP($A55,All_Data,J$69,0))</f>
        <v>4355.8639677</v>
      </c>
      <c r="K55" s="15" t="n">
        <f aca="false">IF($A55&lt;2,"",VLOOKUP($A55,All_Data,K$69,0))</f>
        <v>1220.4836238</v>
      </c>
      <c r="L55" s="15" t="n">
        <f aca="false">IF($A55&lt;2,"",VLOOKUP($A55,All_Data,L$69,0))</f>
        <v>1536.1259403</v>
      </c>
      <c r="M55" s="15" t="n">
        <f aca="false">IF($A55&lt;2,"",VLOOKUP($A55,All_Data,M$69,0))</f>
        <v>1911.8906028</v>
      </c>
      <c r="N55" s="55" t="n">
        <f aca="false">SUM(D55:M55)</f>
        <v>300611.73</v>
      </c>
      <c r="P55" s="56" t="str">
        <f aca="false">IF(A55&lt;2,"",A55)</f>
        <v>2.14.1</v>
      </c>
      <c r="Q55" s="57" t="str">
        <f aca="false">IF($A55&lt;2,"",VLOOKUP($A55,All_Data,Q$69,0))</f>
        <v>Crestwood CDP</v>
      </c>
      <c r="R55" s="26" t="n">
        <f aca="false">SUM(S55:Z55)</f>
        <v>365404.80046383</v>
      </c>
      <c r="S55" s="14" t="n">
        <f aca="false">IF($A55&lt;2,"",VLOOKUP($A55,All_Data,S$69,0))</f>
        <v>255418.925693794</v>
      </c>
      <c r="T55" s="15" t="n">
        <f aca="false">IF($A55&lt;2,"",VLOOKUP($A55,All_Data,T$69,0))</f>
        <v>40986.8113999548</v>
      </c>
      <c r="U55" s="15" t="n">
        <f aca="false">IF($A55&lt;2,"",VLOOKUP($A55,All_Data,U$69,0))</f>
        <v>28753.8796643514</v>
      </c>
      <c r="V55" s="15" t="n">
        <f aca="false">IF($A55&lt;2,"",VLOOKUP($A55,All_Data,V$69,0))</f>
        <v>5181.85323516941</v>
      </c>
      <c r="W55" s="15" t="n">
        <f aca="false">IF($A55&lt;2,"",VLOOKUP($A55,All_Data,W$69,0))</f>
        <v>14212.4416486172</v>
      </c>
      <c r="X55" s="15" t="n">
        <f aca="false">IF($A55&lt;2,"",VLOOKUP($A55,All_Data,X$69,0))</f>
        <v>4883.83697926884</v>
      </c>
      <c r="Y55" s="15" t="n">
        <f aca="false">IF($A55&lt;2,"",VLOOKUP($A55,All_Data,Y$69,0))</f>
        <v>6158.9195804404</v>
      </c>
      <c r="Z55" s="16" t="n">
        <f aca="false">IF($A55&lt;2,"",VLOOKUP($A55,All_Data,Z$69,0))</f>
        <v>9808.13226223336</v>
      </c>
      <c r="AA55" s="25" t="n">
        <f aca="false">IF(N55=0,,R55/N55*1000)</f>
        <v>1215.53739923532</v>
      </c>
      <c r="AB55" s="26" t="n">
        <f aca="false">IF($A55&lt;2,,VLOOKUP($A55,All_Data,AB$69,0))</f>
        <v>365543.87</v>
      </c>
      <c r="AC55" s="27" t="n">
        <f aca="false">IF(AB55=0,,R55/AB55)</f>
        <v>0.999619554456841</v>
      </c>
    </row>
    <row r="56" customFormat="false" ht="15" hidden="false" customHeight="false" outlineLevel="0" collapsed="false">
      <c r="A56" s="53" t="s">
        <v>73</v>
      </c>
      <c r="B56" s="54" t="str">
        <f aca="false">IF($A56&lt;2,"",VLOOKUP($A56,All_Data,B$69,0))</f>
        <v>Jim Ed CDP</v>
      </c>
      <c r="C56" s="26" t="n">
        <f aca="false">IF($A56&lt;2,"",VLOOKUP($A56,All_Data,C$69,0))</f>
        <v>187564.33</v>
      </c>
      <c r="D56" s="14" t="n">
        <f aca="false">IF($A56&lt;2,"",VLOOKUP($A56,All_Data,D$69,0))</f>
        <v>772.7650396</v>
      </c>
      <c r="E56" s="15" t="n">
        <f aca="false">IF($A56&lt;2,"",VLOOKUP($A56,All_Data,E$69,0))</f>
        <v>3734.4058103</v>
      </c>
      <c r="F56" s="15" t="n">
        <f aca="false">IF($A56&lt;2,"",VLOOKUP($A56,All_Data,F$69,0))</f>
        <v>148969.2178159</v>
      </c>
      <c r="G56" s="15" t="n">
        <f aca="false">IF($A56&lt;2,"",VLOOKUP($A56,All_Data,G$69,0))</f>
        <v>16640.7073576</v>
      </c>
      <c r="H56" s="15" t="n">
        <f aca="false">IF($A56&lt;2,"",VLOOKUP($A56,All_Data,H$69,0))</f>
        <v>8836.1555863</v>
      </c>
      <c r="I56" s="15" t="n">
        <f aca="false">IF($A56&lt;2,"",VLOOKUP($A56,All_Data,I$69,0))</f>
        <v>1136.6398398</v>
      </c>
      <c r="J56" s="15" t="n">
        <f aca="false">IF($A56&lt;2,"",VLOOKUP($A56,All_Data,J$69,0))</f>
        <v>3276.7488451</v>
      </c>
      <c r="K56" s="15" t="n">
        <f aca="false">IF($A56&lt;2,"",VLOOKUP($A56,All_Data,K$69,0))</f>
        <v>994.090949</v>
      </c>
      <c r="L56" s="15" t="n">
        <f aca="false">IF($A56&lt;2,"",VLOOKUP($A56,All_Data,L$69,0))</f>
        <v>1082.2461841</v>
      </c>
      <c r="M56" s="15" t="n">
        <f aca="false">IF($A56&lt;2,"",VLOOKUP($A56,All_Data,M$69,0))</f>
        <v>2121.3525723</v>
      </c>
      <c r="N56" s="55" t="n">
        <f aca="false">SUM(D56:M56)</f>
        <v>187564.33</v>
      </c>
      <c r="P56" s="56" t="str">
        <f aca="false">IF(A56&lt;2,"",A56)</f>
        <v>2.15.1</v>
      </c>
      <c r="Q56" s="57" t="str">
        <f aca="false">IF($A56&lt;2,"",VLOOKUP($A56,All_Data,Q$69,0))</f>
        <v>Jim Ed CDP</v>
      </c>
      <c r="R56" s="26" t="n">
        <f aca="false">SUM(S56:Z56)</f>
        <v>235847.929158675</v>
      </c>
      <c r="S56" s="14" t="n">
        <f aca="false">IF($A56&lt;2,"",VLOOKUP($A56,All_Data,S$69,0))</f>
        <v>150536.088188645</v>
      </c>
      <c r="T56" s="15" t="n">
        <f aca="false">IF($A56&lt;2,"",VLOOKUP($A56,All_Data,T$69,0))</f>
        <v>29465.9523991691</v>
      </c>
      <c r="U56" s="15" t="n">
        <f aca="false">IF($A56&lt;2,"",VLOOKUP($A56,All_Data,U$69,0))</f>
        <v>22244.6921493845</v>
      </c>
      <c r="V56" s="15" t="n">
        <f aca="false">IF($A56&lt;2,"",VLOOKUP($A56,All_Data,V$69,0))</f>
        <v>3698.25265090933</v>
      </c>
      <c r="W56" s="15" t="n">
        <f aca="false">IF($A56&lt;2,"",VLOOKUP($A56,All_Data,W$69,0))</f>
        <v>10695.6683630023</v>
      </c>
      <c r="X56" s="15" t="n">
        <f aca="false">IF($A56&lt;2,"",VLOOKUP($A56,All_Data,X$69,0))</f>
        <v>3979.47434510841</v>
      </c>
      <c r="Y56" s="15" t="n">
        <f aca="false">IF($A56&lt;2,"",VLOOKUP($A56,All_Data,Y$69,0))</f>
        <v>4340.84382116682</v>
      </c>
      <c r="Z56" s="16" t="n">
        <f aca="false">IF($A56&lt;2,"",VLOOKUP($A56,All_Data,Z$69,0))</f>
        <v>10886.9572412888</v>
      </c>
      <c r="AA56" s="25" t="n">
        <f aca="false">IF(N56=0,,R56/N56*1000)</f>
        <v>1257.42420831655</v>
      </c>
      <c r="AB56" s="26" t="n">
        <f aca="false">IF($A56&lt;2,,VLOOKUP($A56,All_Data,AB$69,0))</f>
        <v>235768.36</v>
      </c>
      <c r="AC56" s="27" t="n">
        <f aca="false">IF(AB56=0,,R56/AB56)</f>
        <v>1.00033748870576</v>
      </c>
    </row>
    <row r="57" customFormat="false" ht="15" hidden="false" customHeight="false" outlineLevel="0" collapsed="false">
      <c r="A57" s="53" t="s">
        <v>74</v>
      </c>
      <c r="B57" s="54" t="str">
        <f aca="false">IF($A57&lt;2,"",VLOOKUP($A57,All_Data,B$69,0))</f>
        <v>Parker CDP</v>
      </c>
      <c r="C57" s="26" t="n">
        <f aca="false">IF($A57&lt;2,"",VLOOKUP($A57,All_Data,C$69,0))</f>
        <v>425503.15</v>
      </c>
      <c r="D57" s="14" t="n">
        <f aca="false">IF($A57&lt;2,"",VLOOKUP($A57,All_Data,D$69,0))</f>
        <v>3038.092491</v>
      </c>
      <c r="E57" s="15" t="n">
        <f aca="false">IF($A57&lt;2,"",VLOOKUP($A57,All_Data,E$69,0))</f>
        <v>5629.4066745</v>
      </c>
      <c r="F57" s="15" t="n">
        <f aca="false">IF($A57&lt;2,"",VLOOKUP($A57,All_Data,F$69,0))</f>
        <v>304915.55729</v>
      </c>
      <c r="G57" s="15" t="n">
        <f aca="false">IF($A57&lt;2,"",VLOOKUP($A57,All_Data,G$69,0))</f>
        <v>53877.208853</v>
      </c>
      <c r="H57" s="15" t="n">
        <f aca="false">IF($A57&lt;2,"",VLOOKUP($A57,All_Data,H$69,0))</f>
        <v>35116.7749695</v>
      </c>
      <c r="I57" s="15" t="n">
        <f aca="false">IF($A57&lt;2,"",VLOOKUP($A57,All_Data,I$69,0))</f>
        <v>4195.461059</v>
      </c>
      <c r="J57" s="15" t="n">
        <f aca="false">IF($A57&lt;2,"",VLOOKUP($A57,All_Data,J$69,0))</f>
        <v>12292.7860035</v>
      </c>
      <c r="K57" s="15" t="n">
        <f aca="false">IF($A57&lt;2,"",VLOOKUP($A57,All_Data,K$69,0))</f>
        <v>2289.206947</v>
      </c>
      <c r="L57" s="15" t="n">
        <f aca="false">IF($A57&lt;2,"",VLOOKUP($A57,All_Data,L$69,0))</f>
        <v>2442.388081</v>
      </c>
      <c r="M57" s="15" t="n">
        <f aca="false">IF($A57&lt;2,"",VLOOKUP($A57,All_Data,M$69,0))</f>
        <v>1706.2676315</v>
      </c>
      <c r="N57" s="55" t="n">
        <f aca="false">SUM(D57:M57)</f>
        <v>425503.15</v>
      </c>
      <c r="P57" s="56" t="str">
        <f aca="false">IF(A57&lt;2,"",A57)</f>
        <v>2.15.2</v>
      </c>
      <c r="Q57" s="57" t="str">
        <f aca="false">IF($A57&lt;2,"",VLOOKUP($A57,All_Data,Q$69,0))</f>
        <v>Parker CDP</v>
      </c>
      <c r="R57" s="26" t="n">
        <f aca="false">SUM(S57:Z57)</f>
        <v>573794.208717603</v>
      </c>
      <c r="S57" s="14" t="n">
        <f aca="false">IF($A57&lt;2,"",VLOOKUP($A57,All_Data,S$69,0))</f>
        <v>308322.840177421</v>
      </c>
      <c r="T57" s="15" t="n">
        <f aca="false">IF($A57&lt;2,"",VLOOKUP($A57,All_Data,T$69,0))</f>
        <v>95463.1617485666</v>
      </c>
      <c r="U57" s="15" t="n">
        <f aca="false">IF($A57&lt;2,"",VLOOKUP($A57,All_Data,U$69,0))</f>
        <v>88462.5992433771</v>
      </c>
      <c r="V57" s="15" t="n">
        <f aca="false">IF($A57&lt;2,"",VLOOKUP($A57,All_Data,V$69,0))</f>
        <v>13659.5195219133</v>
      </c>
      <c r="W57" s="15" t="n">
        <f aca="false">IF($A57&lt;2,"",VLOOKUP($A57,All_Data,W$69,0))</f>
        <v>40151.0697252393</v>
      </c>
      <c r="X57" s="15" t="n">
        <f aca="false">IF($A57&lt;2,"",VLOOKUP($A57,All_Data,X$69,0))</f>
        <v>9169.94372513116</v>
      </c>
      <c r="Y57" s="15" t="n">
        <f aca="false">IF($A57&lt;2,"",VLOOKUP($A57,All_Data,Y$69,0))</f>
        <v>9802.67930886555</v>
      </c>
      <c r="Z57" s="16" t="n">
        <f aca="false">IF($A57&lt;2,"",VLOOKUP($A57,All_Data,Z$69,0))</f>
        <v>8762.3952670885</v>
      </c>
      <c r="AA57" s="25" t="n">
        <f aca="false">IF(N57=0,,R57/N57*1000)</f>
        <v>1348.50754622522</v>
      </c>
      <c r="AB57" s="26" t="n">
        <f aca="false">IF($A57&lt;2,,VLOOKUP($A57,All_Data,AB$69,0))</f>
        <v>574003.75</v>
      </c>
      <c r="AC57" s="27" t="n">
        <f aca="false">IF(AB57=0,,R57/AB57)</f>
        <v>0.999634947885972</v>
      </c>
    </row>
    <row r="58" customFormat="false" ht="15" hidden="false" customHeight="false" outlineLevel="0" collapsed="false">
      <c r="A58" s="53" t="s">
        <v>75</v>
      </c>
      <c r="B58" s="54" t="str">
        <f aca="false">IF($A58&lt;2,"",VLOOKUP($A58,All_Data,B$69,0))</f>
        <v>Parker 2 CDP</v>
      </c>
      <c r="C58" s="26" t="n">
        <f aca="false">IF($A58&lt;2,"",VLOOKUP($A58,All_Data,C$69,0))</f>
        <v>0</v>
      </c>
      <c r="D58" s="14" t="n">
        <f aca="false">IF($A58&lt;2,"",VLOOKUP($A58,All_Data,D$69,0))</f>
        <v>0</v>
      </c>
      <c r="E58" s="15" t="n">
        <f aca="false">IF($A58&lt;2,"",VLOOKUP($A58,All_Data,E$69,0))</f>
        <v>0</v>
      </c>
      <c r="F58" s="15" t="n">
        <f aca="false">IF($A58&lt;2,"",VLOOKUP($A58,All_Data,F$69,0))</f>
        <v>0</v>
      </c>
      <c r="G58" s="15" t="n">
        <f aca="false">IF($A58&lt;2,"",VLOOKUP($A58,All_Data,G$69,0))</f>
        <v>0</v>
      </c>
      <c r="H58" s="15" t="n">
        <f aca="false">IF($A58&lt;2,"",VLOOKUP($A58,All_Data,H$69,0))</f>
        <v>0</v>
      </c>
      <c r="I58" s="15" t="n">
        <f aca="false">IF($A58&lt;2,"",VLOOKUP($A58,All_Data,I$69,0))</f>
        <v>0</v>
      </c>
      <c r="J58" s="15" t="n">
        <f aca="false">IF($A58&lt;2,"",VLOOKUP($A58,All_Data,J$69,0))</f>
        <v>0</v>
      </c>
      <c r="K58" s="15" t="n">
        <f aca="false">IF($A58&lt;2,"",VLOOKUP($A58,All_Data,K$69,0))</f>
        <v>0</v>
      </c>
      <c r="L58" s="15" t="n">
        <f aca="false">IF($A58&lt;2,"",VLOOKUP($A58,All_Data,L$69,0))</f>
        <v>0</v>
      </c>
      <c r="M58" s="15" t="n">
        <f aca="false">IF($A58&lt;2,"",VLOOKUP($A58,All_Data,M$69,0))</f>
        <v>0</v>
      </c>
      <c r="N58" s="55" t="n">
        <f aca="false">SUM(D58:M58)</f>
        <v>0</v>
      </c>
      <c r="P58" s="56" t="str">
        <f aca="false">IF(A58&lt;2,"",A58)</f>
        <v>2.15.3</v>
      </c>
      <c r="Q58" s="57" t="str">
        <f aca="false">IF($A58&lt;2,"",VLOOKUP($A58,All_Data,Q$69,0))</f>
        <v>Parker 2 CDP</v>
      </c>
      <c r="R58" s="26" t="n">
        <f aca="false">SUM(S58:Z58)</f>
        <v>0</v>
      </c>
      <c r="S58" s="14" t="n">
        <f aca="false">IF($A58&lt;2,"",VLOOKUP($A58,All_Data,S$69,0))</f>
        <v>0</v>
      </c>
      <c r="T58" s="15" t="n">
        <f aca="false">IF($A58&lt;2,"",VLOOKUP($A58,All_Data,T$69,0))</f>
        <v>0</v>
      </c>
      <c r="U58" s="15" t="n">
        <f aca="false">IF($A58&lt;2,"",VLOOKUP($A58,All_Data,U$69,0))</f>
        <v>0</v>
      </c>
      <c r="V58" s="15" t="n">
        <f aca="false">IF($A58&lt;2,"",VLOOKUP($A58,All_Data,V$69,0))</f>
        <v>0</v>
      </c>
      <c r="W58" s="15" t="n">
        <f aca="false">IF($A58&lt;2,"",VLOOKUP($A58,All_Data,W$69,0))</f>
        <v>0</v>
      </c>
      <c r="X58" s="15" t="n">
        <f aca="false">IF($A58&lt;2,"",VLOOKUP($A58,All_Data,X$69,0))</f>
        <v>0</v>
      </c>
      <c r="Y58" s="15" t="n">
        <f aca="false">IF($A58&lt;2,"",VLOOKUP($A58,All_Data,Y$69,0))</f>
        <v>0</v>
      </c>
      <c r="Z58" s="16" t="n">
        <f aca="false">IF($A58&lt;2,"",VLOOKUP($A58,All_Data,Z$69,0))</f>
        <v>0</v>
      </c>
      <c r="AA58" s="25" t="n">
        <f aca="false">IF(N58=0,,R58/N58*1000)</f>
        <v>0</v>
      </c>
      <c r="AB58" s="26" t="n">
        <f aca="false">IF($A58&lt;2,,VLOOKUP($A58,All_Data,AB$69,0))</f>
        <v>0</v>
      </c>
      <c r="AC58" s="27" t="n">
        <f aca="false">IF(AB58=0,,R58/AB58)</f>
        <v>0</v>
      </c>
    </row>
    <row r="59" customFormat="false" ht="15" hidden="false" customHeight="false" outlineLevel="0" collapsed="false">
      <c r="A59" s="53" t="s">
        <v>76</v>
      </c>
      <c r="B59" s="54" t="str">
        <f aca="false">IF($A59&lt;2,"",VLOOKUP($A59,All_Data,B$69,0))</f>
        <v>Rock Ridge Federal CDP</v>
      </c>
      <c r="C59" s="26" t="n">
        <f aca="false">IF($A59&lt;2,"",VLOOKUP($A59,All_Data,C$69,0))</f>
        <v>226763.72</v>
      </c>
      <c r="D59" s="14" t="n">
        <f aca="false">IF($A59&lt;2,"",VLOOKUP($A59,All_Data,D$69,0))</f>
        <v>3299.412126</v>
      </c>
      <c r="E59" s="15" t="n">
        <f aca="false">IF($A59&lt;2,"",VLOOKUP($A59,All_Data,E$69,0))</f>
        <v>2659.9384356</v>
      </c>
      <c r="F59" s="15" t="n">
        <f aca="false">IF($A59&lt;2,"",VLOOKUP($A59,All_Data,F$69,0))</f>
        <v>177263.4675612</v>
      </c>
      <c r="G59" s="15" t="n">
        <f aca="false">IF($A59&lt;2,"",VLOOKUP($A59,All_Data,G$69,0))</f>
        <v>24817.0215168</v>
      </c>
      <c r="H59" s="15" t="n">
        <f aca="false">IF($A59&lt;2,"",VLOOKUP($A59,All_Data,H$69,0))</f>
        <v>10939.0818528</v>
      </c>
      <c r="I59" s="15" t="n">
        <f aca="false">IF($A59&lt;2,"",VLOOKUP($A59,All_Data,I$69,0))</f>
        <v>1530.65511</v>
      </c>
      <c r="J59" s="15" t="n">
        <f aca="false">IF($A59&lt;2,"",VLOOKUP($A59,All_Data,J$69,0))</f>
        <v>3349.3001444</v>
      </c>
      <c r="K59" s="15" t="n">
        <f aca="false">IF($A59&lt;2,"",VLOOKUP($A59,All_Data,K$69,0))</f>
        <v>805.011206</v>
      </c>
      <c r="L59" s="15" t="n">
        <f aca="false">IF($A59&lt;2,"",VLOOKUP($A59,All_Data,L$69,0))</f>
        <v>850.36395</v>
      </c>
      <c r="M59" s="15" t="n">
        <f aca="false">IF($A59&lt;2,"",VLOOKUP($A59,All_Data,M$69,0))</f>
        <v>1249.4680972</v>
      </c>
      <c r="N59" s="55" t="n">
        <f aca="false">SUM(D59:M59)</f>
        <v>226763.72</v>
      </c>
      <c r="P59" s="56" t="str">
        <f aca="false">IF(A59&lt;2,"",A59)</f>
        <v>2.16.1</v>
      </c>
      <c r="Q59" s="57" t="str">
        <f aca="false">IF($A59&lt;2,"",VLOOKUP($A59,All_Data,Q$69,0))</f>
        <v>Rock Ridge Federal CDP</v>
      </c>
      <c r="R59" s="26" t="n">
        <f aca="false">SUM(S59:Z59)</f>
        <v>279534.589916419</v>
      </c>
      <c r="S59" s="14" t="n">
        <f aca="false">IF($A59&lt;2,"",VLOOKUP($A59,All_Data,S$69,0))</f>
        <v>179105.898276128</v>
      </c>
      <c r="T59" s="15" t="n">
        <f aca="false">IF($A59&lt;2,"",VLOOKUP($A59,All_Data,T$69,0))</f>
        <v>43938.4685460944</v>
      </c>
      <c r="U59" s="15" t="n">
        <f aca="false">IF($A59&lt;2,"",VLOOKUP($A59,All_Data,U$69,0))</f>
        <v>27535.3420817324</v>
      </c>
      <c r="V59" s="15" t="n">
        <f aca="false">IF($A59&lt;2,"",VLOOKUP($A59,All_Data,V$69,0))</f>
        <v>4979.63610847197</v>
      </c>
      <c r="W59" s="15" t="n">
        <f aca="false">IF($A59&lt;2,"",VLOOKUP($A59,All_Data,W$69,0))</f>
        <v>10931.1385850406</v>
      </c>
      <c r="X59" s="15" t="n">
        <f aca="false">IF($A59&lt;2,"",VLOOKUP($A59,All_Data,X$69,0))</f>
        <v>3222.16721337822</v>
      </c>
      <c r="Y59" s="15" t="n">
        <f aca="false">IF($A59&lt;2,"",VLOOKUP($A59,All_Data,Y$69,0))</f>
        <v>3410.3542751361</v>
      </c>
      <c r="Z59" s="16" t="n">
        <f aca="false">IF($A59&lt;2,"",VLOOKUP($A59,All_Data,Z$69,0))</f>
        <v>6411.58483043818</v>
      </c>
      <c r="AA59" s="25" t="n">
        <f aca="false">IF(N59=0,,R59/N59*1000)</f>
        <v>1232.71301915677</v>
      </c>
      <c r="AB59" s="26" t="n">
        <f aca="false">IF($A59&lt;2,,VLOOKUP($A59,All_Data,AB$69,0))</f>
        <v>279599.66</v>
      </c>
      <c r="AC59" s="27" t="n">
        <f aca="false">IF(AB59=0,,R59/AB59)</f>
        <v>0.999767274096183</v>
      </c>
    </row>
    <row r="60" customFormat="false" ht="15" hidden="false" customHeight="false" outlineLevel="0" collapsed="false">
      <c r="A60" s="53" t="s">
        <v>77</v>
      </c>
      <c r="B60" s="54" t="str">
        <f aca="false">IF($A60&lt;2,"",VLOOKUP($A60,All_Data,B$69,0))</f>
        <v>Roy CDP</v>
      </c>
      <c r="C60" s="26" t="n">
        <f aca="false">IF($A60&lt;2,"",VLOOKUP($A60,All_Data,C$69,0))</f>
        <v>51042.07</v>
      </c>
      <c r="D60" s="14" t="n">
        <f aca="false">IF($A60&lt;2,"",VLOOKUP($A60,All_Data,D$69,0))</f>
        <v>178.647245</v>
      </c>
      <c r="E60" s="15" t="n">
        <f aca="false">IF($A60&lt;2,"",VLOOKUP($A60,All_Data,E$69,0))</f>
        <v>644.1509234</v>
      </c>
      <c r="F60" s="15" t="n">
        <f aca="false">IF($A60&lt;2,"",VLOOKUP($A60,All_Data,F$69,0))</f>
        <v>35357.3523097</v>
      </c>
      <c r="G60" s="15" t="n">
        <f aca="false">IF($A60&lt;2,"",VLOOKUP($A60,All_Data,G$69,0))</f>
        <v>6909.5650159</v>
      </c>
      <c r="H60" s="15" t="n">
        <f aca="false">IF($A60&lt;2,"",VLOOKUP($A60,All_Data,H$69,0))</f>
        <v>4544.7859128</v>
      </c>
      <c r="I60" s="15" t="n">
        <f aca="false">IF($A60&lt;2,"",VLOOKUP($A60,All_Data,I$69,0))</f>
        <v>492.5559755</v>
      </c>
      <c r="J60" s="15" t="n">
        <f aca="false">IF($A60&lt;2,"",VLOOKUP($A60,All_Data,J$69,0))</f>
        <v>1575.6687009</v>
      </c>
      <c r="K60" s="15" t="n">
        <f aca="false">IF($A60&lt;2,"",VLOOKUP($A60,All_Data,K$69,0))</f>
        <v>320.0337789</v>
      </c>
      <c r="L60" s="15" t="n">
        <f aca="false">IF($A60&lt;2,"",VLOOKUP($A60,All_Data,L$69,0))</f>
        <v>373.6279524</v>
      </c>
      <c r="M60" s="15" t="n">
        <f aca="false">IF($A60&lt;2,"",VLOOKUP($A60,All_Data,M$69,0))</f>
        <v>645.6821855</v>
      </c>
      <c r="N60" s="55" t="n">
        <f aca="false">SUM(D60:M60)</f>
        <v>51042.07</v>
      </c>
      <c r="P60" s="56" t="str">
        <f aca="false">IF(A60&lt;2,"",A60)</f>
        <v>2.17.1</v>
      </c>
      <c r="Q60" s="57" t="str">
        <f aca="false">IF($A60&lt;2,"",VLOOKUP($A60,All_Data,Q$69,0))</f>
        <v>Roy CDP</v>
      </c>
      <c r="R60" s="26" t="n">
        <f aca="false">SUM(S60:Z60)</f>
        <v>72331.5654548649</v>
      </c>
      <c r="S60" s="14" t="n">
        <f aca="false">IF($A60&lt;2,"",VLOOKUP($A60,All_Data,S$69,0))</f>
        <v>35772.227480209</v>
      </c>
      <c r="T60" s="15" t="n">
        <f aca="false">IF($A60&lt;2,"",VLOOKUP($A60,All_Data,T$69,0))</f>
        <v>12249.5903817368</v>
      </c>
      <c r="U60" s="15" t="n">
        <f aca="false">IF($A60&lt;2,"",VLOOKUP($A60,All_Data,U$69,0))</f>
        <v>11455.0934002756</v>
      </c>
      <c r="V60" s="15" t="n">
        <f aca="false">IF($A60&lt;2,"",VLOOKUP($A60,All_Data,V$69,0))</f>
        <v>1604.54334696951</v>
      </c>
      <c r="W60" s="15" t="n">
        <f aca="false">IF($A60&lt;2,"",VLOOKUP($A60,All_Data,W$69,0))</f>
        <v>5149.34322903362</v>
      </c>
      <c r="X60" s="15" t="n">
        <f aca="false">IF($A60&lt;2,"",VLOOKUP($A60,All_Data,X$69,0))</f>
        <v>1282.67777030837</v>
      </c>
      <c r="Y60" s="15" t="n">
        <f aca="false">IF($A60&lt;2,"",VLOOKUP($A60,All_Data,Y$69,0))</f>
        <v>1500.40884713077</v>
      </c>
      <c r="Z60" s="16" t="n">
        <f aca="false">IF($A60&lt;2,"",VLOOKUP($A60,All_Data,Z$69,0))</f>
        <v>3317.68099920115</v>
      </c>
      <c r="AA60" s="25" t="n">
        <f aca="false">IF(N60=0,,R60/N60*1000)</f>
        <v>1417.09702319802</v>
      </c>
      <c r="AB60" s="26" t="n">
        <f aca="false">IF($A60&lt;2,,VLOOKUP($A60,All_Data,AB$69,0))</f>
        <v>72326.62</v>
      </c>
      <c r="AC60" s="27" t="n">
        <f aca="false">IF(AB60=0,,R60/AB60)</f>
        <v>1.00006837668987</v>
      </c>
    </row>
    <row r="61" customFormat="false" ht="15" hidden="false" customHeight="false" outlineLevel="0" collapsed="false">
      <c r="A61" s="53" t="s">
        <v>78</v>
      </c>
      <c r="B61" s="54" t="str">
        <f aca="false">IF($A61&lt;2,"",VLOOKUP($A61,All_Data,B$69,0))</f>
        <v>Flat Head CDP</v>
      </c>
      <c r="C61" s="26" t="n">
        <f aca="false">IF($A61&lt;2,"",VLOOKUP($A61,All_Data,C$69,0))</f>
        <v>23172.18</v>
      </c>
      <c r="D61" s="14" t="n">
        <f aca="false">IF($A61&lt;2,"",VLOOKUP($A61,All_Data,D$69,0))</f>
        <v>89.4446148</v>
      </c>
      <c r="E61" s="15" t="n">
        <f aca="false">IF($A61&lt;2,"",VLOOKUP($A61,All_Data,E$69,0))</f>
        <v>288.0301974</v>
      </c>
      <c r="F61" s="15" t="n">
        <f aca="false">IF($A61&lt;2,"",VLOOKUP($A61,All_Data,F$69,0))</f>
        <v>15524.4337128</v>
      </c>
      <c r="G61" s="15" t="n">
        <f aca="false">IF($A61&lt;2,"",VLOOKUP($A61,All_Data,G$69,0))</f>
        <v>2965.1121528</v>
      </c>
      <c r="H61" s="15" t="n">
        <f aca="false">IF($A61&lt;2,"",VLOOKUP($A61,All_Data,H$69,0))</f>
        <v>2090.3623578</v>
      </c>
      <c r="I61" s="15" t="n">
        <f aca="false">IF($A61&lt;2,"",VLOOKUP($A61,All_Data,I$69,0))</f>
        <v>260.4553032</v>
      </c>
      <c r="J61" s="15" t="n">
        <f aca="false">IF($A61&lt;2,"",VLOOKUP($A61,All_Data,J$69,0))</f>
        <v>849.9555624</v>
      </c>
      <c r="K61" s="15" t="n">
        <f aca="false">IF($A61&lt;2,"",VLOOKUP($A61,All_Data,K$69,0))</f>
        <v>209.0130636</v>
      </c>
      <c r="L61" s="15" t="n">
        <f aca="false">IF($A61&lt;2,"",VLOOKUP($A61,All_Data,L$69,0))</f>
        <v>268.797288</v>
      </c>
      <c r="M61" s="15" t="n">
        <f aca="false">IF($A61&lt;2,"",VLOOKUP($A61,All_Data,M$69,0))</f>
        <v>626.5757472</v>
      </c>
      <c r="N61" s="55" t="n">
        <f aca="false">SUM(D61:M61)</f>
        <v>23172.18</v>
      </c>
      <c r="P61" s="56" t="str">
        <f aca="false">IF(A61&lt;2,"",A61)</f>
        <v>2.17.2</v>
      </c>
      <c r="Q61" s="57" t="str">
        <f aca="false">IF($A61&lt;2,"",VLOOKUP($A61,All_Data,Q$69,0))</f>
        <v>Flat Head CDP</v>
      </c>
      <c r="R61" s="26" t="n">
        <f aca="false">SUM(S61:Z61)</f>
        <v>35026.4498307909</v>
      </c>
      <c r="S61" s="14" t="n">
        <f aca="false">IF($A61&lt;2,"",VLOOKUP($A61,All_Data,S$69,0))</f>
        <v>15720.7935120615</v>
      </c>
      <c r="T61" s="15" t="n">
        <f aca="false">IF($A61&lt;2,"",VLOOKUP($A61,All_Data,T$69,0))</f>
        <v>5261.43769331459</v>
      </c>
      <c r="U61" s="15" t="n">
        <f aca="false">IF($A61&lt;2,"",VLOOKUP($A61,All_Data,U$69,0))</f>
        <v>5273.50338319464</v>
      </c>
      <c r="V61" s="15" t="n">
        <f aca="false">IF($A61&lt;2,"",VLOOKUP($A61,All_Data,V$69,0))</f>
        <v>849.222544336696</v>
      </c>
      <c r="W61" s="15" t="n">
        <f aca="false">IF($A61&lt;2,"",VLOOKUP($A61,All_Data,W$69,0))</f>
        <v>2780.19719631429</v>
      </c>
      <c r="X61" s="15" t="n">
        <f aca="false">IF($A61&lt;2,"",VLOOKUP($A61,All_Data,X$69,0))</f>
        <v>838.47019182987</v>
      </c>
      <c r="Y61" s="15" t="n">
        <f aca="false">IF($A61&lt;2,"",VLOOKUP($A61,All_Data,Y$69,0))</f>
        <v>1080.4074925613</v>
      </c>
      <c r="Z61" s="16" t="n">
        <f aca="false">IF($A61&lt;2,"",VLOOKUP($A61,All_Data,Z$69,0))</f>
        <v>3222.41781717801</v>
      </c>
      <c r="AA61" s="25" t="n">
        <f aca="false">IF(N61=0,,R61/N61*1000)</f>
        <v>1511.57335351231</v>
      </c>
      <c r="AB61" s="26" t="n">
        <f aca="false">IF($A61&lt;2,,VLOOKUP($A61,All_Data,AB$69,0))</f>
        <v>35036.33</v>
      </c>
      <c r="AC61" s="27" t="n">
        <f aca="false">IF(AB61=0,,R61/AB61)</f>
        <v>0.999718002164921</v>
      </c>
    </row>
    <row r="62" customFormat="false" ht="15" hidden="false" customHeight="false" outlineLevel="0" collapsed="false">
      <c r="A62" s="53" t="s">
        <v>79</v>
      </c>
      <c r="B62" s="54" t="str">
        <f aca="false">IF($A62&lt;2,"",VLOOKUP($A62,All_Data,B$69,0))</f>
        <v>Jeff East CDP</v>
      </c>
      <c r="C62" s="26" t="n">
        <f aca="false">IF($A62&lt;2,"",VLOOKUP($A62,All_Data,C$69,0))</f>
        <v>164470.78</v>
      </c>
      <c r="D62" s="14" t="n">
        <f aca="false">IF($A62&lt;2,"",VLOOKUP($A62,All_Data,D$69,0))</f>
        <v>743.4079256</v>
      </c>
      <c r="E62" s="15" t="n">
        <f aca="false">IF($A62&lt;2,"",VLOOKUP($A62,All_Data,E$69,0))</f>
        <v>2560.8100446</v>
      </c>
      <c r="F62" s="15" t="n">
        <f aca="false">IF($A62&lt;2,"",VLOOKUP($A62,All_Data,F$69,0))</f>
        <v>112835.178619</v>
      </c>
      <c r="G62" s="15" t="n">
        <f aca="false">IF($A62&lt;2,"",VLOOKUP($A62,All_Data,G$69,0))</f>
        <v>22376.249619</v>
      </c>
      <c r="H62" s="15" t="n">
        <f aca="false">IF($A62&lt;2,"",VLOOKUP($A62,All_Data,H$69,0))</f>
        <v>15300.7166634</v>
      </c>
      <c r="I62" s="15" t="n">
        <f aca="false">IF($A62&lt;2,"",VLOOKUP($A62,All_Data,I$69,0))</f>
        <v>1792.731502</v>
      </c>
      <c r="J62" s="15" t="n">
        <f aca="false">IF($A62&lt;2,"",VLOOKUP($A62,All_Data,J$69,0))</f>
        <v>5376.5497982</v>
      </c>
      <c r="K62" s="15" t="n">
        <f aca="false">IF($A62&lt;2,"",VLOOKUP($A62,All_Data,K$69,0))</f>
        <v>1113.4671806</v>
      </c>
      <c r="L62" s="15" t="n">
        <f aca="false">IF($A62&lt;2,"",VLOOKUP($A62,All_Data,L$69,0))</f>
        <v>1194.0578628</v>
      </c>
      <c r="M62" s="15" t="n">
        <f aca="false">IF($A62&lt;2,"",VLOOKUP($A62,All_Data,M$69,0))</f>
        <v>1177.6107848</v>
      </c>
      <c r="N62" s="55" t="n">
        <f aca="false">SUM(D62:M62)</f>
        <v>164470.78</v>
      </c>
      <c r="P62" s="56" t="str">
        <f aca="false">IF(A62&lt;2,"",A62)</f>
        <v>2.17.3</v>
      </c>
      <c r="Q62" s="57" t="str">
        <f aca="false">IF($A62&lt;2,"",VLOOKUP($A62,All_Data,Q$69,0))</f>
        <v>Jeff East CDP</v>
      </c>
      <c r="R62" s="26" t="n">
        <f aca="false">SUM(S62:Z62)</f>
        <v>231089.063542169</v>
      </c>
      <c r="S62" s="14" t="n">
        <f aca="false">IF($A62&lt;2,"",VLOOKUP($A62,All_Data,S$69,0))</f>
        <v>114147.083882419</v>
      </c>
      <c r="T62" s="15" t="n">
        <f aca="false">IF($A62&lt;2,"",VLOOKUP($A62,All_Data,T$69,0))</f>
        <v>39665.4338960614</v>
      </c>
      <c r="U62" s="15" t="n">
        <f aca="false">IF($A62&lt;2,"",VLOOKUP($A62,All_Data,U$69,0))</f>
        <v>38561.2434676111</v>
      </c>
      <c r="V62" s="15" t="n">
        <f aca="false">IF($A62&lt;2,"",VLOOKUP($A62,All_Data,V$69,0))</f>
        <v>5839.35884170118</v>
      </c>
      <c r="W62" s="15" t="n">
        <f aca="false">IF($A62&lt;2,"",VLOOKUP($A62,All_Data,W$69,0))</f>
        <v>17568.9035027369</v>
      </c>
      <c r="X62" s="15" t="n">
        <f aca="false">IF($A62&lt;2,"",VLOOKUP($A62,All_Data,X$69,0))</f>
        <v>4462.24304963761</v>
      </c>
      <c r="Y62" s="15" t="n">
        <f aca="false">IF($A62&lt;2,"",VLOOKUP($A62,All_Data,Y$69,0))</f>
        <v>4794.57019893224</v>
      </c>
      <c r="Z62" s="16" t="n">
        <f aca="false">IF($A62&lt;2,"",VLOOKUP($A62,All_Data,Z$69,0))</f>
        <v>6050.22670306941</v>
      </c>
      <c r="AA62" s="25" t="n">
        <f aca="false">IF(N62=0,,R62/N62*1000)</f>
        <v>1405.04631608222</v>
      </c>
      <c r="AB62" s="26" t="n">
        <f aca="false">IF($A62&lt;2,,VLOOKUP($A62,All_Data,AB$69,0))</f>
        <v>231081.44</v>
      </c>
      <c r="AC62" s="27" t="n">
        <f aca="false">IF(AB62=0,,R62/AB62)</f>
        <v>1.00003299071604</v>
      </c>
    </row>
    <row r="63" customFormat="false" ht="15" hidden="false" customHeight="false" outlineLevel="0" collapsed="false">
      <c r="A63" s="53" t="s">
        <v>80</v>
      </c>
      <c r="B63" s="54" t="str">
        <f aca="false">IF($A63&lt;2,"",VLOOKUP($A63,All_Data,B$69,0))</f>
        <v>Gillette CDP</v>
      </c>
      <c r="C63" s="26" t="n">
        <f aca="false">IF($A63&lt;2,"",VLOOKUP($A63,All_Data,C$69,0))</f>
        <v>17299.87</v>
      </c>
      <c r="D63" s="14" t="n">
        <f aca="false">IF($A63&lt;2,"",VLOOKUP($A63,All_Data,D$69,0))</f>
        <v>115.909129</v>
      </c>
      <c r="E63" s="15" t="n">
        <f aca="false">IF($A63&lt;2,"",VLOOKUP($A63,All_Data,E$69,0))</f>
        <v>208.8094309</v>
      </c>
      <c r="F63" s="15" t="n">
        <f aca="false">IF($A63&lt;2,"",VLOOKUP($A63,All_Data,F$69,0))</f>
        <v>12058.5283861</v>
      </c>
      <c r="G63" s="15" t="n">
        <f aca="false">IF($A63&lt;2,"",VLOOKUP($A63,All_Data,G$69,0))</f>
        <v>2368.0062056</v>
      </c>
      <c r="H63" s="15" t="n">
        <f aca="false">IF($A63&lt;2,"",VLOOKUP($A63,All_Data,H$69,0))</f>
        <v>1549.5493559</v>
      </c>
      <c r="I63" s="15" t="n">
        <f aca="false">IF($A63&lt;2,"",VLOOKUP($A63,All_Data,I$69,0))</f>
        <v>165.3867572</v>
      </c>
      <c r="J63" s="15" t="n">
        <f aca="false">IF($A63&lt;2,"",VLOOKUP($A63,All_Data,J$69,0))</f>
        <v>499.1012495</v>
      </c>
      <c r="K63" s="15" t="n">
        <f aca="false">IF($A63&lt;2,"",VLOOKUP($A63,All_Data,K$69,0))</f>
        <v>94.8032876</v>
      </c>
      <c r="L63" s="15" t="n">
        <f aca="false">IF($A63&lt;2,"",VLOOKUP($A63,All_Data,L$69,0))</f>
        <v>105.7022057</v>
      </c>
      <c r="M63" s="15" t="n">
        <f aca="false">IF($A63&lt;2,"",VLOOKUP($A63,All_Data,M$69,0))</f>
        <v>134.0739925</v>
      </c>
      <c r="N63" s="55" t="n">
        <f aca="false">SUM(D63:M63)</f>
        <v>17299.87</v>
      </c>
      <c r="P63" s="56" t="str">
        <f aca="false">IF(A63&lt;2,"",A63)</f>
        <v>2.17.4</v>
      </c>
      <c r="Q63" s="57" t="str">
        <f aca="false">IF($A63&lt;2,"",VLOOKUP($A63,All_Data,Q$69,0))</f>
        <v>Gillette CDP</v>
      </c>
      <c r="R63" s="26" t="n">
        <f aca="false">SUM(S63:Z63)</f>
        <v>23960.8941350512</v>
      </c>
      <c r="S63" s="14" t="n">
        <f aca="false">IF($A63&lt;2,"",VLOOKUP($A63,All_Data,S$69,0))</f>
        <v>12196.9388649057</v>
      </c>
      <c r="T63" s="15" t="n">
        <f aca="false">IF($A63&lt;2,"",VLOOKUP($A63,All_Data,T$69,0))</f>
        <v>4197.0484626088</v>
      </c>
      <c r="U63" s="15" t="n">
        <f aca="false">IF($A63&lt;2,"",VLOOKUP($A63,All_Data,U$69,0))</f>
        <v>3904.63917680886</v>
      </c>
      <c r="V63" s="15" t="n">
        <f aca="false">IF($A63&lt;2,"",VLOOKUP($A63,All_Data,V$69,0))</f>
        <v>538.625466175755</v>
      </c>
      <c r="W63" s="15" t="n">
        <f aca="false">IF($A63&lt;2,"",VLOOKUP($A63,All_Data,W$69,0))</f>
        <v>1630.6692384585</v>
      </c>
      <c r="X63" s="15" t="n">
        <f aca="false">IF($A63&lt;2,"",VLOOKUP($A63,All_Data,X$69,0))</f>
        <v>379.870383977036</v>
      </c>
      <c r="Y63" s="15" t="n">
        <f aca="false">IF($A63&lt;2,"",VLOOKUP($A63,All_Data,Y$69,0))</f>
        <v>424.36992249346</v>
      </c>
      <c r="Z63" s="16" t="n">
        <f aca="false">IF($A63&lt;2,"",VLOOKUP($A63,All_Data,Z$69,0))</f>
        <v>688.732619623056</v>
      </c>
      <c r="AA63" s="25" t="n">
        <f aca="false">IF(N63=0,,R63/N63*1000)</f>
        <v>1385.03319013676</v>
      </c>
      <c r="AB63" s="26" t="n">
        <f aca="false">IF($A63&lt;2,,VLOOKUP($A63,All_Data,AB$69,0))</f>
        <v>23960.32</v>
      </c>
      <c r="AC63" s="27" t="n">
        <f aca="false">IF(AB63=0,,R63/AB63)</f>
        <v>1.00002396191083</v>
      </c>
    </row>
    <row r="64" customFormat="false" ht="15" hidden="false" customHeight="false" outlineLevel="0" collapsed="false">
      <c r="A64" s="53" t="s">
        <v>81</v>
      </c>
      <c r="B64" s="54" t="str">
        <f aca="false">IF($A64&lt;2,"",VLOOKUP($A64,All_Data,B$69,0))</f>
        <v>Yellowtail CDP</v>
      </c>
      <c r="C64" s="26" t="n">
        <f aca="false">IF($A64&lt;2,"",VLOOKUP($A64,All_Data,C$69,0))</f>
        <v>93835.16</v>
      </c>
      <c r="D64" s="14" t="n">
        <f aca="false">IF($A64&lt;2,"",VLOOKUP($A64,All_Data,D$69,0))</f>
        <v>632.4489784</v>
      </c>
      <c r="E64" s="15" t="n">
        <f aca="false">IF($A64&lt;2,"",VLOOKUP($A64,All_Data,E$69,0))</f>
        <v>1242.3775184</v>
      </c>
      <c r="F64" s="15" t="n">
        <f aca="false">IF($A64&lt;2,"",VLOOKUP($A64,All_Data,F$69,0))</f>
        <v>63507.636288</v>
      </c>
      <c r="G64" s="15" t="n">
        <f aca="false">IF($A64&lt;2,"",VLOOKUP($A64,All_Data,G$69,0))</f>
        <v>12421.8984808</v>
      </c>
      <c r="H64" s="15" t="n">
        <f aca="false">IF($A64&lt;2,"",VLOOKUP($A64,All_Data,H$69,0))</f>
        <v>8208.6997968</v>
      </c>
      <c r="I64" s="15" t="n">
        <f aca="false">IF($A64&lt;2,"",VLOOKUP($A64,All_Data,I$69,0))</f>
        <v>969.3172028</v>
      </c>
      <c r="J64" s="15" t="n">
        <f aca="false">IF($A64&lt;2,"",VLOOKUP($A64,All_Data,J$69,0))</f>
        <v>3074.0398416</v>
      </c>
      <c r="K64" s="15" t="n">
        <f aca="false">IF($A64&lt;2,"",VLOOKUP($A64,All_Data,K$69,0))</f>
        <v>730.0375448</v>
      </c>
      <c r="L64" s="15" t="n">
        <f aca="false">IF($A64&lt;2,"",VLOOKUP($A64,All_Data,L$69,0))</f>
        <v>855.7766592</v>
      </c>
      <c r="M64" s="15" t="n">
        <f aca="false">IF($A64&lt;2,"",VLOOKUP($A64,All_Data,M$69,0))</f>
        <v>2192.9276892</v>
      </c>
      <c r="N64" s="55" t="n">
        <f aca="false">SUM(D64:M64)</f>
        <v>93835.16</v>
      </c>
      <c r="P64" s="56" t="str">
        <f aca="false">IF(A64&lt;2,"",A64)</f>
        <v>2.17.5</v>
      </c>
      <c r="Q64" s="57" t="str">
        <f aca="false">IF($A64&lt;2,"",VLOOKUP($A64,All_Data,Q$69,0))</f>
        <v>Yellowtail CDP</v>
      </c>
      <c r="R64" s="26" t="n">
        <f aca="false">SUM(S64:Z64)</f>
        <v>137874.82850262</v>
      </c>
      <c r="S64" s="14" t="n">
        <f aca="false">IF($A64&lt;2,"",VLOOKUP($A64,All_Data,S$69,0))</f>
        <v>64288.1865239326</v>
      </c>
      <c r="T64" s="15" t="n">
        <f aca="false">IF($A64&lt;2,"",VLOOKUP($A64,All_Data,T$69,0))</f>
        <v>22034.2266660905</v>
      </c>
      <c r="U64" s="15" t="n">
        <f aca="false">IF($A64&lt;2,"",VLOOKUP($A64,All_Data,U$69,0))</f>
        <v>20701.3446614916</v>
      </c>
      <c r="V64" s="15" t="n">
        <f aca="false">IF($A64&lt;2,"",VLOOKUP($A64,All_Data,V$69,0))</f>
        <v>3159.37196985198</v>
      </c>
      <c r="W64" s="15" t="n">
        <f aca="false">IF($A64&lt;2,"",VLOOKUP($A64,All_Data,W$69,0))</f>
        <v>10051.6047456539</v>
      </c>
      <c r="X64" s="15" t="n">
        <f aca="false">IF($A64&lt;2,"",VLOOKUP($A64,All_Data,X$69,0))</f>
        <v>2927.5607963475</v>
      </c>
      <c r="Y64" s="15" t="n">
        <f aca="false">IF($A64&lt;2,"",VLOOKUP($A64,All_Data,Y$69,0))</f>
        <v>3438.50509355661</v>
      </c>
      <c r="Z64" s="16" t="n">
        <f aca="false">IF($A64&lt;2,"",VLOOKUP($A64,All_Data,Z$69,0))</f>
        <v>11274.0280456953</v>
      </c>
      <c r="AA64" s="25" t="n">
        <f aca="false">IF(N64=0,,R64/N64*1000)</f>
        <v>1469.33013704692</v>
      </c>
      <c r="AB64" s="26" t="n">
        <f aca="false">IF($A64&lt;2,,VLOOKUP($A64,All_Data,AB$69,0))</f>
        <v>137843.85</v>
      </c>
      <c r="AC64" s="27" t="n">
        <f aca="false">IF(AB64=0,,R64/AB64)</f>
        <v>1.00022473619694</v>
      </c>
    </row>
    <row r="65" customFormat="false" ht="15" hidden="false" customHeight="false" outlineLevel="0" collapsed="false">
      <c r="A65" s="53" t="s">
        <v>82</v>
      </c>
      <c r="B65" s="58" t="str">
        <f aca="false">IF($A65&lt;2,"",VLOOKUP($A65,All_Data,B$69,0))</f>
        <v>Wild Jenny CDP</v>
      </c>
      <c r="C65" s="26" t="n">
        <f aca="false">IF($A65&lt;2,"",VLOOKUP($A65,All_Data,C$69,0))</f>
        <v>135025.2</v>
      </c>
      <c r="D65" s="14" t="n">
        <f aca="false">IF($A65&lt;2,"",VLOOKUP($A65,All_Data,D$69,0))</f>
        <v>311.908212</v>
      </c>
      <c r="E65" s="15" t="n">
        <f aca="false">IF($A65&lt;2,"",VLOOKUP($A65,All_Data,E$69,0))</f>
        <v>1212.526296</v>
      </c>
      <c r="F65" s="15" t="n">
        <f aca="false">IF($A65&lt;2,"",VLOOKUP($A65,All_Data,F$69,0))</f>
        <v>104402.834892</v>
      </c>
      <c r="G65" s="15" t="n">
        <f aca="false">IF($A65&lt;2,"",VLOOKUP($A65,All_Data,G$69,0))</f>
        <v>12719.37384</v>
      </c>
      <c r="H65" s="15" t="n">
        <f aca="false">IF($A65&lt;2,"",VLOOKUP($A65,All_Data,H$69,0))</f>
        <v>8115.01452</v>
      </c>
      <c r="I65" s="15" t="n">
        <f aca="false">IF($A65&lt;2,"",VLOOKUP($A65,All_Data,I$69,0))</f>
        <v>1027.541772</v>
      </c>
      <c r="J65" s="15" t="n">
        <f aca="false">IF($A65&lt;2,"",VLOOKUP($A65,All_Data,J$69,0))</f>
        <v>3132.58464</v>
      </c>
      <c r="K65" s="15" t="n">
        <f aca="false">IF($A65&lt;2,"",VLOOKUP($A65,All_Data,K$69,0))</f>
        <v>793.948176</v>
      </c>
      <c r="L65" s="15" t="n">
        <f aca="false">IF($A65&lt;2,"",VLOOKUP($A65,All_Data,L$69,0))</f>
        <v>951.92766</v>
      </c>
      <c r="M65" s="15" t="n">
        <f aca="false">IF($A65&lt;2,"",VLOOKUP($A65,All_Data,M$69,0))</f>
        <v>2357.539992</v>
      </c>
      <c r="N65" s="55" t="n">
        <f aca="false">SUM(D65:M65)</f>
        <v>135025.2</v>
      </c>
      <c r="P65" s="56" t="str">
        <f aca="false">IF(A65&lt;2,"",A65)</f>
        <v>2.17.6</v>
      </c>
      <c r="Q65" s="57" t="str">
        <f aca="false">IF($A65&lt;2,"",VLOOKUP($A65,All_Data,Q$69,0))</f>
        <v>Wild Jenny CDP</v>
      </c>
      <c r="R65" s="26" t="n">
        <f aca="false">SUM(S65:Z65)</f>
        <v>181224.721712816</v>
      </c>
      <c r="S65" s="14" t="n">
        <f aca="false">IF($A65&lt;2,"",VLOOKUP($A65,All_Data,S$69,0))</f>
        <v>105564.003626683</v>
      </c>
      <c r="T65" s="15" t="n">
        <f aca="false">IF($A65&lt;2,"",VLOOKUP($A65,All_Data,T$69,0))</f>
        <v>22535.8479832643</v>
      </c>
      <c r="U65" s="15" t="n">
        <f aca="false">IF($A65&lt;2,"",VLOOKUP($A65,All_Data,U$69,0))</f>
        <v>20441.4556707621</v>
      </c>
      <c r="V65" s="15" t="n">
        <f aca="false">IF($A65&lt;2,"",VLOOKUP($A65,All_Data,V$69,0))</f>
        <v>3345.28144499745</v>
      </c>
      <c r="W65" s="15" t="n">
        <f aca="false">IF($A65&lt;2,"",VLOOKUP($A65,All_Data,W$69,0))</f>
        <v>10231.2114453991</v>
      </c>
      <c r="X65" s="15" t="n">
        <f aca="false">IF($A65&lt;2,"",VLOOKUP($A65,All_Data,X$69,0))</f>
        <v>3180.1764526359</v>
      </c>
      <c r="Y65" s="15" t="n">
        <f aca="false">IF($A65&lt;2,"",VLOOKUP($A65,All_Data,Y$69,0))</f>
        <v>3820.42357518634</v>
      </c>
      <c r="Z65" s="16" t="n">
        <f aca="false">IF($A65&lt;2,"",VLOOKUP($A65,All_Data,Z$69,0))</f>
        <v>12106.3215138872</v>
      </c>
      <c r="AA65" s="25" t="n">
        <f aca="false">IF(N65=0,,R65/N65*1000)</f>
        <v>1342.15481045624</v>
      </c>
      <c r="AB65" s="26" t="n">
        <f aca="false">IF($A65&lt;2,,VLOOKUP($A65,All_Data,AB$69,0))</f>
        <v>181203.81</v>
      </c>
      <c r="AC65" s="27" t="n">
        <f aca="false">IF(AB65=0,,R65/AB65)</f>
        <v>1.00011540437707</v>
      </c>
    </row>
    <row r="66" customFormat="false" ht="15" hidden="false" customHeight="false" outlineLevel="0" collapsed="false">
      <c r="A66" s="53" t="s">
        <v>83</v>
      </c>
      <c r="B66" s="58" t="str">
        <f aca="false">IF($A66&lt;2,"",VLOOKUP($A66,All_Data,B$69,0))</f>
        <v>Mazer CDP</v>
      </c>
      <c r="C66" s="26" t="n">
        <f aca="false">IF($A66&lt;2,"",VLOOKUP($A66,All_Data,C$69,0))</f>
        <v>62525.86</v>
      </c>
      <c r="D66" s="14" t="n">
        <f aca="false">IF($A66&lt;2,"",VLOOKUP($A66,All_Data,D$69,0))</f>
        <v>73.1552562</v>
      </c>
      <c r="E66" s="15" t="n">
        <f aca="false">IF($A66&lt;2,"",VLOOKUP($A66,All_Data,E$69,0))</f>
        <v>637.763772</v>
      </c>
      <c r="F66" s="15" t="n">
        <f aca="false">IF($A66&lt;2,"",VLOOKUP($A66,All_Data,F$69,0))</f>
        <v>47350.833778</v>
      </c>
      <c r="G66" s="15" t="n">
        <f aca="false">IF($A66&lt;2,"",VLOOKUP($A66,All_Data,G$69,0))</f>
        <v>7690.0555214</v>
      </c>
      <c r="H66" s="15" t="n">
        <f aca="false">IF($A66&lt;2,"",VLOOKUP($A66,All_Data,H$69,0))</f>
        <v>3875.9780614</v>
      </c>
      <c r="I66" s="15" t="n">
        <f aca="false">IF($A66&lt;2,"",VLOOKUP($A66,All_Data,I$69,0))</f>
        <v>533.9708444</v>
      </c>
      <c r="J66" s="15" t="n">
        <f aca="false">IF($A66&lt;2,"",VLOOKUP($A66,All_Data,J$69,0))</f>
        <v>1298.0368536</v>
      </c>
      <c r="K66" s="15" t="n">
        <f aca="false">IF($A66&lt;2,"",VLOOKUP($A66,All_Data,K$69,0))</f>
        <v>296.997835</v>
      </c>
      <c r="L66" s="15" t="n">
        <f aca="false">IF($A66&lt;2,"",VLOOKUP($A66,All_Data,L$69,0))</f>
        <v>337.639644</v>
      </c>
      <c r="M66" s="15" t="n">
        <f aca="false">IF($A66&lt;2,"",VLOOKUP($A66,All_Data,M$69,0))</f>
        <v>431.428434</v>
      </c>
      <c r="N66" s="55" t="n">
        <f aca="false">SUM(D66:M66)</f>
        <v>62525.86</v>
      </c>
      <c r="P66" s="56" t="str">
        <f aca="false">IF(A66&lt;2,"",A66)</f>
        <v>2.18.1</v>
      </c>
      <c r="Q66" s="57" t="str">
        <f aca="false">IF($A66&lt;2,"",VLOOKUP($A66,All_Data,Q$69,0))</f>
        <v>Mazer CDP</v>
      </c>
      <c r="R66" s="26" t="n">
        <f aca="false">SUM(S66:Z66)</f>
        <v>81979.6415071803</v>
      </c>
      <c r="S66" s="14" t="n">
        <f aca="false">IF($A66&lt;2,"",VLOOKUP($A66,All_Data,S$69,0))</f>
        <v>47863.2559138885</v>
      </c>
      <c r="T66" s="15" t="n">
        <f aca="false">IF($A66&lt;2,"",VLOOKUP($A66,All_Data,T$69,0))</f>
        <v>13620.9906200269</v>
      </c>
      <c r="U66" s="15" t="n">
        <f aca="false">IF($A66&lt;2,"",VLOOKUP($A66,All_Data,U$69,0))</f>
        <v>9760.56312358479</v>
      </c>
      <c r="V66" s="15" t="n">
        <f aca="false">IF($A66&lt;2,"",VLOOKUP($A66,All_Data,V$69,0))</f>
        <v>1737.8879273709</v>
      </c>
      <c r="W66" s="15" t="n">
        <f aca="false">IF($A66&lt;2,"",VLOOKUP($A66,All_Data,W$69,0))</f>
        <v>4238.20847107342</v>
      </c>
      <c r="X66" s="15" t="n">
        <f aca="false">IF($A66&lt;2,"",VLOOKUP($A66,All_Data,X$69,0))</f>
        <v>1189.27801836594</v>
      </c>
      <c r="Y66" s="15" t="n">
        <f aca="false">IF($A66&lt;2,"",VLOOKUP($A66,All_Data,Y$69,0))</f>
        <v>1354.66543564587</v>
      </c>
      <c r="Z66" s="16" t="n">
        <f aca="false">IF($A66&lt;2,"",VLOOKUP($A66,All_Data,Z$69,0))</f>
        <v>2214.79199722407</v>
      </c>
      <c r="AA66" s="25" t="n">
        <f aca="false">IF(N66=0,,R66/N66*1000)</f>
        <v>1311.13177023363</v>
      </c>
      <c r="AB66" s="26" t="n">
        <f aca="false">IF($A66&lt;2,,VLOOKUP($A66,All_Data,AB$69,0))</f>
        <v>81971.41</v>
      </c>
      <c r="AC66" s="27" t="n">
        <f aca="false">IF(AB66=0,,R66/AB66)</f>
        <v>1.00010041924593</v>
      </c>
    </row>
    <row r="67" customFormat="false" ht="15" hidden="false" customHeight="false" outlineLevel="0" collapsed="false">
      <c r="A67" s="53" t="s">
        <v>84</v>
      </c>
      <c r="B67" s="58" t="str">
        <f aca="false">IF($A67&lt;2,"",VLOOKUP($A67,All_Data,B$69,0))</f>
        <v>King George CDP</v>
      </c>
      <c r="C67" s="26" t="n">
        <f aca="false">IF($A67&lt;2,"",VLOOKUP($A67,All_Data,C$69,0))</f>
        <v>66780.48</v>
      </c>
      <c r="D67" s="14" t="n">
        <f aca="false">IF($A67&lt;2,"",VLOOKUP($A67,All_Data,D$69,0))</f>
        <v>356.6077632</v>
      </c>
      <c r="E67" s="15" t="n">
        <f aca="false">IF($A67&lt;2,"",VLOOKUP($A67,All_Data,E$69,0))</f>
        <v>513.5418912</v>
      </c>
      <c r="F67" s="15" t="n">
        <f aca="false">IF($A67&lt;2,"",VLOOKUP($A67,All_Data,F$69,0))</f>
        <v>47065.5466944</v>
      </c>
      <c r="G67" s="15" t="n">
        <f aca="false">IF($A67&lt;2,"",VLOOKUP($A67,All_Data,G$69,0))</f>
        <v>9574.3174176</v>
      </c>
      <c r="H67" s="15" t="n">
        <f aca="false">IF($A67&lt;2,"",VLOOKUP($A67,All_Data,H$69,0))</f>
        <v>5196.1891488</v>
      </c>
      <c r="I67" s="15" t="n">
        <f aca="false">IF($A67&lt;2,"",VLOOKUP($A67,All_Data,I$69,0))</f>
        <v>523.5589632</v>
      </c>
      <c r="J67" s="15" t="n">
        <f aca="false">IF($A67&lt;2,"",VLOOKUP($A67,All_Data,J$69,0))</f>
        <v>1672.1832192</v>
      </c>
      <c r="K67" s="15" t="n">
        <f aca="false">IF($A67&lt;2,"",VLOOKUP($A67,All_Data,K$69,0))</f>
        <v>344.5872768</v>
      </c>
      <c r="L67" s="15" t="n">
        <f aca="false">IF($A67&lt;2,"",VLOOKUP($A67,All_Data,L$69,0))</f>
        <v>515.5453056</v>
      </c>
      <c r="M67" s="15" t="n">
        <f aca="false">IF($A67&lt;2,"",VLOOKUP($A67,All_Data,M$69,0))</f>
        <v>1018.40232</v>
      </c>
      <c r="N67" s="55" t="n">
        <f aca="false">SUM(D67:M67)</f>
        <v>66780.48</v>
      </c>
      <c r="P67" s="56" t="str">
        <f aca="false">IF(A67&lt;2,"",A67)</f>
        <v>2.18.2</v>
      </c>
      <c r="Q67" s="57" t="str">
        <f aca="false">IF($A67&lt;2,"",VLOOKUP($A67,All_Data,Q$69,0))</f>
        <v>King George CDP</v>
      </c>
      <c r="R67" s="26" t="n">
        <f aca="false">SUM(S67:Z67)</f>
        <v>93532.3529323904</v>
      </c>
      <c r="S67" s="14" t="n">
        <f aca="false">IF($A67&lt;2,"",VLOOKUP($A67,All_Data,S$69,0))</f>
        <v>47612.3581552365</v>
      </c>
      <c r="T67" s="15" t="n">
        <f aca="false">IF($A67&lt;2,"",VLOOKUP($A67,All_Data,T$69,0))</f>
        <v>16971.8434299044</v>
      </c>
      <c r="U67" s="15" t="n">
        <f aca="false">IF($A67&lt;2,"",VLOOKUP($A67,All_Data,U$69,0))</f>
        <v>13095.4519826905</v>
      </c>
      <c r="V67" s="15" t="n">
        <f aca="false">IF($A67&lt;2,"",VLOOKUP($A67,All_Data,V$69,0))</f>
        <v>1705.34321384239</v>
      </c>
      <c r="W67" s="15" t="n">
        <f aca="false">IF($A67&lt;2,"",VLOOKUP($A67,All_Data,W$69,0))</f>
        <v>5464.13133690758</v>
      </c>
      <c r="X67" s="15" t="n">
        <f aca="false">IF($A67&lt;2,"",VLOOKUP($A67,All_Data,X$69,0))</f>
        <v>1380.92891352276</v>
      </c>
      <c r="Y67" s="15" t="n">
        <f aca="false">IF($A67&lt;2,"",VLOOKUP($A67,All_Data,Y$69,0))</f>
        <v>2070.08142989552</v>
      </c>
      <c r="Z67" s="16" t="n">
        <f aca="false">IF($A67&lt;2,"",VLOOKUP($A67,All_Data,Z$69,0))</f>
        <v>5232.21447039071</v>
      </c>
      <c r="AA67" s="25" t="n">
        <f aca="false">IF(N67=0,,R67/N67*1000)</f>
        <v>1400.59419956835</v>
      </c>
      <c r="AB67" s="26" t="n">
        <f aca="false">IF($A67&lt;2,,VLOOKUP($A67,All_Data,AB$69,0))</f>
        <v>93559.45</v>
      </c>
      <c r="AC67" s="27" t="n">
        <f aca="false">IF(AB67=0,,R67/AB67)</f>
        <v>0.999710375941611</v>
      </c>
    </row>
    <row r="68" customFormat="false" ht="15.75" hidden="false" customHeight="false" outlineLevel="0" collapsed="false">
      <c r="A68" s="53" t="s">
        <v>85</v>
      </c>
      <c r="B68" s="59" t="str">
        <f aca="false">IF($A68&lt;2,"",VLOOKUP($A68,All_Data,B$69,0))</f>
        <v>Rick Vaughn CDP</v>
      </c>
      <c r="C68" s="60" t="n">
        <f aca="false">IF($A68&lt;2,"",VLOOKUP($A68,All_Data,C$69,0))</f>
        <v>399850.83</v>
      </c>
      <c r="D68" s="61" t="n">
        <f aca="false">IF($A68&lt;2,"",VLOOKUP($A68,All_Data,D$69,0))</f>
        <v>339.8732055</v>
      </c>
      <c r="E68" s="62" t="n">
        <f aca="false">IF($A68&lt;2,"",VLOOKUP($A68,All_Data,E$69,0))</f>
        <v>3078.851391</v>
      </c>
      <c r="F68" s="62" t="n">
        <f aca="false">IF($A68&lt;2,"",VLOOKUP($A68,All_Data,F$69,0))</f>
        <v>292274.9626968</v>
      </c>
      <c r="G68" s="62" t="n">
        <f aca="false">IF($A68&lt;2,"",VLOOKUP($A68,All_Data,G$69,0))</f>
        <v>52712.3349189</v>
      </c>
      <c r="H68" s="62" t="n">
        <f aca="false">IF($A68&lt;2,"",VLOOKUP($A68,All_Data,H$69,0))</f>
        <v>27609.6998115</v>
      </c>
      <c r="I68" s="62" t="n">
        <f aca="false">IF($A68&lt;2,"",VLOOKUP($A68,All_Data,I$69,0))</f>
        <v>4050.4889079</v>
      </c>
      <c r="J68" s="62" t="n">
        <f aca="false">IF($A68&lt;2,"",VLOOKUP($A68,All_Data,J$69,0))</f>
        <v>9896.3080425</v>
      </c>
      <c r="K68" s="62" t="n">
        <f aca="false">IF($A68&lt;2,"",VLOOKUP($A68,All_Data,K$69,0))</f>
        <v>2403.1034883</v>
      </c>
      <c r="L68" s="62" t="n">
        <f aca="false">IF($A68&lt;2,"",VLOOKUP($A68,All_Data,L$69,0))</f>
        <v>2942.9021088</v>
      </c>
      <c r="M68" s="62" t="n">
        <f aca="false">IF($A68&lt;2,"",VLOOKUP($A68,All_Data,M$69,0))</f>
        <v>4542.3054288</v>
      </c>
      <c r="N68" s="63" t="n">
        <f aca="false">SUM(D68:M68)</f>
        <v>399850.83</v>
      </c>
      <c r="P68" s="64" t="str">
        <f aca="false">IF(A68&lt;2,"",A68)</f>
        <v>2.18.3</v>
      </c>
      <c r="Q68" s="65" t="str">
        <f aca="false">IF($A68&lt;2,"",VLOOKUP($A68,All_Data,Q$69,0))</f>
        <v>Rick Vaughn CDP</v>
      </c>
      <c r="R68" s="60" t="n">
        <f aca="false">SUM(S68:Z68)</f>
        <v>548840.538372397</v>
      </c>
      <c r="S68" s="61" t="n">
        <f aca="false">IF($A68&lt;2,"",VLOOKUP($A68,All_Data,S$69,0))</f>
        <v>295580.502854731</v>
      </c>
      <c r="T68" s="62" t="n">
        <f aca="false">IF($A68&lt;2,"",VLOOKUP($A68,All_Data,T$69,0))</f>
        <v>93411.648121031</v>
      </c>
      <c r="U68" s="62" t="n">
        <f aca="false">IF($A68&lt;2,"",VLOOKUP($A68,All_Data,U$69,0))</f>
        <v>69560.8389570969</v>
      </c>
      <c r="V68" s="62" t="n">
        <f aca="false">IF($A68&lt;2,"",VLOOKUP($A68,All_Data,V$69,0))</f>
        <v>13189.284345241</v>
      </c>
      <c r="W68" s="62" t="n">
        <f aca="false">IF($A68&lt;2,"",VLOOKUP($A68,All_Data,W$69,0))</f>
        <v>32327.9420948458</v>
      </c>
      <c r="X68" s="62" t="n">
        <f aca="false">IF($A68&lt;2,"",VLOOKUP($A68,All_Data,X$69,0))</f>
        <v>9627.46934489272</v>
      </c>
      <c r="Y68" s="62" t="n">
        <f aca="false">IF($A68&lt;2,"",VLOOKUP($A68,All_Data,Y$69,0))</f>
        <v>11813.1031092916</v>
      </c>
      <c r="Z68" s="66" t="n">
        <f aca="false">IF($A68&lt;2,"",VLOOKUP($A68,All_Data,Z$69,0))</f>
        <v>23329.7495452665</v>
      </c>
      <c r="AA68" s="67" t="n">
        <f aca="false">IF(N68=0,,R68/N68*1000)</f>
        <v>1372.61322771894</v>
      </c>
      <c r="AB68" s="68" t="n">
        <f aca="false">IF($A68&lt;2,,VLOOKUP($A68,All_Data,AB$69,0))</f>
        <v>554593.09</v>
      </c>
      <c r="AC68" s="69" t="n">
        <f aca="false">IF(AB68=0,,R68/AB68)</f>
        <v>0.989627437248446</v>
      </c>
    </row>
    <row r="69" customFormat="false" ht="15.75" hidden="false" customHeight="false" outlineLevel="0" collapsed="false">
      <c r="B69" s="70" t="n">
        <v>2</v>
      </c>
      <c r="C69" s="70" t="n">
        <v>3</v>
      </c>
      <c r="D69" s="70" t="n">
        <v>17</v>
      </c>
      <c r="E69" s="70" t="n">
        <v>18</v>
      </c>
      <c r="F69" s="70" t="n">
        <v>19</v>
      </c>
      <c r="G69" s="70" t="n">
        <v>20</v>
      </c>
      <c r="H69" s="70" t="n">
        <v>21</v>
      </c>
      <c r="I69" s="70" t="n">
        <v>22</v>
      </c>
      <c r="J69" s="70" t="n">
        <v>23</v>
      </c>
      <c r="K69" s="70" t="n">
        <v>24</v>
      </c>
      <c r="L69" s="70" t="n">
        <v>25</v>
      </c>
      <c r="M69" s="70" t="n">
        <v>26</v>
      </c>
      <c r="N69" s="70" t="n">
        <v>16</v>
      </c>
      <c r="Q69" s="71" t="n">
        <v>2</v>
      </c>
      <c r="R69" s="71"/>
      <c r="S69" s="71" t="n">
        <v>31</v>
      </c>
      <c r="T69" s="71" t="n">
        <v>32</v>
      </c>
      <c r="U69" s="71" t="n">
        <v>33</v>
      </c>
      <c r="V69" s="71" t="n">
        <v>34</v>
      </c>
      <c r="W69" s="71" t="n">
        <v>35</v>
      </c>
      <c r="X69" s="71" t="n">
        <v>36</v>
      </c>
      <c r="Y69" s="71" t="n">
        <v>37</v>
      </c>
      <c r="Z69" s="71" t="n">
        <v>38</v>
      </c>
      <c r="AA69" s="71"/>
      <c r="AB69" s="71" t="n">
        <v>4</v>
      </c>
      <c r="AC69" s="71"/>
    </row>
    <row r="70" customFormat="false" ht="15" hidden="false" customHeight="false" outlineLevel="0" collapsed="false">
      <c r="R70" s="71" t="n">
        <v>14</v>
      </c>
      <c r="S70" s="71" t="n">
        <v>14</v>
      </c>
      <c r="T70" s="71" t="n">
        <v>15</v>
      </c>
      <c r="U70" s="71" t="n">
        <v>16</v>
      </c>
      <c r="V70" s="71" t="n">
        <v>17</v>
      </c>
      <c r="W70" s="71" t="n">
        <v>18</v>
      </c>
      <c r="X70" s="71" t="n">
        <v>19</v>
      </c>
      <c r="Y70" s="71" t="n">
        <v>20</v>
      </c>
      <c r="Z70" s="71" t="n">
        <v>21</v>
      </c>
      <c r="AC70" s="71"/>
      <c r="AD70" s="71"/>
      <c r="AE70" s="71"/>
      <c r="AF70" s="71"/>
    </row>
    <row r="71" customFormat="false" ht="15" hidden="false" customHeight="false" outlineLevel="0" collapsed="false">
      <c r="C71" s="72"/>
      <c r="D71" s="72"/>
      <c r="AD71" s="71"/>
    </row>
    <row r="72" customFormat="false" ht="15" hidden="false" customHeight="false" outlineLevel="0" collapsed="false">
      <c r="C72" s="72"/>
      <c r="D72" s="7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Y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8" activeCellId="0" sqref="F38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7.43"/>
    <col collapsed="false" customWidth="true" hidden="false" outlineLevel="0" max="2" min="2" style="0" width="13.28"/>
    <col collapsed="false" customWidth="true" hidden="false" outlineLevel="0" max="3" min="3" style="0" width="11.71"/>
    <col collapsed="false" customWidth="true" hidden="false" outlineLevel="0" max="4" min="4" style="0" width="13.14"/>
    <col collapsed="false" customWidth="true" hidden="false" outlineLevel="0" max="5" min="5" style="0" width="12.28"/>
    <col collapsed="false" customWidth="true" hidden="false" outlineLevel="0" max="6" min="6" style="0" width="9.57"/>
    <col collapsed="false" customWidth="true" hidden="false" outlineLevel="0" max="7" min="7" style="0" width="11.57"/>
    <col collapsed="false" customWidth="true" hidden="false" outlineLevel="0" max="8" min="8" style="0" width="17.43"/>
    <col collapsed="false" customWidth="true" hidden="false" outlineLevel="0" max="10" min="9" style="0" width="10.57"/>
    <col collapsed="false" customWidth="true" hidden="false" outlineLevel="0" max="11" min="11" style="0" width="8.7"/>
    <col collapsed="false" customWidth="true" hidden="false" outlineLevel="0" max="12" min="12" style="0" width="12.28"/>
    <col collapsed="false" customWidth="true" hidden="false" outlineLevel="0" max="13" min="13" style="0" width="9.57"/>
    <col collapsed="false" customWidth="true" hidden="false" outlineLevel="0" max="14" min="14" style="0" width="8.7"/>
    <col collapsed="false" customWidth="true" hidden="false" outlineLevel="0" max="15" min="15" style="0" width="17.43"/>
    <col collapsed="false" customWidth="true" hidden="false" outlineLevel="0" max="17" min="16" style="0" width="10.57"/>
    <col collapsed="false" customWidth="true" hidden="false" outlineLevel="0" max="18" min="18" style="0" width="8.7"/>
    <col collapsed="false" customWidth="true" hidden="false" outlineLevel="0" max="19" min="19" style="0" width="12.28"/>
    <col collapsed="false" customWidth="true" hidden="false" outlineLevel="0" max="20" min="20" style="0" width="9.57"/>
    <col collapsed="false" customWidth="true" hidden="false" outlineLevel="0" max="21" min="21" style="0" width="11.85"/>
    <col collapsed="false" customWidth="true" hidden="false" outlineLevel="0" max="22" min="22" style="0" width="17.43"/>
    <col collapsed="false" customWidth="true" hidden="false" outlineLevel="0" max="23" min="23" style="0" width="10.57"/>
    <col collapsed="false" customWidth="true" hidden="false" outlineLevel="0" max="24" min="24" style="0" width="10.43"/>
  </cols>
  <sheetData>
    <row r="2" customFormat="false" ht="15.75" hidden="false" customHeight="false" outlineLevel="0" collapsed="false">
      <c r="A2" s="572" t="s">
        <v>416</v>
      </c>
      <c r="D2" s="573" t="e">
        <f aca="false">(B4-C4)/C4</f>
        <v>#REF!</v>
      </c>
      <c r="H2" s="572" t="s">
        <v>417</v>
      </c>
      <c r="K2" s="573" t="n">
        <f aca="false">(I4-J4)/J4</f>
        <v>-0.0116956699185426</v>
      </c>
      <c r="O2" s="572" t="s">
        <v>418</v>
      </c>
      <c r="R2" s="573" t="n">
        <f aca="false">(P4-Q4)/Q4</f>
        <v>0.0603961424857574</v>
      </c>
    </row>
    <row r="3" customFormat="false" ht="15.75" hidden="false" customHeight="false" outlineLevel="0" collapsed="false">
      <c r="A3" s="574" t="s">
        <v>419</v>
      </c>
      <c r="B3" s="575" t="s">
        <v>420</v>
      </c>
      <c r="C3" s="575" t="s">
        <v>421</v>
      </c>
      <c r="D3" s="575" t="s">
        <v>422</v>
      </c>
      <c r="E3" s="575" t="s">
        <v>423</v>
      </c>
      <c r="F3" s="576" t="s">
        <v>424</v>
      </c>
      <c r="H3" s="574" t="s">
        <v>419</v>
      </c>
      <c r="I3" s="575" t="s">
        <v>420</v>
      </c>
      <c r="J3" s="575" t="s">
        <v>421</v>
      </c>
      <c r="K3" s="575" t="s">
        <v>422</v>
      </c>
      <c r="L3" s="575" t="s">
        <v>423</v>
      </c>
      <c r="M3" s="576" t="s">
        <v>424</v>
      </c>
      <c r="O3" s="574"/>
      <c r="P3" s="575" t="s">
        <v>420</v>
      </c>
      <c r="Q3" s="575" t="s">
        <v>425</v>
      </c>
      <c r="R3" s="575" t="s">
        <v>422</v>
      </c>
      <c r="S3" s="575" t="s">
        <v>423</v>
      </c>
      <c r="T3" s="576" t="s">
        <v>424</v>
      </c>
    </row>
    <row r="4" customFormat="false" ht="15" hidden="false" customHeight="false" outlineLevel="0" collapsed="false">
      <c r="A4" s="53" t="s">
        <v>426</v>
      </c>
      <c r="B4" s="15" t="n">
        <f aca="false">G42</f>
        <v>9037262.91554681</v>
      </c>
      <c r="C4" s="15" t="e">
        <f aca="false">#REF!</f>
        <v>#REF!</v>
      </c>
      <c r="D4" s="219" t="e">
        <f aca="false">C4-B4</f>
        <v>#REF!</v>
      </c>
      <c r="E4" s="73"/>
      <c r="F4" s="88"/>
      <c r="H4" s="53" t="s">
        <v>426</v>
      </c>
      <c r="I4" s="15" t="n">
        <f aca="false">C42</f>
        <v>7139439.3720119</v>
      </c>
      <c r="J4" s="15" t="n">
        <f aca="false">Outlets!C111</f>
        <v>7223928.05</v>
      </c>
      <c r="K4" s="219" t="n">
        <f aca="false">J4-I4</f>
        <v>84488.6779881008</v>
      </c>
      <c r="L4" s="73"/>
      <c r="M4" s="88"/>
      <c r="O4" s="53" t="s">
        <v>427</v>
      </c>
      <c r="P4" s="15" t="n">
        <f aca="false">B19+I19</f>
        <v>1069639.61565981</v>
      </c>
      <c r="Q4" s="15" t="n">
        <f aca="false">C19+J19</f>
        <v>1008717</v>
      </c>
      <c r="R4" s="219" t="n">
        <f aca="false">Q4-P4</f>
        <v>-60922.6156598057</v>
      </c>
      <c r="S4" s="73"/>
      <c r="T4" s="88"/>
    </row>
    <row r="5" customFormat="false" ht="15" hidden="false" customHeight="false" outlineLevel="0" collapsed="false">
      <c r="A5" s="53" t="s">
        <v>1</v>
      </c>
      <c r="B5" s="15" t="n">
        <f aca="false">G43</f>
        <v>34844.0680001091</v>
      </c>
      <c r="C5" s="15" t="e">
        <f aca="false">#REF!</f>
        <v>#REF!</v>
      </c>
      <c r="D5" s="219" t="e">
        <f aca="false">C5-B5</f>
        <v>#REF!</v>
      </c>
      <c r="E5" s="577" t="n">
        <f aca="false">B5/B$4</f>
        <v>0.00385559967943024</v>
      </c>
      <c r="F5" s="578" t="e">
        <f aca="false">C5/C$4</f>
        <v>#REF!</v>
      </c>
      <c r="H5" s="53" t="s">
        <v>1</v>
      </c>
      <c r="I5" s="15" t="n">
        <f aca="false">C43</f>
        <v>0</v>
      </c>
      <c r="J5" s="15" t="n">
        <f aca="false">Outlets!D111</f>
        <v>2615.27791418605</v>
      </c>
      <c r="K5" s="219" t="n">
        <f aca="false">J5-I5</f>
        <v>2615.27791418605</v>
      </c>
      <c r="L5" s="577" t="n">
        <f aca="false">I5/I$4</f>
        <v>0</v>
      </c>
      <c r="M5" s="578" t="n">
        <f aca="false">J5/J$4</f>
        <v>0.00036202989510479</v>
      </c>
      <c r="O5" s="53" t="s">
        <v>1</v>
      </c>
      <c r="P5" s="15" t="n">
        <f aca="false">B20+I20</f>
        <v>0.0198652630284513</v>
      </c>
      <c r="Q5" s="15" t="n">
        <f aca="false">C20+J20</f>
        <v>29.0826578780103</v>
      </c>
      <c r="R5" s="219" t="n">
        <f aca="false">Q5-P5</f>
        <v>29.0627926149819</v>
      </c>
      <c r="S5" s="577" t="n">
        <f aca="false">P5/P$4</f>
        <v>1.85719215496684E-008</v>
      </c>
      <c r="T5" s="578" t="n">
        <f aca="false">Q5/Q$4</f>
        <v>2.88313351296849E-005</v>
      </c>
    </row>
    <row r="6" customFormat="false" ht="15" hidden="false" customHeight="false" outlineLevel="0" collapsed="false">
      <c r="A6" s="53" t="s">
        <v>428</v>
      </c>
      <c r="B6" s="15" t="n">
        <f aca="false">G44</f>
        <v>82840.9903869457</v>
      </c>
      <c r="C6" s="15" t="e">
        <f aca="false">#REF!</f>
        <v>#REF!</v>
      </c>
      <c r="D6" s="219" t="e">
        <f aca="false">C6-B6</f>
        <v>#REF!</v>
      </c>
      <c r="E6" s="577" t="n">
        <f aca="false">B6/B$4</f>
        <v>0.0091666017865248</v>
      </c>
      <c r="F6" s="578" t="e">
        <f aca="false">C6/C$4</f>
        <v>#REF!</v>
      </c>
      <c r="H6" s="53" t="s">
        <v>428</v>
      </c>
      <c r="I6" s="15" t="n">
        <f aca="false">C44</f>
        <v>73154.1908875513</v>
      </c>
      <c r="J6" s="15" t="n">
        <f aca="false">Outlets!E111</f>
        <v>73639.8622368468</v>
      </c>
      <c r="K6" s="219" t="n">
        <f aca="false">J6-I6</f>
        <v>485.671349295502</v>
      </c>
      <c r="L6" s="577" t="n">
        <f aca="false">I6/I$4</f>
        <v>0.0102464895457101</v>
      </c>
      <c r="M6" s="578" t="n">
        <f aca="false">J6/J$4</f>
        <v>0.0101938809089948</v>
      </c>
      <c r="O6" s="53" t="s">
        <v>428</v>
      </c>
      <c r="P6" s="15" t="n">
        <f aca="false">B21+I21</f>
        <v>1738.1085763916</v>
      </c>
      <c r="Q6" s="15" t="n">
        <f aca="false">C21+J21</f>
        <v>6.23387751277161</v>
      </c>
      <c r="R6" s="219" t="n">
        <f aca="false">Q6-P6</f>
        <v>-1731.87469887883</v>
      </c>
      <c r="S6" s="577" t="n">
        <f aca="false">P6/P$4</f>
        <v>0.00162494783377993</v>
      </c>
      <c r="T6" s="578" t="n">
        <f aca="false">Q6/Q$4</f>
        <v>6.18000639700889E-006</v>
      </c>
    </row>
    <row r="7" customFormat="false" ht="15" hidden="false" customHeight="false" outlineLevel="0" collapsed="false">
      <c r="A7" s="53" t="s">
        <v>429</v>
      </c>
      <c r="B7" s="15" t="n">
        <f aca="false">G45</f>
        <v>7103907.39813996</v>
      </c>
      <c r="C7" s="15" t="e">
        <f aca="false">#REF!</f>
        <v>#REF!</v>
      </c>
      <c r="D7" s="219" t="e">
        <f aca="false">C7-B7</f>
        <v>#REF!</v>
      </c>
      <c r="E7" s="577" t="n">
        <f aca="false">B7/B$4</f>
        <v>0.786068466141347</v>
      </c>
      <c r="F7" s="578" t="e">
        <f aca="false">C7/C$4</f>
        <v>#REF!</v>
      </c>
      <c r="H7" s="53" t="s">
        <v>429</v>
      </c>
      <c r="I7" s="15" t="n">
        <f aca="false">C45</f>
        <v>6820033.50172563</v>
      </c>
      <c r="J7" s="15" t="n">
        <f aca="false">Outlets!F111</f>
        <v>6899612.87151752</v>
      </c>
      <c r="K7" s="219" t="n">
        <f aca="false">J7-I7</f>
        <v>79579.3697918933</v>
      </c>
      <c r="L7" s="577" t="n">
        <f aca="false">I7/I$4</f>
        <v>0.955261771458077</v>
      </c>
      <c r="M7" s="578" t="n">
        <f aca="false">J7/J$4</f>
        <v>0.955105425159588</v>
      </c>
      <c r="O7" s="53" t="s">
        <v>429</v>
      </c>
      <c r="P7" s="15" t="n">
        <f aca="false">B22+I22</f>
        <v>0.0205545496490314</v>
      </c>
      <c r="Q7" s="15" t="n">
        <f aca="false">C22+J22</f>
        <v>1077.27972866835</v>
      </c>
      <c r="R7" s="219" t="n">
        <f aca="false">Q7-P7</f>
        <v>1077.2591741187</v>
      </c>
      <c r="S7" s="577" t="n">
        <f aca="false">P7/P$4</f>
        <v>1.92163316953742E-008</v>
      </c>
      <c r="T7" s="578" t="n">
        <f aca="false">Q7/Q$4</f>
        <v>0.00106797023215466</v>
      </c>
    </row>
    <row r="8" customFormat="false" ht="15" hidden="false" customHeight="false" outlineLevel="0" collapsed="false">
      <c r="A8" s="53" t="s">
        <v>430</v>
      </c>
      <c r="B8" s="15" t="n">
        <f aca="false">G46</f>
        <v>972689.632825405</v>
      </c>
      <c r="C8" s="15" t="e">
        <f aca="false">#REF!</f>
        <v>#REF!</v>
      </c>
      <c r="D8" s="219" t="e">
        <f aca="false">C8-B8</f>
        <v>#REF!</v>
      </c>
      <c r="E8" s="577" t="n">
        <f aca="false">B8/B$4</f>
        <v>0.10763099866798</v>
      </c>
      <c r="F8" s="578" t="e">
        <f aca="false">C8/C$4</f>
        <v>#REF!</v>
      </c>
      <c r="H8" s="53" t="s">
        <v>430</v>
      </c>
      <c r="I8" s="15" t="n">
        <f aca="false">C46</f>
        <v>239568.644713491</v>
      </c>
      <c r="J8" s="15" t="n">
        <f aca="false">Outlets!G111</f>
        <v>241327.176075066</v>
      </c>
      <c r="K8" s="219" t="n">
        <f aca="false">J8-I8</f>
        <v>1758.53136157489</v>
      </c>
      <c r="L8" s="577" t="n">
        <f aca="false">I8/I$4</f>
        <v>0.0335556662407766</v>
      </c>
      <c r="M8" s="578" t="n">
        <f aca="false">J8/J$4</f>
        <v>0.0334066417058329</v>
      </c>
      <c r="O8" s="53" t="s">
        <v>430</v>
      </c>
      <c r="P8" s="15" t="n">
        <f aca="false">B23+I23</f>
        <v>458739.233683657</v>
      </c>
      <c r="Q8" s="15" t="n">
        <f aca="false">C23+J23</f>
        <v>481314.973420585</v>
      </c>
      <c r="R8" s="219" t="n">
        <f aca="false">Q8-P8</f>
        <v>22575.7397369278</v>
      </c>
      <c r="S8" s="577" t="n">
        <f aca="false">P8/P$4</f>
        <v>0.428872703448521</v>
      </c>
      <c r="T8" s="578" t="n">
        <f aca="false">Q8/Q$4</f>
        <v>0.477155607985773</v>
      </c>
    </row>
    <row r="9" customFormat="false" ht="15" hidden="false" customHeight="false" outlineLevel="0" collapsed="false">
      <c r="A9" s="53" t="s">
        <v>431</v>
      </c>
      <c r="B9" s="15" t="n">
        <f aca="false">G47</f>
        <v>472607.585365694</v>
      </c>
      <c r="C9" s="15" t="e">
        <f aca="false">#REF!</f>
        <v>#REF!</v>
      </c>
      <c r="D9" s="219" t="e">
        <f aca="false">C9-B9</f>
        <v>#REF!</v>
      </c>
      <c r="E9" s="577" t="n">
        <f aca="false">B9/B$4</f>
        <v>0.0522954338921209</v>
      </c>
      <c r="F9" s="578" t="e">
        <f aca="false">C9/C$4</f>
        <v>#REF!</v>
      </c>
      <c r="H9" s="53" t="s">
        <v>431</v>
      </c>
      <c r="I9" s="15" t="n">
        <f aca="false">C47</f>
        <v>6430.59632080596</v>
      </c>
      <c r="J9" s="15" t="n">
        <f aca="false">Outlets!H111</f>
        <v>6478.76317913704</v>
      </c>
      <c r="K9" s="219" t="n">
        <f aca="false">J9-I9</f>
        <v>48.1668583310811</v>
      </c>
      <c r="L9" s="577" t="n">
        <f aca="false">I9/I$4</f>
        <v>0.000900714465902638</v>
      </c>
      <c r="M9" s="578" t="n">
        <f aca="false">J9/J$4</f>
        <v>0.000896847689275787</v>
      </c>
      <c r="O9" s="53" t="s">
        <v>431</v>
      </c>
      <c r="P9" s="15" t="n">
        <f aca="false">B24+I24</f>
        <v>303596.119978568</v>
      </c>
      <c r="Q9" s="15" t="n">
        <f aca="false">C24+J24</f>
        <v>258057.926077296</v>
      </c>
      <c r="R9" s="219" t="n">
        <f aca="false">Q9-P9</f>
        <v>-45538.1939012729</v>
      </c>
      <c r="S9" s="577" t="n">
        <f aca="false">P9/P$4</f>
        <v>0.28383028782203</v>
      </c>
      <c r="T9" s="578" t="n">
        <f aca="false">Q9/Q$4</f>
        <v>0.25582787449532</v>
      </c>
    </row>
    <row r="10" customFormat="false" ht="15" hidden="false" customHeight="false" outlineLevel="0" collapsed="false">
      <c r="A10" s="53" t="s">
        <v>432</v>
      </c>
      <c r="B10" s="15" t="n">
        <f aca="false">G48</f>
        <v>71024.9124485263</v>
      </c>
      <c r="C10" s="15" t="e">
        <f aca="false">#REF!</f>
        <v>#REF!</v>
      </c>
      <c r="D10" s="219" t="e">
        <f aca="false">C10-B10</f>
        <v>#REF!</v>
      </c>
      <c r="E10" s="577" t="n">
        <f aca="false">B10/B$4</f>
        <v>0.00785911764571351</v>
      </c>
      <c r="F10" s="578" t="e">
        <f aca="false">C10/C$4</f>
        <v>#REF!</v>
      </c>
      <c r="H10" s="53" t="s">
        <v>432</v>
      </c>
      <c r="I10" s="15" t="n">
        <f aca="false">C48</f>
        <v>113.276040042868</v>
      </c>
      <c r="J10" s="15" t="n">
        <f aca="false">Outlets!I111</f>
        <v>114.099749521583</v>
      </c>
      <c r="K10" s="219" t="n">
        <f aca="false">J10-I10</f>
        <v>0.823709478714704</v>
      </c>
      <c r="L10" s="577" t="n">
        <f aca="false">I10/I$4</f>
        <v>1.58662374089111E-005</v>
      </c>
      <c r="M10" s="578" t="n">
        <f aca="false">J10/J$4</f>
        <v>1.57946962832199E-005</v>
      </c>
      <c r="O10" s="53" t="s">
        <v>432</v>
      </c>
      <c r="P10" s="15" t="n">
        <f aca="false">B25+I25</f>
        <v>54896.8097512778</v>
      </c>
      <c r="Q10" s="15" t="n">
        <f aca="false">C25+J25</f>
        <v>47252.2968242338</v>
      </c>
      <c r="R10" s="219" t="n">
        <f aca="false">Q10-P10</f>
        <v>-7644.51292704399</v>
      </c>
      <c r="S10" s="577" t="n">
        <f aca="false">P10/P$4</f>
        <v>0.0513227155647323</v>
      </c>
      <c r="T10" s="578" t="n">
        <f aca="false">Q10/Q$4</f>
        <v>0.0468439580419818</v>
      </c>
    </row>
    <row r="11" customFormat="false" ht="15" hidden="false" customHeight="false" outlineLevel="0" collapsed="false">
      <c r="A11" s="53" t="s">
        <v>433</v>
      </c>
      <c r="B11" s="15" t="n">
        <f aca="false">G49</f>
        <v>160969.110036134</v>
      </c>
      <c r="C11" s="15" t="e">
        <f aca="false">#REF!</f>
        <v>#REF!</v>
      </c>
      <c r="D11" s="219" t="e">
        <f aca="false">C11-B11</f>
        <v>#REF!</v>
      </c>
      <c r="E11" s="577" t="n">
        <f aca="false">B11/B$4</f>
        <v>0.0178117104194478</v>
      </c>
      <c r="F11" s="578" t="e">
        <f aca="false">C11/C$4</f>
        <v>#REF!</v>
      </c>
      <c r="H11" s="53" t="s">
        <v>433</v>
      </c>
      <c r="I11" s="15" t="n">
        <f aca="false">C49</f>
        <v>134.868333857263</v>
      </c>
      <c r="J11" s="15" t="n">
        <f aca="false">Outlets!J111</f>
        <v>135.576160808993</v>
      </c>
      <c r="K11" s="219" t="n">
        <f aca="false">J11-I11</f>
        <v>0.707826951730453</v>
      </c>
      <c r="L11" s="577" t="n">
        <f aca="false">I11/I$4</f>
        <v>1.88906056665983E-005</v>
      </c>
      <c r="M11" s="578" t="n">
        <f aca="false">J11/J$4</f>
        <v>1.87676510439488E-005</v>
      </c>
      <c r="O11" s="53" t="s">
        <v>433</v>
      </c>
      <c r="P11" s="15" t="n">
        <f aca="false">B26+I26</f>
        <v>120010.279283642</v>
      </c>
      <c r="Q11" s="15" t="n">
        <f aca="false">C26+J26</f>
        <v>102212.668715082</v>
      </c>
      <c r="R11" s="219" t="n">
        <f aca="false">Q11-P11</f>
        <v>-17797.6105685599</v>
      </c>
      <c r="S11" s="577" t="n">
        <f aca="false">P11/P$4</f>
        <v>0.112196928317407</v>
      </c>
      <c r="T11" s="578" t="n">
        <f aca="false">Q11/Q$4</f>
        <v>0.101329380505218</v>
      </c>
    </row>
    <row r="12" customFormat="false" ht="15" hidden="false" customHeight="false" outlineLevel="0" collapsed="false">
      <c r="A12" s="53" t="s">
        <v>434</v>
      </c>
      <c r="B12" s="15" t="n">
        <f aca="false">G50</f>
        <v>41482.0181715537</v>
      </c>
      <c r="C12" s="15" t="e">
        <f aca="false">#REF!</f>
        <v>#REF!</v>
      </c>
      <c r="D12" s="219" t="e">
        <f aca="false">C12-B12</f>
        <v>#REF!</v>
      </c>
      <c r="E12" s="577" t="n">
        <f aca="false">B12/B$4</f>
        <v>0.00459010859363095</v>
      </c>
      <c r="F12" s="578" t="e">
        <f aca="false">C12/C$4</f>
        <v>#REF!</v>
      </c>
      <c r="H12" s="53" t="s">
        <v>434</v>
      </c>
      <c r="I12" s="15" t="n">
        <f aca="false">C50</f>
        <v>2.23951303056201</v>
      </c>
      <c r="J12" s="15" t="n">
        <f aca="false">Outlets!K111</f>
        <v>2.24185619206888</v>
      </c>
      <c r="K12" s="219" t="n">
        <f aca="false">J12-I12</f>
        <v>0.00234316150687386</v>
      </c>
      <c r="L12" s="577" t="n">
        <f aca="false">I12/I$4</f>
        <v>3.13681917286303E-007</v>
      </c>
      <c r="M12" s="578" t="n">
        <f aca="false">J12/J$4</f>
        <v>3.10337558258057E-007</v>
      </c>
      <c r="O12" s="53" t="s">
        <v>434</v>
      </c>
      <c r="P12" s="15" t="n">
        <f aca="false">B27+I27</f>
        <v>36111.001165967</v>
      </c>
      <c r="Q12" s="15" t="n">
        <f aca="false">C27+J27</f>
        <v>31780.760241984</v>
      </c>
      <c r="R12" s="219" t="n">
        <f aca="false">Q12-P12</f>
        <v>-4330.24092398301</v>
      </c>
      <c r="S12" s="577" t="n">
        <f aca="false">P12/P$4</f>
        <v>0.0337599698415171</v>
      </c>
      <c r="T12" s="578" t="n">
        <f aca="false">Q12/Q$4</f>
        <v>0.031506121381898</v>
      </c>
    </row>
    <row r="13" customFormat="false" ht="15" hidden="false" customHeight="false" outlineLevel="0" collapsed="false">
      <c r="A13" s="53" t="s">
        <v>435</v>
      </c>
      <c r="B13" s="15" t="n">
        <f aca="false">G51</f>
        <v>43171.2988806311</v>
      </c>
      <c r="C13" s="15" t="e">
        <f aca="false">#REF!</f>
        <v>#REF!</v>
      </c>
      <c r="D13" s="219" t="e">
        <f aca="false">C13-B13</f>
        <v>#REF!</v>
      </c>
      <c r="E13" s="577" t="n">
        <f aca="false">B13/B$4</f>
        <v>0.00477703252456709</v>
      </c>
      <c r="F13" s="578" t="e">
        <f aca="false">C13/C$4</f>
        <v>#REF!</v>
      </c>
      <c r="H13" s="53" t="s">
        <v>435</v>
      </c>
      <c r="I13" s="15" t="n">
        <f aca="false">C51</f>
        <v>2.0544774898877</v>
      </c>
      <c r="J13" s="15" t="n">
        <f aca="false">Outlets!L111</f>
        <v>2.05621950993572</v>
      </c>
      <c r="K13" s="219" t="n">
        <f aca="false">J13-I13</f>
        <v>0.00174202004802293</v>
      </c>
      <c r="L13" s="577" t="n">
        <f aca="false">I13/I$4</f>
        <v>2.87764540440204E-007</v>
      </c>
      <c r="M13" s="578" t="n">
        <f aca="false">J13/J$4</f>
        <v>2.84640087180232E-007</v>
      </c>
      <c r="O13" s="53" t="s">
        <v>435</v>
      </c>
      <c r="P13" s="15" t="n">
        <f aca="false">B28+I28</f>
        <v>37253.5215876825</v>
      </c>
      <c r="Q13" s="15" t="n">
        <f aca="false">C28+J28</f>
        <v>33525.2621722385</v>
      </c>
      <c r="R13" s="219" t="n">
        <f aca="false">Q13-P13</f>
        <v>-3728.25941544397</v>
      </c>
      <c r="S13" s="577" t="n">
        <f aca="false">P13/P$4</f>
        <v>0.0348281056930588</v>
      </c>
      <c r="T13" s="578" t="n">
        <f aca="false">Q13/Q$4</f>
        <v>0.0332355479011839</v>
      </c>
    </row>
    <row r="14" customFormat="false" ht="15.75" hidden="false" customHeight="false" outlineLevel="0" collapsed="false">
      <c r="A14" s="377" t="s">
        <v>10</v>
      </c>
      <c r="B14" s="62" t="n">
        <f aca="false">G52</f>
        <v>53725.9012918567</v>
      </c>
      <c r="C14" s="62" t="e">
        <f aca="false">#REF!</f>
        <v>#REF!</v>
      </c>
      <c r="D14" s="349" t="e">
        <f aca="false">C14-B14</f>
        <v>#REF!</v>
      </c>
      <c r="E14" s="579" t="n">
        <f aca="false">B14/B$4</f>
        <v>0.00594493064923806</v>
      </c>
      <c r="F14" s="580" t="e">
        <f aca="false">C14/C$4</f>
        <v>#REF!</v>
      </c>
      <c r="H14" s="377" t="s">
        <v>10</v>
      </c>
      <c r="I14" s="62" t="n">
        <f aca="false">C52</f>
        <v>0</v>
      </c>
      <c r="J14" s="62" t="n">
        <f aca="false">Outlets!M111</f>
        <v>0.12509120807943</v>
      </c>
      <c r="K14" s="349" t="n">
        <f aca="false">J14-I14</f>
        <v>0.12509120807943</v>
      </c>
      <c r="L14" s="579" t="n">
        <f aca="false">I14/I$4</f>
        <v>0</v>
      </c>
      <c r="M14" s="580" t="n">
        <f aca="false">J14/J$4</f>
        <v>1.73162311714096E-008</v>
      </c>
      <c r="O14" s="377" t="s">
        <v>10</v>
      </c>
      <c r="P14" s="62" t="n">
        <f aca="false">B29+I29</f>
        <v>57294.5012128018</v>
      </c>
      <c r="Q14" s="62" t="n">
        <f aca="false">C29+J29</f>
        <v>53460.5162845216</v>
      </c>
      <c r="R14" s="349" t="n">
        <f aca="false">Q14-P14</f>
        <v>-3833.98492828017</v>
      </c>
      <c r="S14" s="579" t="n">
        <f aca="false">P14/P$4</f>
        <v>0.0535643036906966</v>
      </c>
      <c r="T14" s="580" t="n">
        <f aca="false">Q14/Q$4</f>
        <v>0.0529985281149437</v>
      </c>
    </row>
    <row r="15" customFormat="false" ht="15.75" hidden="false" customHeight="false" outlineLevel="0" collapsed="false">
      <c r="I15" s="571"/>
      <c r="Q15" s="18"/>
      <c r="W15" s="18"/>
      <c r="X15" s="18"/>
      <c r="Y15" s="18"/>
    </row>
    <row r="16" customFormat="false" ht="15" hidden="false" customHeight="false" outlineLevel="0" collapsed="false">
      <c r="B16" s="571"/>
      <c r="N16" s="571"/>
      <c r="Q16" s="571"/>
      <c r="W16" s="571"/>
      <c r="Y16" s="362"/>
    </row>
    <row r="17" customFormat="false" ht="15.75" hidden="false" customHeight="false" outlineLevel="0" collapsed="false">
      <c r="A17" s="572" t="s">
        <v>156</v>
      </c>
      <c r="D17" s="573" t="n">
        <f aca="false">(B19-C19)/C19</f>
        <v>0.0691737357905919</v>
      </c>
      <c r="H17" s="572" t="s">
        <v>155</v>
      </c>
      <c r="K17" s="573" t="n">
        <f aca="false">(I19-J19)/J19</f>
        <v>-0.202950540746049</v>
      </c>
      <c r="O17" s="572" t="s">
        <v>154</v>
      </c>
      <c r="R17" s="573" t="n">
        <f aca="false">(P19-Q19)/Q19</f>
        <v>0.118011668507751</v>
      </c>
      <c r="S17" s="571"/>
      <c r="U17" s="18"/>
    </row>
    <row r="18" customFormat="false" ht="15.75" hidden="false" customHeight="false" outlineLevel="0" collapsed="false">
      <c r="A18" s="574" t="s">
        <v>419</v>
      </c>
      <c r="B18" s="575" t="s">
        <v>420</v>
      </c>
      <c r="C18" s="575" t="s">
        <v>436</v>
      </c>
      <c r="D18" s="575" t="s">
        <v>422</v>
      </c>
      <c r="E18" s="575" t="s">
        <v>423</v>
      </c>
      <c r="F18" s="576" t="s">
        <v>424</v>
      </c>
      <c r="H18" s="574" t="s">
        <v>419</v>
      </c>
      <c r="I18" s="575" t="s">
        <v>420</v>
      </c>
      <c r="J18" s="575" t="s">
        <v>437</v>
      </c>
      <c r="K18" s="575" t="s">
        <v>422</v>
      </c>
      <c r="L18" s="575" t="s">
        <v>423</v>
      </c>
      <c r="M18" s="576" t="s">
        <v>424</v>
      </c>
      <c r="O18" s="574" t="s">
        <v>419</v>
      </c>
      <c r="P18" s="575" t="s">
        <v>420</v>
      </c>
      <c r="Q18" s="575" t="s">
        <v>437</v>
      </c>
      <c r="R18" s="575" t="s">
        <v>422</v>
      </c>
      <c r="S18" s="575" t="s">
        <v>423</v>
      </c>
      <c r="T18" s="576" t="s">
        <v>424</v>
      </c>
      <c r="U18" s="18"/>
    </row>
    <row r="19" customFormat="false" ht="15" hidden="false" customHeight="false" outlineLevel="0" collapsed="false">
      <c r="A19" s="53" t="s">
        <v>427</v>
      </c>
      <c r="B19" s="15" t="n">
        <f aca="false">D42</f>
        <v>1043706.01740406</v>
      </c>
      <c r="C19" s="15" t="n">
        <f aca="false">Liquids!D19</f>
        <v>976180</v>
      </c>
      <c r="D19" s="219" t="n">
        <f aca="false">C19-B19</f>
        <v>-67526.01740406</v>
      </c>
      <c r="E19" s="73"/>
      <c r="F19" s="88"/>
      <c r="H19" s="53" t="s">
        <v>427</v>
      </c>
      <c r="I19" s="15" t="n">
        <f aca="false">E42</f>
        <v>25933.5982557458</v>
      </c>
      <c r="J19" s="15" t="n">
        <f aca="false">Liquids!D17</f>
        <v>32537</v>
      </c>
      <c r="K19" s="219" t="n">
        <f aca="false">J19-I19</f>
        <v>6603.4017442542</v>
      </c>
      <c r="L19" s="73"/>
      <c r="M19" s="88"/>
      <c r="O19" s="53" t="s">
        <v>427</v>
      </c>
      <c r="P19" s="15" t="n">
        <f aca="false">F42</f>
        <v>23640.3567305964</v>
      </c>
      <c r="Q19" s="15" t="n">
        <f aca="false">Liquids!D22</f>
        <v>21145</v>
      </c>
      <c r="R19" s="219" t="n">
        <f aca="false">Q19-P19</f>
        <v>-2495.3567305964</v>
      </c>
      <c r="S19" s="73"/>
      <c r="T19" s="88"/>
      <c r="U19" s="18"/>
    </row>
    <row r="20" customFormat="false" ht="15" hidden="false" customHeight="false" outlineLevel="0" collapsed="false">
      <c r="A20" s="53" t="s">
        <v>1</v>
      </c>
      <c r="B20" s="15" t="n">
        <f aca="false">D43</f>
        <v>0.019865263025069</v>
      </c>
      <c r="C20" s="15" t="n">
        <f aca="false">Liquids!E19</f>
        <v>28.1065478780103</v>
      </c>
      <c r="D20" s="219" t="n">
        <f aca="false">C20-B20</f>
        <v>28.0866826149853</v>
      </c>
      <c r="E20" s="577" t="n">
        <f aca="false">B20/B$19</f>
        <v>1.90333893776703E-008</v>
      </c>
      <c r="F20" s="578" t="n">
        <f aca="false">C20/C$19</f>
        <v>2.87923824274318E-005</v>
      </c>
      <c r="H20" s="53" t="s">
        <v>1</v>
      </c>
      <c r="I20" s="15" t="n">
        <f aca="false">E43</f>
        <v>3.38233428543743E-012</v>
      </c>
      <c r="J20" s="15" t="n">
        <f aca="false">Liquids!E17</f>
        <v>0.97611</v>
      </c>
      <c r="K20" s="219" t="n">
        <f aca="false">J20-I20</f>
        <v>0.976109999996618</v>
      </c>
      <c r="L20" s="577" t="n">
        <f aca="false">I20/I$19</f>
        <v>1.30422868900888E-016</v>
      </c>
      <c r="M20" s="578" t="n">
        <f aca="false">J20/J$19</f>
        <v>3E-005</v>
      </c>
      <c r="O20" s="53" t="s">
        <v>1</v>
      </c>
      <c r="P20" s="15" t="n">
        <f aca="false">F43</f>
        <v>0.325992645486819</v>
      </c>
      <c r="Q20" s="15" t="n">
        <f aca="false">Liquids!E22</f>
        <v>0.15502</v>
      </c>
      <c r="R20" s="219" t="n">
        <f aca="false">Q20-P20</f>
        <v>-0.170972645486819</v>
      </c>
      <c r="S20" s="577" t="n">
        <f aca="false">P20/P$19</f>
        <v>1.37896669327711E-005</v>
      </c>
      <c r="T20" s="578" t="n">
        <f aca="false">Q20/Q$19</f>
        <v>7.33128399148735E-006</v>
      </c>
      <c r="U20" s="18"/>
    </row>
    <row r="21" customFormat="false" ht="15" hidden="false" customHeight="false" outlineLevel="0" collapsed="false">
      <c r="A21" s="53" t="s">
        <v>428</v>
      </c>
      <c r="B21" s="15" t="n">
        <f aca="false">D44</f>
        <v>1738.1085763916</v>
      </c>
      <c r="C21" s="15" t="n">
        <f aca="false">Liquids!F19</f>
        <v>6.23387751277161</v>
      </c>
      <c r="D21" s="219" t="n">
        <f aca="false">C21-B21</f>
        <v>-1731.87469887883</v>
      </c>
      <c r="E21" s="577" t="n">
        <f aca="false">B21/B$19</f>
        <v>0.00166532390099147</v>
      </c>
      <c r="F21" s="578" t="n">
        <f aca="false">C21/C$19</f>
        <v>6.38599183836138E-006</v>
      </c>
      <c r="H21" s="53" t="s">
        <v>428</v>
      </c>
      <c r="I21" s="15" t="n">
        <f aca="false">E44</f>
        <v>1.82524507097918E-023</v>
      </c>
      <c r="J21" s="15" t="n">
        <f aca="false">Liquids!F17</f>
        <v>0</v>
      </c>
      <c r="K21" s="219" t="n">
        <f aca="false">J21-I21</f>
        <v>-1.82524507097918E-023</v>
      </c>
      <c r="L21" s="577" t="n">
        <f aca="false">I21/I$19</f>
        <v>7.0381481697195E-028</v>
      </c>
      <c r="M21" s="578" t="n">
        <f aca="false">J21/J$19</f>
        <v>0</v>
      </c>
      <c r="O21" s="53" t="s">
        <v>428</v>
      </c>
      <c r="P21" s="15" t="n">
        <f aca="false">F44</f>
        <v>0.0182254396602505</v>
      </c>
      <c r="Q21" s="15" t="n">
        <f aca="false">Liquids!F22</f>
        <v>1.46955</v>
      </c>
      <c r="R21" s="219" t="n">
        <f aca="false">Q21-P21</f>
        <v>1.45132456033975</v>
      </c>
      <c r="S21" s="577" t="n">
        <f aca="false">P21/P$19</f>
        <v>7.70946050770136E-007</v>
      </c>
      <c r="T21" s="578" t="n">
        <f aca="false">Q21/Q$19</f>
        <v>6.94986994561362E-005</v>
      </c>
      <c r="U21" s="18"/>
    </row>
    <row r="22" customFormat="false" ht="15" hidden="false" customHeight="false" outlineLevel="0" collapsed="false">
      <c r="A22" s="53" t="s">
        <v>429</v>
      </c>
      <c r="B22" s="15" t="n">
        <f aca="false">D45</f>
        <v>0.0205545496490166</v>
      </c>
      <c r="C22" s="15" t="n">
        <f aca="false">Liquids!G19</f>
        <v>1076.95435866835</v>
      </c>
      <c r="D22" s="219" t="n">
        <f aca="false">C22-B22</f>
        <v>1076.9338041187</v>
      </c>
      <c r="E22" s="577" t="n">
        <f aca="false">B22/B$19</f>
        <v>1.96938115774599E-008</v>
      </c>
      <c r="F22" s="578" t="n">
        <f aca="false">C22/C$19</f>
        <v>0.00110323337772578</v>
      </c>
      <c r="H22" s="53" t="s">
        <v>429</v>
      </c>
      <c r="I22" s="15" t="n">
        <f aca="false">E45</f>
        <v>1.47716088763106E-014</v>
      </c>
      <c r="J22" s="15" t="n">
        <f aca="false">Liquids!G17</f>
        <v>0.32537</v>
      </c>
      <c r="K22" s="219" t="n">
        <f aca="false">J22-I22</f>
        <v>0.325369999999985</v>
      </c>
      <c r="L22" s="577" t="n">
        <f aca="false">I22/I$19</f>
        <v>5.6959349530441E-019</v>
      </c>
      <c r="M22" s="578" t="n">
        <f aca="false">J22/J$19</f>
        <v>1E-005</v>
      </c>
      <c r="O22" s="53" t="s">
        <v>429</v>
      </c>
      <c r="P22" s="15" t="n">
        <f aca="false">F45</f>
        <v>15.6255733452519</v>
      </c>
      <c r="Q22" s="15" t="n">
        <f aca="false">Liquids!G22</f>
        <v>6.44025</v>
      </c>
      <c r="R22" s="219" t="n">
        <f aca="false">Q22-P22</f>
        <v>-9.1853233452519</v>
      </c>
      <c r="S22" s="577" t="n">
        <f aca="false">P22/P$19</f>
        <v>0.000660970285826042</v>
      </c>
      <c r="T22" s="578" t="n">
        <f aca="false">Q22/Q$19</f>
        <v>0.000304575549775361</v>
      </c>
      <c r="U22" s="18"/>
    </row>
    <row r="23" customFormat="false" ht="15" hidden="false" customHeight="false" outlineLevel="0" collapsed="false">
      <c r="A23" s="53" t="s">
        <v>430</v>
      </c>
      <c r="B23" s="15" t="n">
        <f aca="false">D46</f>
        <v>458739.233675637</v>
      </c>
      <c r="C23" s="15" t="n">
        <f aca="false">Liquids!H19</f>
        <v>481299.355660585</v>
      </c>
      <c r="D23" s="219" t="n">
        <f aca="false">C23-B23</f>
        <v>22560.1219849482</v>
      </c>
      <c r="E23" s="577" t="n">
        <f aca="false">B23/B$19</f>
        <v>0.43952916436817</v>
      </c>
      <c r="F23" s="578" t="n">
        <f aca="false">C23/C$19</f>
        <v>0.493043655535439</v>
      </c>
      <c r="H23" s="53" t="s">
        <v>430</v>
      </c>
      <c r="I23" s="15" t="n">
        <f aca="false">E46</f>
        <v>8.0204349487151E-006</v>
      </c>
      <c r="J23" s="15" t="n">
        <f aca="false">Liquids!H17</f>
        <v>15.61776</v>
      </c>
      <c r="K23" s="219" t="n">
        <f aca="false">J23-I23</f>
        <v>15.617751979565</v>
      </c>
      <c r="L23" s="577" t="n">
        <f aca="false">I23/I$19</f>
        <v>3.092681111823E-010</v>
      </c>
      <c r="M23" s="578" t="n">
        <f aca="false">J23/J$19</f>
        <v>0.00048</v>
      </c>
      <c r="O23" s="53" t="s">
        <v>430</v>
      </c>
      <c r="P23" s="15" t="n">
        <f aca="false">F46</f>
        <v>72.6927434646492</v>
      </c>
      <c r="Q23" s="15" t="n">
        <f aca="false">Liquids!H22</f>
        <v>43.72974</v>
      </c>
      <c r="R23" s="219" t="n">
        <f aca="false">Q23-P23</f>
        <v>-28.9630034646492</v>
      </c>
      <c r="S23" s="577" t="n">
        <f aca="false">P23/P$19</f>
        <v>0.00307494274697501</v>
      </c>
      <c r="T23" s="578" t="n">
        <f aca="false">Q23/Q$19</f>
        <v>0.00206808890990778</v>
      </c>
      <c r="U23" s="18"/>
    </row>
    <row r="24" customFormat="false" ht="15" hidden="false" customHeight="false" outlineLevel="0" collapsed="false">
      <c r="A24" s="53" t="s">
        <v>431</v>
      </c>
      <c r="B24" s="15" t="n">
        <f aca="false">D47</f>
        <v>303595.247451642</v>
      </c>
      <c r="C24" s="15" t="n">
        <f aca="false">Liquids!I19</f>
        <v>258051.093307296</v>
      </c>
      <c r="D24" s="219" t="n">
        <f aca="false">C24-B24</f>
        <v>-45544.1541443464</v>
      </c>
      <c r="E24" s="577" t="n">
        <f aca="false">B24/B$19</f>
        <v>0.290881955636084</v>
      </c>
      <c r="F24" s="578" t="n">
        <f aca="false">C24/C$19</f>
        <v>0.264347859316208</v>
      </c>
      <c r="H24" s="53" t="s">
        <v>431</v>
      </c>
      <c r="I24" s="15" t="n">
        <f aca="false">E47</f>
        <v>0.872526926453917</v>
      </c>
      <c r="J24" s="15" t="n">
        <f aca="false">Liquids!I17</f>
        <v>6.83277</v>
      </c>
      <c r="K24" s="219" t="n">
        <f aca="false">J24-I24</f>
        <v>5.96024307354608</v>
      </c>
      <c r="L24" s="577" t="n">
        <f aca="false">I24/I$19</f>
        <v>3.36446534664969E-005</v>
      </c>
      <c r="M24" s="578" t="n">
        <f aca="false">J24/J$19</f>
        <v>0.00021</v>
      </c>
      <c r="O24" s="53" t="s">
        <v>431</v>
      </c>
      <c r="P24" s="15" t="n">
        <f aca="false">F47</f>
        <v>329.927866836625</v>
      </c>
      <c r="Q24" s="15" t="n">
        <f aca="false">Liquids!I22</f>
        <v>395.05487</v>
      </c>
      <c r="R24" s="219" t="n">
        <f aca="false">Q24-P24</f>
        <v>65.127003163375</v>
      </c>
      <c r="S24" s="577" t="n">
        <f aca="false">P24/P$19</f>
        <v>0.0139561289449418</v>
      </c>
      <c r="T24" s="578" t="n">
        <f aca="false">Q24/Q$19</f>
        <v>0.0186831340742492</v>
      </c>
      <c r="U24" s="18"/>
    </row>
    <row r="25" customFormat="false" ht="15" hidden="false" customHeight="false" outlineLevel="0" collapsed="false">
      <c r="A25" s="53" t="s">
        <v>432</v>
      </c>
      <c r="B25" s="15" t="n">
        <f aca="false">D48</f>
        <v>54746.9687082631</v>
      </c>
      <c r="C25" s="15" t="n">
        <f aca="false">Liquids!J19</f>
        <v>47250.3446042338</v>
      </c>
      <c r="D25" s="219" t="n">
        <f aca="false">C25-B25</f>
        <v>-7496.62410402933</v>
      </c>
      <c r="E25" s="577" t="n">
        <f aca="false">B25/B$19</f>
        <v>0.0524543959652849</v>
      </c>
      <c r="F25" s="578" t="n">
        <f aca="false">C25/C$19</f>
        <v>0.0484033114837773</v>
      </c>
      <c r="H25" s="53" t="s">
        <v>432</v>
      </c>
      <c r="I25" s="15" t="n">
        <f aca="false">E48</f>
        <v>149.841043014656</v>
      </c>
      <c r="J25" s="15" t="n">
        <f aca="false">Liquids!J17</f>
        <v>1.95222</v>
      </c>
      <c r="K25" s="219" t="n">
        <f aca="false">J25-I25</f>
        <v>-147.888823014656</v>
      </c>
      <c r="L25" s="577" t="n">
        <f aca="false">I25/I$19</f>
        <v>0.00577787322595921</v>
      </c>
      <c r="M25" s="578" t="n">
        <f aca="false">J25/J$19</f>
        <v>6E-005</v>
      </c>
      <c r="O25" s="53" t="s">
        <v>432</v>
      </c>
      <c r="P25" s="15" t="n">
        <f aca="false">F48</f>
        <v>225.89123983515</v>
      </c>
      <c r="Q25" s="15" t="n">
        <f aca="false">Liquids!J22</f>
        <v>280.01702</v>
      </c>
      <c r="R25" s="219" t="n">
        <f aca="false">Q25-P25</f>
        <v>54.12578016485</v>
      </c>
      <c r="S25" s="577" t="n">
        <f aca="false">P25/P$19</f>
        <v>0.00955532280707049</v>
      </c>
      <c r="T25" s="578" t="n">
        <f aca="false">Q25/Q$19</f>
        <v>0.0132427060770868</v>
      </c>
      <c r="U25" s="18"/>
    </row>
    <row r="26" customFormat="false" ht="15" hidden="false" customHeight="false" outlineLevel="0" collapsed="false">
      <c r="A26" s="53" t="s">
        <v>433</v>
      </c>
      <c r="B26" s="15" t="n">
        <f aca="false">D49</f>
        <v>118684.417452094</v>
      </c>
      <c r="C26" s="15" t="n">
        <f aca="false">Liquids!K19</f>
        <v>102206.161315082</v>
      </c>
      <c r="D26" s="219" t="n">
        <f aca="false">C26-B26</f>
        <v>-16478.2561370118</v>
      </c>
      <c r="E26" s="577" t="n">
        <f aca="false">B26/B$19</f>
        <v>0.113714413324252</v>
      </c>
      <c r="F26" s="578" t="n">
        <f aca="false">C26/C$19</f>
        <v>0.104700118128913</v>
      </c>
      <c r="H26" s="53" t="s">
        <v>433</v>
      </c>
      <c r="I26" s="15" t="n">
        <f aca="false">E49</f>
        <v>1325.86183154808</v>
      </c>
      <c r="J26" s="15" t="n">
        <f aca="false">Liquids!K17</f>
        <v>6.5074</v>
      </c>
      <c r="K26" s="219" t="n">
        <f aca="false">J26-I26</f>
        <v>-1319.35443154808</v>
      </c>
      <c r="L26" s="577" t="n">
        <f aca="false">I26/I$19</f>
        <v>0.051125255295197</v>
      </c>
      <c r="M26" s="578" t="n">
        <f aca="false">J26/J$19</f>
        <v>0.0002</v>
      </c>
      <c r="O26" s="53" t="s">
        <v>433</v>
      </c>
      <c r="P26" s="15" t="n">
        <f aca="false">F49</f>
        <v>903.356446406627</v>
      </c>
      <c r="Q26" s="15" t="n">
        <f aca="false">Liquids!K22</f>
        <v>1454.79524</v>
      </c>
      <c r="R26" s="219" t="n">
        <f aca="false">Q26-P26</f>
        <v>551.438793593373</v>
      </c>
      <c r="S26" s="577" t="n">
        <f aca="false">P26/P$19</f>
        <v>0.0382124710173033</v>
      </c>
      <c r="T26" s="578" t="n">
        <f aca="false">Q26/Q$19</f>
        <v>0.0688009099077796</v>
      </c>
      <c r="U26" s="18"/>
    </row>
    <row r="27" customFormat="false" ht="15" hidden="false" customHeight="false" outlineLevel="0" collapsed="false">
      <c r="A27" s="53" t="s">
        <v>434</v>
      </c>
      <c r="B27" s="15" t="n">
        <f aca="false">D50</f>
        <v>33970.6165081793</v>
      </c>
      <c r="C27" s="15" t="n">
        <f aca="false">Liquids!L19</f>
        <v>29879.948701984</v>
      </c>
      <c r="D27" s="219" t="n">
        <f aca="false">C27-B27</f>
        <v>-4090.66780619531</v>
      </c>
      <c r="E27" s="577" t="n">
        <f aca="false">B27/B$19</f>
        <v>0.0325480699945298</v>
      </c>
      <c r="F27" s="578" t="n">
        <f aca="false">C27/C$19</f>
        <v>0.0306090564260526</v>
      </c>
      <c r="H27" s="53" t="s">
        <v>434</v>
      </c>
      <c r="I27" s="15" t="n">
        <f aca="false">E50</f>
        <v>2140.3846577877</v>
      </c>
      <c r="J27" s="15" t="n">
        <f aca="false">Liquids!L17</f>
        <v>1900.81154</v>
      </c>
      <c r="K27" s="219" t="n">
        <f aca="false">J27-I27</f>
        <v>-239.5731177877</v>
      </c>
      <c r="L27" s="577" t="n">
        <f aca="false">I27/I$19</f>
        <v>0.0825332696481284</v>
      </c>
      <c r="M27" s="578" t="n">
        <f aca="false">J27/J$19</f>
        <v>0.05842</v>
      </c>
      <c r="O27" s="53" t="s">
        <v>434</v>
      </c>
      <c r="P27" s="15" t="n">
        <f aca="false">F50</f>
        <v>831.739996277342</v>
      </c>
      <c r="Q27" s="15" t="n">
        <f aca="false">Liquids!L22</f>
        <v>1493.04859</v>
      </c>
      <c r="R27" s="219" t="n">
        <f aca="false">Q27-P27</f>
        <v>661.308593722658</v>
      </c>
      <c r="S27" s="577" t="n">
        <f aca="false">P27/P$19</f>
        <v>0.0351830560661916</v>
      </c>
      <c r="T27" s="578" t="n">
        <f aca="false">Q27/Q$19</f>
        <v>0.0706100066209506</v>
      </c>
      <c r="U27" s="18"/>
    </row>
    <row r="28" customFormat="false" ht="15" hidden="false" customHeight="false" outlineLevel="0" collapsed="false">
      <c r="A28" s="53" t="s">
        <v>435</v>
      </c>
      <c r="B28" s="15" t="n">
        <f aca="false">D51</f>
        <v>34335.1338684628</v>
      </c>
      <c r="C28" s="15" t="n">
        <f aca="false">Liquids!M19</f>
        <v>29041.3382022385</v>
      </c>
      <c r="D28" s="219" t="n">
        <f aca="false">C28-B28</f>
        <v>-5293.79566622427</v>
      </c>
      <c r="E28" s="577" t="n">
        <f aca="false">B28/B$19</f>
        <v>0.0328973229011961</v>
      </c>
      <c r="F28" s="578" t="n">
        <f aca="false">C28/C$19</f>
        <v>0.0297499827923524</v>
      </c>
      <c r="H28" s="53" t="s">
        <v>435</v>
      </c>
      <c r="I28" s="15" t="n">
        <f aca="false">E51</f>
        <v>2918.3877192197</v>
      </c>
      <c r="J28" s="15" t="n">
        <f aca="false">Liquids!M17</f>
        <v>4483.92397</v>
      </c>
      <c r="K28" s="219" t="n">
        <f aca="false">J28-I28</f>
        <v>1565.5362507803</v>
      </c>
      <c r="L28" s="577" t="n">
        <f aca="false">I28/I$19</f>
        <v>0.112533081234615</v>
      </c>
      <c r="M28" s="578" t="n">
        <f aca="false">J28/J$19</f>
        <v>0.13781</v>
      </c>
      <c r="O28" s="53" t="s">
        <v>435</v>
      </c>
      <c r="P28" s="15" t="n">
        <f aca="false">F51</f>
        <v>1261.09271512018</v>
      </c>
      <c r="Q28" s="15" t="n">
        <f aca="false">Liquids!M22</f>
        <v>2697.05601</v>
      </c>
      <c r="R28" s="219" t="n">
        <f aca="false">Q28-P28</f>
        <v>1435.96329487982</v>
      </c>
      <c r="S28" s="577" t="n">
        <f aca="false">P28/P$19</f>
        <v>0.0533449105481567</v>
      </c>
      <c r="T28" s="578" t="n">
        <f aca="false">Q28/Q$19</f>
        <v>0.127550532513597</v>
      </c>
      <c r="U28" s="18"/>
    </row>
    <row r="29" customFormat="false" ht="15.75" hidden="false" customHeight="false" outlineLevel="0" collapsed="false">
      <c r="A29" s="377" t="s">
        <v>10</v>
      </c>
      <c r="B29" s="62" t="n">
        <f aca="false">D52</f>
        <v>37896.250743573</v>
      </c>
      <c r="C29" s="62" t="n">
        <f aca="false">Liquids!N19</f>
        <v>27340.4634245216</v>
      </c>
      <c r="D29" s="349" t="n">
        <f aca="false">C29-B29</f>
        <v>-10555.7873190514</v>
      </c>
      <c r="E29" s="579" t="n">
        <f aca="false">B29/B$19</f>
        <v>0.0363093151822865</v>
      </c>
      <c r="F29" s="580" t="n">
        <f aca="false">C29/C$19</f>
        <v>0.0280076045652663</v>
      </c>
      <c r="H29" s="377" t="s">
        <v>10</v>
      </c>
      <c r="I29" s="62" t="n">
        <f aca="false">E52</f>
        <v>19398.2504692288</v>
      </c>
      <c r="J29" s="62" t="n">
        <f aca="false">Liquids!N17</f>
        <v>26120.05286</v>
      </c>
      <c r="K29" s="349" t="n">
        <f aca="false">J29-I29</f>
        <v>6721.8023907712</v>
      </c>
      <c r="L29" s="579" t="n">
        <f aca="false">I29/I$19</f>
        <v>0.747996875633367</v>
      </c>
      <c r="M29" s="580" t="n">
        <f aca="false">J29/J$19</f>
        <v>0.80278</v>
      </c>
      <c r="O29" s="377" t="s">
        <v>10</v>
      </c>
      <c r="P29" s="62" t="n">
        <f aca="false">F52</f>
        <v>19999.6859312254</v>
      </c>
      <c r="Q29" s="62" t="n">
        <f aca="false">Liquids!N22</f>
        <v>14773.08509</v>
      </c>
      <c r="R29" s="349" t="n">
        <f aca="false">Q29-P29</f>
        <v>-5226.6008412254</v>
      </c>
      <c r="S29" s="579" t="n">
        <f aca="false">P29/P$19</f>
        <v>0.84599763697055</v>
      </c>
      <c r="T29" s="580" t="n">
        <f aca="false">Q29/Q$19</f>
        <v>0.698656187751242</v>
      </c>
      <c r="U29" s="18"/>
    </row>
    <row r="30" customFormat="false" ht="15.75" hidden="false" customHeight="false" outlineLevel="0" collapsed="false">
      <c r="G30" s="571"/>
      <c r="H30" s="571"/>
      <c r="Q30" s="571"/>
      <c r="U30" s="18"/>
    </row>
    <row r="31" customFormat="false" ht="15" hidden="false" customHeight="false" outlineLevel="0" collapsed="false">
      <c r="G31" s="571"/>
      <c r="J31" s="0" t="n">
        <v>1184</v>
      </c>
      <c r="Q31" s="571"/>
      <c r="U31" s="18"/>
    </row>
    <row r="32" customFormat="false" ht="15.75" hidden="false" customHeight="false" outlineLevel="0" collapsed="false">
      <c r="G32" s="571"/>
      <c r="O32" s="572" t="s">
        <v>438</v>
      </c>
      <c r="R32" s="573" t="n">
        <f aca="false">(P34-Q34)/Q34</f>
        <v>0.0615790973843118</v>
      </c>
      <c r="U32" s="18"/>
    </row>
    <row r="33" customFormat="false" ht="15.75" hidden="false" customHeight="false" outlineLevel="0" collapsed="false">
      <c r="B33" s="571"/>
      <c r="G33" s="571"/>
      <c r="O33" s="574"/>
      <c r="P33" s="575" t="s">
        <v>420</v>
      </c>
      <c r="Q33" s="575" t="s">
        <v>425</v>
      </c>
      <c r="R33" s="575" t="s">
        <v>422</v>
      </c>
      <c r="S33" s="575" t="s">
        <v>423</v>
      </c>
      <c r="T33" s="576" t="s">
        <v>424</v>
      </c>
      <c r="U33" s="18"/>
    </row>
    <row r="34" customFormat="false" ht="15" hidden="false" customHeight="false" outlineLevel="0" collapsed="false">
      <c r="B34" s="571"/>
      <c r="G34" s="571"/>
      <c r="O34" s="53" t="s">
        <v>427</v>
      </c>
      <c r="P34" s="15" t="n">
        <f aca="false">B19+I19+P19</f>
        <v>1093279.9723904</v>
      </c>
      <c r="Q34" s="15" t="n">
        <f aca="false">C19+J19+Q19</f>
        <v>1029862</v>
      </c>
      <c r="R34" s="219" t="n">
        <f aca="false">Q34-P34</f>
        <v>-63417.9723904021</v>
      </c>
      <c r="S34" s="73"/>
      <c r="T34" s="88"/>
      <c r="U34" s="18"/>
    </row>
    <row r="35" customFormat="false" ht="15" hidden="false" customHeight="false" outlineLevel="0" collapsed="false">
      <c r="B35" s="571"/>
      <c r="G35" s="571"/>
      <c r="O35" s="53" t="s">
        <v>1</v>
      </c>
      <c r="P35" s="15" t="n">
        <f aca="false">B20+I20+P20</f>
        <v>0.34585790851527</v>
      </c>
      <c r="Q35" s="15" t="n">
        <f aca="false">C20+J20+Q20</f>
        <v>29.2376778780103</v>
      </c>
      <c r="R35" s="219" t="n">
        <f aca="false">Q35-P35</f>
        <v>28.8918199694951</v>
      </c>
      <c r="S35" s="577" t="n">
        <f aca="false">P35/P$34</f>
        <v>3.16348892552261E-007</v>
      </c>
      <c r="T35" s="578" t="n">
        <f aca="false">Q35/Q$34</f>
        <v>2.83898987223631E-005</v>
      </c>
      <c r="U35" s="18"/>
    </row>
    <row r="36" customFormat="false" ht="15" hidden="false" customHeight="false" outlineLevel="0" collapsed="false">
      <c r="B36" s="571"/>
      <c r="G36" s="571"/>
      <c r="O36" s="53" t="s">
        <v>428</v>
      </c>
      <c r="P36" s="15" t="n">
        <f aca="false">B21+I21+P21</f>
        <v>1738.12680183126</v>
      </c>
      <c r="Q36" s="15" t="n">
        <f aca="false">C21+J21+Q21</f>
        <v>7.70342751277161</v>
      </c>
      <c r="R36" s="219" t="n">
        <f aca="false">Q36-P36</f>
        <v>-1730.42337431849</v>
      </c>
      <c r="S36" s="577" t="n">
        <f aca="false">P36/P$34</f>
        <v>0.00158982771634509</v>
      </c>
      <c r="T36" s="578" t="n">
        <f aca="false">Q36/Q$34</f>
        <v>7.4800580201732E-006</v>
      </c>
    </row>
    <row r="37" customFormat="false" ht="15" hidden="false" customHeight="false" outlineLevel="0" collapsed="false">
      <c r="B37" s="571"/>
      <c r="G37" s="571"/>
      <c r="O37" s="53" t="s">
        <v>429</v>
      </c>
      <c r="P37" s="15" t="n">
        <f aca="false">B22+I22+P22</f>
        <v>15.6461278949009</v>
      </c>
      <c r="Q37" s="15" t="n">
        <f aca="false">C22+J22+Q22</f>
        <v>1083.71997866835</v>
      </c>
      <c r="R37" s="219" t="n">
        <f aca="false">Q37-P37</f>
        <v>1068.07385077345</v>
      </c>
      <c r="S37" s="577" t="n">
        <f aca="false">P37/P$34</f>
        <v>1.43111812985026E-005</v>
      </c>
      <c r="T37" s="578" t="n">
        <f aca="false">Q37/Q$34</f>
        <v>0.0010522963063676</v>
      </c>
    </row>
    <row r="38" customFormat="false" ht="15" hidden="false" customHeight="false" outlineLevel="0" collapsed="false">
      <c r="B38" s="18"/>
      <c r="C38" s="18"/>
      <c r="D38" s="18"/>
      <c r="G38" s="571"/>
      <c r="O38" s="53" t="s">
        <v>430</v>
      </c>
      <c r="P38" s="15" t="n">
        <f aca="false">B23+I23+P23</f>
        <v>458811.926427122</v>
      </c>
      <c r="Q38" s="15" t="n">
        <f aca="false">C23+J23+Q23</f>
        <v>481358.703160585</v>
      </c>
      <c r="R38" s="219" t="n">
        <f aca="false">Q38-P38</f>
        <v>22546.7767334631</v>
      </c>
      <c r="S38" s="577" t="n">
        <f aca="false">P38/P$34</f>
        <v>0.41966553674623</v>
      </c>
      <c r="T38" s="578" t="n">
        <f aca="false">Q38/Q$34</f>
        <v>0.467401169438804</v>
      </c>
    </row>
    <row r="39" customFormat="false" ht="15" hidden="false" customHeight="false" outlineLevel="0" collapsed="false">
      <c r="B39" s="18"/>
      <c r="C39" s="18"/>
      <c r="D39" s="18"/>
      <c r="G39" s="571"/>
      <c r="O39" s="53" t="s">
        <v>431</v>
      </c>
      <c r="P39" s="15" t="n">
        <f aca="false">B24+I24+P24</f>
        <v>303926.047845405</v>
      </c>
      <c r="Q39" s="15" t="n">
        <f aca="false">C24+J24+Q24</f>
        <v>258452.980947296</v>
      </c>
      <c r="R39" s="219" t="n">
        <f aca="false">Q39-P39</f>
        <v>-45473.0668981095</v>
      </c>
      <c r="S39" s="577" t="n">
        <f aca="false">P39/P$34</f>
        <v>0.277994709059644</v>
      </c>
      <c r="T39" s="578" t="n">
        <f aca="false">Q39/Q$34</f>
        <v>0.250958847833298</v>
      </c>
    </row>
    <row r="40" customFormat="false" ht="15" hidden="false" customHeight="false" outlineLevel="0" collapsed="false">
      <c r="C40" s="581" t="s">
        <v>417</v>
      </c>
      <c r="D40" s="581" t="s">
        <v>156</v>
      </c>
      <c r="E40" s="581" t="s">
        <v>155</v>
      </c>
      <c r="F40" s="581" t="s">
        <v>154</v>
      </c>
      <c r="G40" s="581" t="s">
        <v>439</v>
      </c>
      <c r="O40" s="53" t="s">
        <v>432</v>
      </c>
      <c r="P40" s="15" t="n">
        <f aca="false">B25+I25+P25</f>
        <v>55122.7009911129</v>
      </c>
      <c r="Q40" s="15" t="n">
        <f aca="false">C25+J25+Q25</f>
        <v>47532.3138442338</v>
      </c>
      <c r="R40" s="219" t="n">
        <f aca="false">Q40-P40</f>
        <v>-7590.38714687914</v>
      </c>
      <c r="S40" s="577" t="n">
        <f aca="false">P40/P$34</f>
        <v>0.0504195653292632</v>
      </c>
      <c r="T40" s="578" t="n">
        <f aca="false">Q40/Q$34</f>
        <v>0.0461540612666879</v>
      </c>
    </row>
    <row r="41" customFormat="false" ht="15" hidden="false" customHeight="false" outlineLevel="0" collapsed="false">
      <c r="B41" s="0" t="s">
        <v>412</v>
      </c>
      <c r="C41" s="72" t="n">
        <v>7139439.3720119</v>
      </c>
      <c r="D41" s="72" t="n">
        <v>985084.755367445</v>
      </c>
      <c r="E41" s="72" t="n">
        <v>25848.2412309175</v>
      </c>
      <c r="F41" s="72" t="n">
        <v>23534.9164678508</v>
      </c>
      <c r="G41" s="72" t="n">
        <v>9037262.91554681</v>
      </c>
      <c r="O41" s="53" t="s">
        <v>433</v>
      </c>
      <c r="P41" s="15" t="n">
        <f aca="false">B26+I26+P26</f>
        <v>120913.635730049</v>
      </c>
      <c r="Q41" s="15" t="n">
        <f aca="false">C26+J26+Q26</f>
        <v>103667.463955082</v>
      </c>
      <c r="R41" s="219" t="n">
        <f aca="false">Q41-P41</f>
        <v>-17246.1717749665</v>
      </c>
      <c r="S41" s="577" t="n">
        <f aca="false">P41/P$34</f>
        <v>0.1105971377722</v>
      </c>
      <c r="T41" s="578" t="n">
        <f aca="false">Q41/Q$34</f>
        <v>0.100661509945102</v>
      </c>
    </row>
    <row r="42" customFormat="false" ht="15" hidden="false" customHeight="false" outlineLevel="0" collapsed="false">
      <c r="B42" s="0" t="s">
        <v>440</v>
      </c>
      <c r="C42" s="72" t="n">
        <v>7139439.3720119</v>
      </c>
      <c r="D42" s="72" t="n">
        <v>1043706.01740406</v>
      </c>
      <c r="E42" s="72" t="n">
        <v>25933.5982557458</v>
      </c>
      <c r="F42" s="72" t="n">
        <v>23640.3567305964</v>
      </c>
      <c r="G42" s="72" t="n">
        <v>9037262.91554681</v>
      </c>
      <c r="O42" s="53" t="s">
        <v>434</v>
      </c>
      <c r="P42" s="15" t="n">
        <f aca="false">B27+I27+P27</f>
        <v>36942.7411622443</v>
      </c>
      <c r="Q42" s="15" t="n">
        <f aca="false">C27+J27+Q27</f>
        <v>33273.808831984</v>
      </c>
      <c r="R42" s="219" t="n">
        <f aca="false">Q42-P42</f>
        <v>-3668.93233026035</v>
      </c>
      <c r="S42" s="577" t="n">
        <f aca="false">P42/P$34</f>
        <v>0.0337907417086136</v>
      </c>
      <c r="T42" s="578" t="n">
        <f aca="false">Q42/Q$34</f>
        <v>0.0323089975472286</v>
      </c>
    </row>
    <row r="43" customFormat="false" ht="15" hidden="false" customHeight="false" outlineLevel="0" collapsed="false">
      <c r="B43" s="0" t="s">
        <v>1</v>
      </c>
      <c r="C43" s="72" t="n">
        <v>0</v>
      </c>
      <c r="D43" s="72" t="n">
        <v>0.019865263025069</v>
      </c>
      <c r="E43" s="72" t="n">
        <v>3.38233428543743E-012</v>
      </c>
      <c r="F43" s="72" t="n">
        <v>0.325992645486819</v>
      </c>
      <c r="G43" s="72" t="n">
        <v>34844.0680001091</v>
      </c>
      <c r="O43" s="53" t="s">
        <v>435</v>
      </c>
      <c r="P43" s="15" t="n">
        <f aca="false">B28+I28+P28</f>
        <v>38514.6143028027</v>
      </c>
      <c r="Q43" s="15" t="n">
        <f aca="false">C28+J28+Q28</f>
        <v>36222.3181822385</v>
      </c>
      <c r="R43" s="219" t="n">
        <f aca="false">Q43-P43</f>
        <v>-2292.29612056415</v>
      </c>
      <c r="S43" s="577" t="n">
        <f aca="false">P43/P$34</f>
        <v>0.0352285007275789</v>
      </c>
      <c r="T43" s="578" t="n">
        <f aca="false">Q43/Q$34</f>
        <v>0.0351720115726559</v>
      </c>
    </row>
    <row r="44" customFormat="false" ht="15.75" hidden="false" customHeight="false" outlineLevel="0" collapsed="false">
      <c r="B44" s="0" t="s">
        <v>428</v>
      </c>
      <c r="C44" s="72" t="n">
        <v>73154.1908875513</v>
      </c>
      <c r="D44" s="72" t="n">
        <v>1738.1085763916</v>
      </c>
      <c r="E44" s="72" t="n">
        <v>1.82524507097918E-023</v>
      </c>
      <c r="F44" s="72" t="n">
        <v>0.0182254396602505</v>
      </c>
      <c r="G44" s="72" t="n">
        <v>82840.9903869457</v>
      </c>
      <c r="N44" s="72"/>
      <c r="O44" s="377" t="s">
        <v>10</v>
      </c>
      <c r="P44" s="62" t="n">
        <f aca="false">B29+I29+P29</f>
        <v>77294.1871440272</v>
      </c>
      <c r="Q44" s="62" t="n">
        <f aca="false">C29+J29+Q29</f>
        <v>68233.6013745216</v>
      </c>
      <c r="R44" s="349" t="n">
        <f aca="false">Q44-P44</f>
        <v>-9060.58576950558</v>
      </c>
      <c r="S44" s="579" t="n">
        <f aca="false">P44/P$34</f>
        <v>0.0706993534099297</v>
      </c>
      <c r="T44" s="580" t="n">
        <f aca="false">Q44/Q$34</f>
        <v>0.0662550918225176</v>
      </c>
    </row>
    <row r="45" customFormat="false" ht="15.75" hidden="false" customHeight="false" outlineLevel="0" collapsed="false">
      <c r="B45" s="0" t="s">
        <v>429</v>
      </c>
      <c r="C45" s="72" t="n">
        <v>6820033.50172563</v>
      </c>
      <c r="D45" s="72" t="n">
        <v>0.0205545496490166</v>
      </c>
      <c r="E45" s="72" t="n">
        <v>1.47716088763106E-014</v>
      </c>
      <c r="F45" s="72" t="n">
        <v>15.6255733452519</v>
      </c>
      <c r="G45" s="72" t="n">
        <v>7103907.39813996</v>
      </c>
      <c r="N45" s="72"/>
      <c r="O45" s="72"/>
      <c r="P45" s="72"/>
    </row>
    <row r="46" customFormat="false" ht="15" hidden="false" customHeight="false" outlineLevel="0" collapsed="false">
      <c r="B46" s="0" t="s">
        <v>430</v>
      </c>
      <c r="C46" s="72" t="n">
        <v>239568.644713491</v>
      </c>
      <c r="D46" s="72" t="n">
        <v>458739.233675637</v>
      </c>
      <c r="E46" s="72" t="n">
        <v>8.0204349487151E-006</v>
      </c>
      <c r="F46" s="72" t="n">
        <v>72.6927434646492</v>
      </c>
      <c r="G46" s="72" t="n">
        <v>972689.632825405</v>
      </c>
      <c r="N46" s="72"/>
      <c r="O46" s="72"/>
      <c r="P46" s="72"/>
    </row>
    <row r="47" customFormat="false" ht="15" hidden="false" customHeight="false" outlineLevel="0" collapsed="false">
      <c r="B47" s="0" t="s">
        <v>431</v>
      </c>
      <c r="C47" s="72" t="n">
        <v>6430.59632080596</v>
      </c>
      <c r="D47" s="72" t="n">
        <v>303595.247451642</v>
      </c>
      <c r="E47" s="72" t="n">
        <v>0.872526926453917</v>
      </c>
      <c r="F47" s="72" t="n">
        <v>329.927866836625</v>
      </c>
      <c r="G47" s="72" t="n">
        <v>472607.585365694</v>
      </c>
      <c r="N47" s="72"/>
      <c r="O47" s="72"/>
      <c r="P47" s="72"/>
    </row>
    <row r="48" customFormat="false" ht="15" hidden="false" customHeight="false" outlineLevel="0" collapsed="false">
      <c r="B48" s="0" t="s">
        <v>432</v>
      </c>
      <c r="C48" s="72" t="n">
        <v>113.276040042868</v>
      </c>
      <c r="D48" s="72" t="n">
        <v>54746.9687082631</v>
      </c>
      <c r="E48" s="72" t="n">
        <v>149.841043014656</v>
      </c>
      <c r="F48" s="72" t="n">
        <v>225.89123983515</v>
      </c>
      <c r="G48" s="72" t="n">
        <v>71024.9124485263</v>
      </c>
      <c r="N48" s="72"/>
      <c r="O48" s="72"/>
      <c r="P48" s="72"/>
    </row>
    <row r="49" customFormat="false" ht="15" hidden="false" customHeight="false" outlineLevel="0" collapsed="false">
      <c r="B49" s="0" t="s">
        <v>433</v>
      </c>
      <c r="C49" s="72" t="n">
        <v>134.868333857263</v>
      </c>
      <c r="D49" s="72" t="n">
        <v>118684.417452094</v>
      </c>
      <c r="E49" s="72" t="n">
        <v>1325.86183154808</v>
      </c>
      <c r="F49" s="72" t="n">
        <v>903.356446406627</v>
      </c>
      <c r="G49" s="72" t="n">
        <v>160969.110036134</v>
      </c>
      <c r="N49" s="72"/>
      <c r="O49" s="72"/>
      <c r="P49" s="72"/>
    </row>
    <row r="50" customFormat="false" ht="15" hidden="false" customHeight="false" outlineLevel="0" collapsed="false">
      <c r="B50" s="0" t="s">
        <v>434</v>
      </c>
      <c r="C50" s="72" t="n">
        <v>2.23951303056201</v>
      </c>
      <c r="D50" s="72" t="n">
        <v>33970.6165081793</v>
      </c>
      <c r="E50" s="72" t="n">
        <v>2140.3846577877</v>
      </c>
      <c r="F50" s="72" t="n">
        <v>831.739996277342</v>
      </c>
      <c r="G50" s="72" t="n">
        <v>41482.0181715537</v>
      </c>
      <c r="N50" s="72"/>
      <c r="O50" s="72"/>
      <c r="P50" s="72"/>
    </row>
    <row r="51" customFormat="false" ht="15" hidden="false" customHeight="false" outlineLevel="0" collapsed="false">
      <c r="B51" s="0" t="s">
        <v>435</v>
      </c>
      <c r="C51" s="72" t="n">
        <v>2.0544774898877</v>
      </c>
      <c r="D51" s="72" t="n">
        <v>34335.1338684628</v>
      </c>
      <c r="E51" s="72" t="n">
        <v>2918.3877192197</v>
      </c>
      <c r="F51" s="72" t="n">
        <v>1261.09271512018</v>
      </c>
      <c r="G51" s="72" t="n">
        <v>43171.2988806311</v>
      </c>
      <c r="N51" s="72"/>
      <c r="O51" s="72"/>
      <c r="P51" s="72"/>
    </row>
    <row r="52" customFormat="false" ht="15" hidden="false" customHeight="false" outlineLevel="0" collapsed="false">
      <c r="B52" s="0" t="s">
        <v>10</v>
      </c>
      <c r="C52" s="72" t="n">
        <v>0</v>
      </c>
      <c r="D52" s="72" t="n">
        <v>37896.250743573</v>
      </c>
      <c r="E52" s="72" t="n">
        <v>19398.2504692288</v>
      </c>
      <c r="F52" s="72" t="n">
        <v>19999.6859312254</v>
      </c>
      <c r="G52" s="72" t="n">
        <v>53725.9012918567</v>
      </c>
      <c r="N52" s="72"/>
      <c r="O52" s="72"/>
      <c r="P52" s="72"/>
    </row>
    <row r="53" customFormat="false" ht="15" hidden="false" customHeight="false" outlineLevel="0" collapsed="false">
      <c r="N53" s="72"/>
      <c r="O53" s="72"/>
      <c r="P53" s="72"/>
    </row>
    <row r="54" customFormat="false" ht="15" hidden="false" customHeight="false" outlineLevel="0" collapsed="false">
      <c r="N54" s="72"/>
      <c r="O54" s="72"/>
      <c r="P54" s="72"/>
    </row>
    <row r="55" customFormat="false" ht="15" hidden="false" customHeight="false" outlineLevel="0" collapsed="false">
      <c r="B55" s="581" t="s">
        <v>441</v>
      </c>
      <c r="C55" s="581" t="s">
        <v>199</v>
      </c>
      <c r="D55" s="581"/>
      <c r="E55" s="581" t="s">
        <v>442</v>
      </c>
      <c r="F55" s="581" t="s">
        <v>443</v>
      </c>
      <c r="G55" s="581" t="s">
        <v>380</v>
      </c>
      <c r="H55" s="581"/>
      <c r="I55" s="581" t="s">
        <v>194</v>
      </c>
      <c r="J55" s="581" t="s">
        <v>444</v>
      </c>
      <c r="K55" s="581" t="s">
        <v>196</v>
      </c>
      <c r="L55" s="581" t="s">
        <v>445</v>
      </c>
      <c r="M55" s="581" t="s">
        <v>195</v>
      </c>
      <c r="N55" s="72"/>
      <c r="O55" s="72"/>
      <c r="P55" s="72"/>
    </row>
    <row r="56" customFormat="false" ht="15" hidden="false" customHeight="false" outlineLevel="0" collapsed="false">
      <c r="A56" s="0" t="s">
        <v>1</v>
      </c>
      <c r="B56" s="72" t="n">
        <v>242.604157189444</v>
      </c>
      <c r="C56" s="72" t="n">
        <v>4526.58684669942</v>
      </c>
      <c r="D56" s="72" t="n">
        <v>4553.66914943496</v>
      </c>
      <c r="E56" s="72" t="n">
        <v>1631.64924277632</v>
      </c>
      <c r="F56" s="72" t="n">
        <v>1386.1729844616</v>
      </c>
      <c r="G56" s="72" t="n">
        <v>995.570453119526</v>
      </c>
      <c r="H56" s="72" t="n">
        <v>1006.41834312639</v>
      </c>
      <c r="I56" s="72" t="n">
        <v>76.03988446416</v>
      </c>
      <c r="J56" s="72" t="n">
        <v>584.836753014972</v>
      </c>
      <c r="K56" s="72" t="n">
        <v>2298.90586019192</v>
      </c>
      <c r="L56" s="72" t="n">
        <v>117.378829099258</v>
      </c>
      <c r="M56" s="72" t="n">
        <v>103.576178773007</v>
      </c>
      <c r="N56" s="72"/>
      <c r="O56" s="72"/>
      <c r="P56" s="72"/>
    </row>
    <row r="57" customFormat="false" ht="15" hidden="false" customHeight="false" outlineLevel="0" collapsed="false">
      <c r="A57" s="0" t="s">
        <v>2</v>
      </c>
      <c r="B57" s="72" t="n">
        <v>2751.18073076986</v>
      </c>
      <c r="C57" s="72" t="n">
        <v>6278.35247908482</v>
      </c>
      <c r="D57" s="72" t="n">
        <v>6308.87185724491</v>
      </c>
      <c r="E57" s="72" t="n">
        <v>8064.90748138705</v>
      </c>
      <c r="F57" s="72" t="n">
        <v>7285.80151514093</v>
      </c>
      <c r="G57" s="72" t="n">
        <v>5642.59109888746</v>
      </c>
      <c r="H57" s="72" t="n">
        <v>5704.07364630801</v>
      </c>
      <c r="I57" s="72" t="n">
        <v>583.582367810099</v>
      </c>
      <c r="J57" s="72" t="n">
        <v>2981.46594804728</v>
      </c>
      <c r="K57" s="72" t="n">
        <v>6397.41261200242</v>
      </c>
      <c r="L57" s="72" t="n">
        <v>520.447754938619</v>
      </c>
      <c r="M57" s="72" t="n">
        <v>424.520307535716</v>
      </c>
      <c r="N57" s="72"/>
      <c r="O57" s="72"/>
      <c r="P57" s="72"/>
    </row>
    <row r="58" customFormat="false" ht="15" hidden="false" customHeight="false" outlineLevel="0" collapsed="false">
      <c r="A58" s="0" t="s">
        <v>3</v>
      </c>
      <c r="B58" s="72" t="n">
        <v>221970.075585256</v>
      </c>
      <c r="C58" s="72" t="n">
        <v>465166.931147845</v>
      </c>
      <c r="D58" s="72" t="n">
        <v>467606.287726987</v>
      </c>
      <c r="E58" s="72" t="n">
        <v>743776.558391771</v>
      </c>
      <c r="F58" s="72" t="n">
        <v>649113.00460776</v>
      </c>
      <c r="G58" s="72" t="n">
        <v>493252.437508087</v>
      </c>
      <c r="H58" s="72" t="n">
        <v>498626.992539263</v>
      </c>
      <c r="I58" s="72" t="n">
        <v>64392.0786363368</v>
      </c>
      <c r="J58" s="72" t="n">
        <v>396895.069930605</v>
      </c>
      <c r="K58" s="72" t="n">
        <v>372776.791443121</v>
      </c>
      <c r="L58" s="72" t="n">
        <v>27500.6217843127</v>
      </c>
      <c r="M58" s="72" t="n">
        <v>55299.1111901568</v>
      </c>
      <c r="N58" s="72"/>
      <c r="O58" s="72"/>
      <c r="P58" s="72"/>
    </row>
    <row r="59" customFormat="false" ht="15" hidden="false" customHeight="false" outlineLevel="0" collapsed="false">
      <c r="A59" s="0" t="s">
        <v>4</v>
      </c>
      <c r="B59" s="72" t="n">
        <v>31194.6660608904</v>
      </c>
      <c r="C59" s="72" t="n">
        <v>65364.2937479386</v>
      </c>
      <c r="D59" s="72" t="n">
        <v>65831.2150427615</v>
      </c>
      <c r="E59" s="72" t="n">
        <v>124287.590145809</v>
      </c>
      <c r="F59" s="72" t="n">
        <v>95568.2862009607</v>
      </c>
      <c r="G59" s="72" t="n">
        <v>70611.1234266148</v>
      </c>
      <c r="H59" s="72" t="n">
        <v>71380.5131747664</v>
      </c>
      <c r="I59" s="72" t="n">
        <v>8446.41996135885</v>
      </c>
      <c r="J59" s="72" t="n">
        <v>51899.2965291733</v>
      </c>
      <c r="K59" s="72" t="n">
        <v>64843.5470844175</v>
      </c>
      <c r="L59" s="72" t="n">
        <v>4934.98059042337</v>
      </c>
      <c r="M59" s="72" t="n">
        <v>5014.26586691166</v>
      </c>
    </row>
    <row r="60" customFormat="false" ht="15" hidden="false" customHeight="false" outlineLevel="0" collapsed="false">
      <c r="A60" s="0" t="s">
        <v>5</v>
      </c>
      <c r="B60" s="72" t="n">
        <v>13414.8066399406</v>
      </c>
      <c r="C60" s="72" t="n">
        <v>29216.2646265493</v>
      </c>
      <c r="D60" s="72" t="n">
        <v>29559.5806577075</v>
      </c>
      <c r="E60" s="72" t="n">
        <v>62130.818292727</v>
      </c>
      <c r="F60" s="72" t="n">
        <v>43688.5954477846</v>
      </c>
      <c r="G60" s="72" t="n">
        <v>31868.8479821336</v>
      </c>
      <c r="H60" s="72" t="n">
        <v>32216.0958905788</v>
      </c>
      <c r="I60" s="72" t="n">
        <v>3138.47440086402</v>
      </c>
      <c r="J60" s="72" t="n">
        <v>19846.7655694962</v>
      </c>
      <c r="K60" s="72" t="n">
        <v>40556.2680616906</v>
      </c>
      <c r="L60" s="72" t="n">
        <v>3209.41647418781</v>
      </c>
      <c r="M60" s="72" t="n">
        <v>2404.07667545306</v>
      </c>
    </row>
    <row r="61" customFormat="false" ht="15" hidden="false" customHeight="false" outlineLevel="0" collapsed="false">
      <c r="A61" s="0" t="s">
        <v>446</v>
      </c>
      <c r="B61" s="72" t="n">
        <v>2027.09353704652</v>
      </c>
      <c r="C61" s="72" t="n">
        <v>4179.25925114959</v>
      </c>
      <c r="D61" s="72" t="n">
        <v>4261.7403481515</v>
      </c>
      <c r="E61" s="72" t="n">
        <v>9259.06818649132</v>
      </c>
      <c r="F61" s="72" t="n">
        <v>6959.2835177031</v>
      </c>
      <c r="G61" s="72" t="n">
        <v>4999.89154508477</v>
      </c>
      <c r="H61" s="72" t="n">
        <v>5054.37113852525</v>
      </c>
      <c r="I61" s="72" t="n">
        <v>502.637325843111</v>
      </c>
      <c r="J61" s="72" t="n">
        <v>3393.70516379369</v>
      </c>
      <c r="K61" s="72" t="n">
        <v>4473.36542110057</v>
      </c>
      <c r="L61" s="72" t="n">
        <v>368.859952009482</v>
      </c>
      <c r="M61" s="72" t="n">
        <v>322.296005394247</v>
      </c>
    </row>
    <row r="62" customFormat="false" ht="15" hidden="false" customHeight="false" outlineLevel="0" collapsed="false">
      <c r="A62" s="0" t="s">
        <v>7</v>
      </c>
      <c r="B62" s="72" t="n">
        <v>4135.29342569397</v>
      </c>
      <c r="C62" s="72" t="n">
        <v>9289.53633734965</v>
      </c>
      <c r="D62" s="72" t="n">
        <v>9518.40730576006</v>
      </c>
      <c r="E62" s="72" t="n">
        <v>21365.5969381067</v>
      </c>
      <c r="F62" s="72" t="n">
        <v>15422.4620416917</v>
      </c>
      <c r="G62" s="72" t="n">
        <v>10822.6307725286</v>
      </c>
      <c r="H62" s="72" t="n">
        <v>10940.555835328</v>
      </c>
      <c r="I62" s="72" t="n">
        <v>913.385357597912</v>
      </c>
      <c r="J62" s="72" t="n">
        <v>6369.4623652766</v>
      </c>
      <c r="K62" s="72" t="n">
        <v>13430.5602137935</v>
      </c>
      <c r="L62" s="72" t="n">
        <v>1154.36268992216</v>
      </c>
      <c r="M62" s="72" t="n">
        <v>813.65710640749</v>
      </c>
    </row>
    <row r="63" customFormat="false" ht="15" hidden="false" customHeight="false" outlineLevel="0" collapsed="false">
      <c r="A63" s="0" t="s">
        <v>447</v>
      </c>
      <c r="B63" s="72" t="n">
        <v>989.276892231828</v>
      </c>
      <c r="C63" s="72" t="n">
        <v>2216.2847406487</v>
      </c>
      <c r="D63" s="72" t="n">
        <v>2320.36937482168</v>
      </c>
      <c r="E63" s="72" t="n">
        <v>5018.27774620895</v>
      </c>
      <c r="F63" s="72" t="n">
        <v>4149.56264075241</v>
      </c>
      <c r="G63" s="72" t="n">
        <v>3094.96926518602</v>
      </c>
      <c r="H63" s="72" t="n">
        <v>3128.69253013242</v>
      </c>
      <c r="I63" s="72" t="n">
        <v>258.839537638504</v>
      </c>
      <c r="J63" s="72" t="n">
        <v>1738.77906039309</v>
      </c>
      <c r="K63" s="72" t="n">
        <v>2666.19613257924</v>
      </c>
      <c r="L63" s="72" t="n">
        <v>241.918924862208</v>
      </c>
      <c r="M63" s="72" t="n">
        <v>212.533711808829</v>
      </c>
    </row>
    <row r="64" customFormat="false" ht="15" hidden="false" customHeight="false" outlineLevel="0" collapsed="false">
      <c r="A64" s="0" t="s">
        <v>9</v>
      </c>
      <c r="B64" s="72" t="n">
        <v>990.206436482141</v>
      </c>
      <c r="C64" s="72" t="n">
        <v>2391.89306060505</v>
      </c>
      <c r="D64" s="72" t="n">
        <v>2530.39712264829</v>
      </c>
      <c r="E64" s="72" t="n">
        <v>5544.76370446737</v>
      </c>
      <c r="F64" s="72" t="n">
        <v>4707.36590948037</v>
      </c>
      <c r="G64" s="72" t="n">
        <v>2919.79517484024</v>
      </c>
      <c r="H64" s="72" t="n">
        <v>2951.60971573987</v>
      </c>
      <c r="I64" s="72" t="n">
        <v>268.925885267343</v>
      </c>
      <c r="J64" s="72" t="n">
        <v>1857.59937806237</v>
      </c>
      <c r="K64" s="72" t="n">
        <v>2996.66792049863</v>
      </c>
      <c r="L64" s="72" t="n">
        <v>286.546241585183</v>
      </c>
      <c r="M64" s="72" t="n">
        <v>253.570186824241</v>
      </c>
    </row>
    <row r="65" customFormat="false" ht="15" hidden="false" customHeight="false" outlineLevel="0" collapsed="false">
      <c r="B65" s="72" t="n">
        <v>771.18613264026</v>
      </c>
      <c r="C65" s="72" t="n">
        <v>2949.90736060002</v>
      </c>
      <c r="D65" s="72" t="n">
        <v>4315.78641448281</v>
      </c>
      <c r="E65" s="72" t="n">
        <v>5824.16720219799</v>
      </c>
      <c r="F65" s="72" t="n">
        <v>8300.08178575158</v>
      </c>
      <c r="G65" s="72" t="n">
        <v>2159.88232869368</v>
      </c>
      <c r="H65" s="72" t="n">
        <v>2183.41674140753</v>
      </c>
      <c r="I65" s="72" t="n">
        <v>387.011364376704</v>
      </c>
      <c r="J65" s="72" t="n">
        <v>3042.21651783622</v>
      </c>
      <c r="K65" s="72" t="n">
        <v>2092.89602646976</v>
      </c>
      <c r="L65" s="72" t="n">
        <v>253.645080170474</v>
      </c>
      <c r="M65" s="72" t="n">
        <v>304.079992521264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6" activeCellId="0" sqref="L2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28"/>
    <col collapsed="false" customWidth="true" hidden="false" outlineLevel="0" max="9" min="2" style="0" width="11.57"/>
    <col collapsed="false" customWidth="true" hidden="false" outlineLevel="0" max="19" min="10" style="0" width="11.71"/>
    <col collapsed="false" customWidth="true" hidden="false" outlineLevel="0" max="23" min="20" style="0" width="11.57"/>
    <col collapsed="false" customWidth="true" hidden="false" outlineLevel="0" max="27" min="24" style="0" width="10.57"/>
    <col collapsed="false" customWidth="true" hidden="false" outlineLevel="0" max="31" min="28" style="0" width="11.57"/>
    <col collapsed="false" customWidth="true" hidden="false" outlineLevel="0" max="34" min="32" style="0" width="10.57"/>
  </cols>
  <sheetData>
    <row r="1" customFormat="false" ht="15" hidden="false" customHeight="false" outlineLevel="0" collapsed="false">
      <c r="D1" s="581" t="s">
        <v>420</v>
      </c>
      <c r="E1" s="581" t="s">
        <v>448</v>
      </c>
      <c r="F1" s="581" t="s">
        <v>208</v>
      </c>
    </row>
    <row r="2" customFormat="false" ht="15" hidden="false" customHeight="false" outlineLevel="0" collapsed="false">
      <c r="C2" s="582" t="s">
        <v>449</v>
      </c>
      <c r="D2" s="18" t="n">
        <f aca="false">B6+D6+L6+F6+N6+H6+J6+B22+D22+F22</f>
        <v>5733765.58554681</v>
      </c>
      <c r="E2" s="18" t="e">
        <f aca="false">C6+E6+M6+G6+O6+I6+K6+C22+E22+G22</f>
        <v>#REF!</v>
      </c>
      <c r="F2" s="41" t="e">
        <f aca="false">(D2-E2)/E2</f>
        <v>#REF!</v>
      </c>
    </row>
    <row r="4" customFormat="false" ht="15.75" hidden="false" customHeight="false" outlineLevel="0" collapsed="false">
      <c r="B4" s="304" t="s">
        <v>441</v>
      </c>
      <c r="C4" s="304"/>
      <c r="D4" s="583" t="s">
        <v>199</v>
      </c>
      <c r="E4" s="583"/>
      <c r="F4" s="583" t="s">
        <v>443</v>
      </c>
      <c r="G4" s="583"/>
      <c r="H4" s="583" t="s">
        <v>194</v>
      </c>
      <c r="I4" s="583"/>
      <c r="J4" s="583" t="s">
        <v>444</v>
      </c>
      <c r="K4" s="583"/>
      <c r="L4" s="583" t="s">
        <v>442</v>
      </c>
      <c r="M4" s="583"/>
      <c r="N4" s="583" t="s">
        <v>380</v>
      </c>
      <c r="O4" s="583"/>
    </row>
    <row r="5" customFormat="false" ht="16.5" hidden="false" customHeight="false" outlineLevel="0" collapsed="false">
      <c r="B5" s="584" t="s">
        <v>420</v>
      </c>
      <c r="C5" s="585" t="s">
        <v>450</v>
      </c>
      <c r="D5" s="584" t="s">
        <v>420</v>
      </c>
      <c r="E5" s="586" t="s">
        <v>450</v>
      </c>
      <c r="F5" s="584" t="s">
        <v>420</v>
      </c>
      <c r="G5" s="586" t="s">
        <v>450</v>
      </c>
      <c r="H5" s="584" t="s">
        <v>420</v>
      </c>
      <c r="I5" s="586" t="s">
        <v>450</v>
      </c>
      <c r="J5" s="584" t="s">
        <v>420</v>
      </c>
      <c r="K5" s="586" t="s">
        <v>450</v>
      </c>
      <c r="L5" s="584" t="s">
        <v>420</v>
      </c>
      <c r="M5" s="586" t="s">
        <v>450</v>
      </c>
      <c r="N5" s="584" t="s">
        <v>420</v>
      </c>
      <c r="O5" s="586" t="s">
        <v>450</v>
      </c>
    </row>
    <row r="6" customFormat="false" ht="15" hidden="false" customHeight="false" outlineLevel="0" collapsed="false">
      <c r="A6" s="0" t="s">
        <v>412</v>
      </c>
      <c r="B6" s="587" t="n">
        <f aca="false">SUM(B8:B17)</f>
        <v>278486.389598141</v>
      </c>
      <c r="C6" s="588" t="e">
        <f aca="false">#REF!</f>
        <v>#REF!</v>
      </c>
      <c r="D6" s="589" t="n">
        <f aca="false">+O39+P39</f>
        <v>1188385.63459847</v>
      </c>
      <c r="E6" s="590" t="e">
        <f aca="false">Q39+R39</f>
        <v>#REF!</v>
      </c>
      <c r="F6" s="589" t="n">
        <f aca="false">SUM(F8:F17)</f>
        <v>836580.616651487</v>
      </c>
      <c r="G6" s="590" t="e">
        <f aca="false">#REF!</f>
        <v>#REF!</v>
      </c>
      <c r="H6" s="589" t="n">
        <f aca="false">SUM(H8:H17)</f>
        <v>78967.3947215575</v>
      </c>
      <c r="I6" s="590" t="e">
        <f aca="false">#REF!</f>
        <v>#REF!</v>
      </c>
      <c r="J6" s="589" t="n">
        <f aca="false">SUM(J8:J17)</f>
        <v>488609.197215699</v>
      </c>
      <c r="K6" s="590" t="e">
        <f aca="false">#REF!</f>
        <v>#REF!</v>
      </c>
      <c r="L6" s="589" t="n">
        <f aca="false">SUM(L8:L17)</f>
        <v>986903.397331943</v>
      </c>
      <c r="M6" s="590" t="e">
        <f aca="false">#REF!</f>
        <v>#REF!</v>
      </c>
      <c r="N6" s="589" t="n">
        <f aca="false">+O54+P54</f>
        <v>1259560.47911035</v>
      </c>
      <c r="O6" s="590" t="e">
        <f aca="false">+Q54+R54</f>
        <v>#REF!</v>
      </c>
      <c r="P6" s="0" t="s">
        <v>412</v>
      </c>
    </row>
    <row r="7" customFormat="false" ht="15.75" hidden="false" customHeight="false" outlineLevel="0" collapsed="false">
      <c r="A7" s="0" t="s">
        <v>451</v>
      </c>
      <c r="B7" s="591"/>
      <c r="C7" s="592" t="e">
        <f aca="false">(B6-C6)/C6</f>
        <v>#REF!</v>
      </c>
      <c r="D7" s="593"/>
      <c r="E7" s="594" t="e">
        <f aca="false">(D6-E6)/E6</f>
        <v>#REF!</v>
      </c>
      <c r="F7" s="593"/>
      <c r="G7" s="594" t="e">
        <f aca="false">(F6-G6)/G6</f>
        <v>#REF!</v>
      </c>
      <c r="H7" s="593"/>
      <c r="I7" s="594" t="e">
        <f aca="false">(H6-I6)/I6</f>
        <v>#REF!</v>
      </c>
      <c r="J7" s="593"/>
      <c r="K7" s="594" t="e">
        <f aca="false">(J6-K6)/K6</f>
        <v>#REF!</v>
      </c>
      <c r="L7" s="593"/>
      <c r="M7" s="594" t="e">
        <f aca="false">(L6-M6)/M6</f>
        <v>#REF!</v>
      </c>
      <c r="N7" s="593"/>
      <c r="O7" s="594" t="e">
        <f aca="false">(N6-O6)/O6</f>
        <v>#REF!</v>
      </c>
      <c r="P7" s="0" t="s">
        <v>451</v>
      </c>
    </row>
    <row r="8" customFormat="false" ht="15" hidden="false" customHeight="false" outlineLevel="0" collapsed="false">
      <c r="A8" s="0" t="s">
        <v>1</v>
      </c>
      <c r="B8" s="595" t="n">
        <f aca="false">'Model Output'!B56</f>
        <v>242.604157189444</v>
      </c>
      <c r="C8" s="596" t="e">
        <f aca="false">#REF!</f>
        <v>#REF!</v>
      </c>
      <c r="D8" s="595" t="n">
        <f aca="false">O41+P41</f>
        <v>9080.25599613438</v>
      </c>
      <c r="E8" s="596" t="e">
        <f aca="false">Q41+R41</f>
        <v>#REF!</v>
      </c>
      <c r="F8" s="595" t="n">
        <f aca="false">'Model Output'!F56</f>
        <v>1386.1729844616</v>
      </c>
      <c r="G8" s="596" t="e">
        <f aca="false">#REF!</f>
        <v>#REF!</v>
      </c>
      <c r="H8" s="595" t="n">
        <f aca="false">'Model Output'!I56</f>
        <v>76.03988446416</v>
      </c>
      <c r="I8" s="596" t="e">
        <f aca="false">#REF!</f>
        <v>#REF!</v>
      </c>
      <c r="J8" s="595" t="n">
        <f aca="false">'Model Output'!J56</f>
        <v>584.836753014972</v>
      </c>
      <c r="K8" s="596" t="e">
        <f aca="false">#REF!</f>
        <v>#REF!</v>
      </c>
      <c r="L8" s="595" t="n">
        <f aca="false">'Model Output'!E56</f>
        <v>1631.64924277632</v>
      </c>
      <c r="M8" s="596" t="e">
        <f aca="false">#REF!</f>
        <v>#REF!</v>
      </c>
      <c r="N8" s="595" t="n">
        <f aca="false">+O56+P56</f>
        <v>2001.98879624592</v>
      </c>
      <c r="O8" s="596" t="e">
        <f aca="false">+Q56+R56</f>
        <v>#REF!</v>
      </c>
      <c r="P8" s="0" t="s">
        <v>1</v>
      </c>
      <c r="AD8" s="72"/>
      <c r="AE8" s="72"/>
      <c r="AF8" s="72"/>
      <c r="AG8" s="72"/>
      <c r="AH8" s="72"/>
    </row>
    <row r="9" customFormat="false" ht="15" hidden="false" customHeight="false" outlineLevel="0" collapsed="false">
      <c r="A9" s="0" t="s">
        <v>428</v>
      </c>
      <c r="B9" s="597" t="n">
        <f aca="false">'Model Output'!B57</f>
        <v>2751.18073076986</v>
      </c>
      <c r="C9" s="598" t="e">
        <f aca="false">#REF!</f>
        <v>#REF!</v>
      </c>
      <c r="D9" s="597" t="n">
        <f aca="false">O42+P42</f>
        <v>12587.2243363297</v>
      </c>
      <c r="E9" s="598" t="e">
        <f aca="false">Q42+R42</f>
        <v>#REF!</v>
      </c>
      <c r="F9" s="597" t="n">
        <f aca="false">'Model Output'!F57</f>
        <v>7285.80151514093</v>
      </c>
      <c r="G9" s="598" t="e">
        <f aca="false">#REF!</f>
        <v>#REF!</v>
      </c>
      <c r="H9" s="597" t="n">
        <f aca="false">'Model Output'!I57</f>
        <v>583.582367810099</v>
      </c>
      <c r="I9" s="598" t="e">
        <f aca="false">#REF!</f>
        <v>#REF!</v>
      </c>
      <c r="J9" s="597" t="n">
        <f aca="false">'Model Output'!J57</f>
        <v>2981.46594804728</v>
      </c>
      <c r="K9" s="598" t="e">
        <f aca="false">#REF!</f>
        <v>#REF!</v>
      </c>
      <c r="L9" s="597" t="n">
        <f aca="false">'Model Output'!E57</f>
        <v>8064.90748138705</v>
      </c>
      <c r="M9" s="598" t="e">
        <f aca="false">#REF!</f>
        <v>#REF!</v>
      </c>
      <c r="N9" s="597" t="n">
        <f aca="false">+O57+P57</f>
        <v>11346.6647451955</v>
      </c>
      <c r="O9" s="598" t="e">
        <f aca="false">+Q57+R57</f>
        <v>#REF!</v>
      </c>
      <c r="P9" s="0" t="s">
        <v>428</v>
      </c>
      <c r="AD9" s="72"/>
      <c r="AE9" s="72"/>
      <c r="AF9" s="72"/>
      <c r="AG9" s="72"/>
      <c r="AH9" s="72"/>
    </row>
    <row r="10" customFormat="false" ht="15" hidden="false" customHeight="false" outlineLevel="0" collapsed="false">
      <c r="A10" s="0" t="s">
        <v>429</v>
      </c>
      <c r="B10" s="597" t="n">
        <f aca="false">'Model Output'!B58</f>
        <v>221970.075585256</v>
      </c>
      <c r="C10" s="598" t="e">
        <f aca="false">#REF!</f>
        <v>#REF!</v>
      </c>
      <c r="D10" s="597" t="n">
        <f aca="false">O43+P43</f>
        <v>932773.218874832</v>
      </c>
      <c r="E10" s="598" t="e">
        <f aca="false">Q43+R43</f>
        <v>#REF!</v>
      </c>
      <c r="F10" s="597" t="n">
        <f aca="false">'Model Output'!F58</f>
        <v>649113.00460776</v>
      </c>
      <c r="G10" s="598" t="e">
        <f aca="false">#REF!</f>
        <v>#REF!</v>
      </c>
      <c r="H10" s="597" t="n">
        <f aca="false">'Model Output'!I58</f>
        <v>64392.0786363368</v>
      </c>
      <c r="I10" s="598" t="e">
        <f aca="false">#REF!</f>
        <v>#REF!</v>
      </c>
      <c r="J10" s="597" t="n">
        <f aca="false">'Model Output'!J58</f>
        <v>396895.069930605</v>
      </c>
      <c r="K10" s="598" t="e">
        <f aca="false">#REF!</f>
        <v>#REF!</v>
      </c>
      <c r="L10" s="597" t="n">
        <f aca="false">'Model Output'!E58</f>
        <v>743776.558391771</v>
      </c>
      <c r="M10" s="598" t="e">
        <f aca="false">#REF!</f>
        <v>#REF!</v>
      </c>
      <c r="N10" s="597" t="n">
        <f aca="false">+O58+P58</f>
        <v>991879.43004735</v>
      </c>
      <c r="O10" s="598" t="e">
        <f aca="false">+Q58+R58</f>
        <v>#REF!</v>
      </c>
      <c r="P10" s="0" t="s">
        <v>429</v>
      </c>
      <c r="AD10" s="72"/>
      <c r="AE10" s="72"/>
      <c r="AF10" s="72"/>
      <c r="AG10" s="72"/>
      <c r="AH10" s="72"/>
    </row>
    <row r="11" customFormat="false" ht="15" hidden="false" customHeight="false" outlineLevel="0" collapsed="false">
      <c r="A11" s="0" t="s">
        <v>430</v>
      </c>
      <c r="B11" s="597" t="n">
        <f aca="false">'Model Output'!B59</f>
        <v>31194.6660608904</v>
      </c>
      <c r="C11" s="598" t="e">
        <f aca="false">#REF!</f>
        <v>#REF!</v>
      </c>
      <c r="D11" s="597" t="n">
        <f aca="false">O44+P44</f>
        <v>131195.5087907</v>
      </c>
      <c r="E11" s="598" t="e">
        <f aca="false">Q44+R44</f>
        <v>#REF!</v>
      </c>
      <c r="F11" s="597" t="n">
        <f aca="false">'Model Output'!F59</f>
        <v>95568.2862009607</v>
      </c>
      <c r="G11" s="598" t="e">
        <f aca="false">#REF!</f>
        <v>#REF!</v>
      </c>
      <c r="H11" s="597" t="n">
        <f aca="false">'Model Output'!I59</f>
        <v>8446.41996135885</v>
      </c>
      <c r="I11" s="598" t="e">
        <f aca="false">#REF!</f>
        <v>#REF!</v>
      </c>
      <c r="J11" s="597" t="n">
        <f aca="false">'Model Output'!J59</f>
        <v>51899.2965291733</v>
      </c>
      <c r="K11" s="598" t="e">
        <f aca="false">#REF!</f>
        <v>#REF!</v>
      </c>
      <c r="L11" s="597" t="n">
        <f aca="false">'Model Output'!E59</f>
        <v>124287.590145809</v>
      </c>
      <c r="M11" s="598" t="e">
        <f aca="false">#REF!</f>
        <v>#REF!</v>
      </c>
      <c r="N11" s="597" t="n">
        <f aca="false">+O59+P59</f>
        <v>141991.636601381</v>
      </c>
      <c r="O11" s="598" t="e">
        <f aca="false">+Q59+R59</f>
        <v>#REF!</v>
      </c>
      <c r="P11" s="0" t="s">
        <v>430</v>
      </c>
      <c r="AD11" s="72"/>
      <c r="AE11" s="72"/>
      <c r="AF11" s="72"/>
      <c r="AG11" s="72"/>
      <c r="AH11" s="72"/>
    </row>
    <row r="12" customFormat="false" ht="15" hidden="false" customHeight="false" outlineLevel="0" collapsed="false">
      <c r="A12" s="0" t="s">
        <v>431</v>
      </c>
      <c r="B12" s="597" t="n">
        <f aca="false">'Model Output'!B60</f>
        <v>13414.8066399406</v>
      </c>
      <c r="C12" s="598" t="e">
        <f aca="false">#REF!</f>
        <v>#REF!</v>
      </c>
      <c r="D12" s="597" t="n">
        <f aca="false">O45+P45</f>
        <v>58775.8452842568</v>
      </c>
      <c r="E12" s="598" t="e">
        <f aca="false">Q45+R45</f>
        <v>#REF!</v>
      </c>
      <c r="F12" s="597" t="n">
        <f aca="false">'Model Output'!F60</f>
        <v>43688.5954477846</v>
      </c>
      <c r="G12" s="598" t="e">
        <f aca="false">#REF!</f>
        <v>#REF!</v>
      </c>
      <c r="H12" s="597" t="n">
        <f aca="false">'Model Output'!I60</f>
        <v>3138.47440086402</v>
      </c>
      <c r="I12" s="598" t="e">
        <f aca="false">#REF!</f>
        <v>#REF!</v>
      </c>
      <c r="J12" s="597" t="n">
        <f aca="false">'Model Output'!J60</f>
        <v>19846.7655694962</v>
      </c>
      <c r="K12" s="598" t="e">
        <f aca="false">#REF!</f>
        <v>#REF!</v>
      </c>
      <c r="L12" s="597" t="n">
        <f aca="false">'Model Output'!E60</f>
        <v>62130.818292727</v>
      </c>
      <c r="M12" s="598" t="e">
        <f aca="false">#REF!</f>
        <v>#REF!</v>
      </c>
      <c r="N12" s="597" t="n">
        <f aca="false">+O60+P60</f>
        <v>64084.9438727124</v>
      </c>
      <c r="O12" s="598" t="e">
        <f aca="false">+Q60+R60</f>
        <v>#REF!</v>
      </c>
      <c r="P12" s="0" t="s">
        <v>431</v>
      </c>
      <c r="AD12" s="72"/>
      <c r="AE12" s="72"/>
      <c r="AF12" s="72"/>
      <c r="AG12" s="72"/>
      <c r="AH12" s="72"/>
    </row>
    <row r="13" customFormat="false" ht="15" hidden="false" customHeight="false" outlineLevel="0" collapsed="false">
      <c r="A13" s="0" t="s">
        <v>432</v>
      </c>
      <c r="B13" s="597" t="n">
        <f aca="false">'Model Output'!B61</f>
        <v>2027.09353704652</v>
      </c>
      <c r="C13" s="598" t="e">
        <f aca="false">#REF!</f>
        <v>#REF!</v>
      </c>
      <c r="D13" s="597" t="n">
        <f aca="false">O46+P46</f>
        <v>8440.99959930109</v>
      </c>
      <c r="E13" s="598" t="e">
        <f aca="false">Q46+R46</f>
        <v>#REF!</v>
      </c>
      <c r="F13" s="597" t="n">
        <f aca="false">'Model Output'!F61</f>
        <v>6959.2835177031</v>
      </c>
      <c r="G13" s="598" t="e">
        <f aca="false">#REF!</f>
        <v>#REF!</v>
      </c>
      <c r="H13" s="597" t="n">
        <f aca="false">'Model Output'!I61</f>
        <v>502.637325843111</v>
      </c>
      <c r="I13" s="598" t="e">
        <f aca="false">#REF!</f>
        <v>#REF!</v>
      </c>
      <c r="J13" s="597" t="n">
        <f aca="false">'Model Output'!J61</f>
        <v>3393.70516379369</v>
      </c>
      <c r="K13" s="598" t="e">
        <f aca="false">#REF!</f>
        <v>#REF!</v>
      </c>
      <c r="L13" s="597" t="n">
        <f aca="false">'Model Output'!E61</f>
        <v>9259.06818649132</v>
      </c>
      <c r="M13" s="598" t="e">
        <f aca="false">#REF!</f>
        <v>#REF!</v>
      </c>
      <c r="N13" s="597" t="n">
        <f aca="false">+O61+P61</f>
        <v>10054.26268361</v>
      </c>
      <c r="O13" s="598" t="e">
        <f aca="false">+Q61+R61</f>
        <v>#REF!</v>
      </c>
      <c r="P13" s="0" t="s">
        <v>432</v>
      </c>
      <c r="AD13" s="72"/>
      <c r="AE13" s="72"/>
      <c r="AF13" s="72"/>
      <c r="AG13" s="72"/>
      <c r="AH13" s="72"/>
    </row>
    <row r="14" customFormat="false" ht="15" hidden="false" customHeight="false" outlineLevel="0" collapsed="false">
      <c r="A14" s="0" t="s">
        <v>433</v>
      </c>
      <c r="B14" s="597" t="n">
        <f aca="false">'Model Output'!B62</f>
        <v>4135.29342569397</v>
      </c>
      <c r="C14" s="598" t="e">
        <f aca="false">#REF!</f>
        <v>#REF!</v>
      </c>
      <c r="D14" s="597" t="n">
        <f aca="false">O47+P47</f>
        <v>18807.9436431097</v>
      </c>
      <c r="E14" s="598" t="e">
        <f aca="false">Q47+R47</f>
        <v>#REF!</v>
      </c>
      <c r="F14" s="597" t="n">
        <f aca="false">'Model Output'!F62</f>
        <v>15422.4620416917</v>
      </c>
      <c r="G14" s="598" t="e">
        <f aca="false">#REF!</f>
        <v>#REF!</v>
      </c>
      <c r="H14" s="597" t="n">
        <f aca="false">'Model Output'!I62</f>
        <v>913.385357597912</v>
      </c>
      <c r="I14" s="598" t="e">
        <f aca="false">#REF!</f>
        <v>#REF!</v>
      </c>
      <c r="J14" s="597" t="n">
        <f aca="false">'Model Output'!J62</f>
        <v>6369.4623652766</v>
      </c>
      <c r="K14" s="598" t="e">
        <f aca="false">#REF!</f>
        <v>#REF!</v>
      </c>
      <c r="L14" s="597" t="n">
        <f aca="false">'Model Output'!E62</f>
        <v>21365.5969381067</v>
      </c>
      <c r="M14" s="598" t="e">
        <f aca="false">#REF!</f>
        <v>#REF!</v>
      </c>
      <c r="N14" s="597" t="n">
        <f aca="false">+O62+P62</f>
        <v>21763.1866078566</v>
      </c>
      <c r="O14" s="598" t="e">
        <f aca="false">+Q62+R62</f>
        <v>#REF!</v>
      </c>
      <c r="P14" s="0" t="s">
        <v>433</v>
      </c>
      <c r="AD14" s="72"/>
      <c r="AE14" s="72"/>
      <c r="AF14" s="72"/>
      <c r="AG14" s="72"/>
      <c r="AH14" s="72"/>
    </row>
    <row r="15" customFormat="false" ht="15" hidden="false" customHeight="false" outlineLevel="0" collapsed="false">
      <c r="A15" s="0" t="s">
        <v>434</v>
      </c>
      <c r="B15" s="597" t="n">
        <f aca="false">'Model Output'!B63</f>
        <v>989.276892231828</v>
      </c>
      <c r="C15" s="598" t="e">
        <f aca="false">#REF!</f>
        <v>#REF!</v>
      </c>
      <c r="D15" s="597" t="n">
        <f aca="false">O48+P48</f>
        <v>4536.65411547038</v>
      </c>
      <c r="E15" s="598" t="e">
        <f aca="false">Q48+R48</f>
        <v>#REF!</v>
      </c>
      <c r="F15" s="597" t="n">
        <f aca="false">'Model Output'!F63</f>
        <v>4149.56264075241</v>
      </c>
      <c r="G15" s="598" t="e">
        <f aca="false">#REF!</f>
        <v>#REF!</v>
      </c>
      <c r="H15" s="597" t="n">
        <f aca="false">'Model Output'!I63</f>
        <v>258.839537638504</v>
      </c>
      <c r="I15" s="598" t="e">
        <f aca="false">#REF!</f>
        <v>#REF!</v>
      </c>
      <c r="J15" s="597" t="n">
        <f aca="false">'Model Output'!J63</f>
        <v>1738.77906039309</v>
      </c>
      <c r="K15" s="598" t="e">
        <f aca="false">#REF!</f>
        <v>#REF!</v>
      </c>
      <c r="L15" s="597" t="n">
        <f aca="false">'Model Output'!E63</f>
        <v>5018.27774620895</v>
      </c>
      <c r="M15" s="598" t="e">
        <f aca="false">#REF!</f>
        <v>#REF!</v>
      </c>
      <c r="N15" s="597" t="n">
        <f aca="false">+O63+P63</f>
        <v>6223.66179531844</v>
      </c>
      <c r="O15" s="598" t="e">
        <f aca="false">+Q63+R63</f>
        <v>#REF!</v>
      </c>
      <c r="P15" s="0" t="s">
        <v>434</v>
      </c>
      <c r="AD15" s="72"/>
      <c r="AE15" s="72"/>
      <c r="AF15" s="72"/>
      <c r="AG15" s="72"/>
      <c r="AH15" s="72"/>
    </row>
    <row r="16" customFormat="false" ht="15" hidden="false" customHeight="false" outlineLevel="0" collapsed="false">
      <c r="A16" s="0" t="s">
        <v>435</v>
      </c>
      <c r="B16" s="597" t="n">
        <f aca="false">'Model Output'!B64</f>
        <v>990.206436482141</v>
      </c>
      <c r="C16" s="598" t="e">
        <f aca="false">#REF!</f>
        <v>#REF!</v>
      </c>
      <c r="D16" s="597" t="n">
        <f aca="false">O49+P49</f>
        <v>4922.29018325334</v>
      </c>
      <c r="E16" s="598" t="e">
        <f aca="false">Q49+R49</f>
        <v>#REF!</v>
      </c>
      <c r="F16" s="597" t="n">
        <f aca="false">'Model Output'!F64</f>
        <v>4707.36590948037</v>
      </c>
      <c r="G16" s="598" t="e">
        <f aca="false">#REF!</f>
        <v>#REF!</v>
      </c>
      <c r="H16" s="597" t="n">
        <f aca="false">'Model Output'!I64</f>
        <v>268.925885267343</v>
      </c>
      <c r="I16" s="598" t="e">
        <f aca="false">#REF!</f>
        <v>#REF!</v>
      </c>
      <c r="J16" s="597" t="n">
        <f aca="false">'Model Output'!J64</f>
        <v>1857.59937806237</v>
      </c>
      <c r="K16" s="598" t="e">
        <f aca="false">#REF!</f>
        <v>#REF!</v>
      </c>
      <c r="L16" s="597" t="n">
        <f aca="false">'Model Output'!E64</f>
        <v>5544.76370446737</v>
      </c>
      <c r="M16" s="598" t="e">
        <f aca="false">#REF!</f>
        <v>#REF!</v>
      </c>
      <c r="N16" s="597" t="n">
        <f aca="false">+O64+P64</f>
        <v>5871.40489058011</v>
      </c>
      <c r="O16" s="598" t="e">
        <f aca="false">+Q64+R64</f>
        <v>#REF!</v>
      </c>
      <c r="P16" s="0" t="s">
        <v>435</v>
      </c>
      <c r="AD16" s="72"/>
      <c r="AE16" s="72"/>
      <c r="AF16" s="72"/>
      <c r="AG16" s="72"/>
      <c r="AH16" s="72"/>
    </row>
    <row r="17" customFormat="false" ht="15.75" hidden="false" customHeight="false" outlineLevel="0" collapsed="false">
      <c r="A17" s="0" t="s">
        <v>10</v>
      </c>
      <c r="B17" s="599" t="n">
        <f aca="false">'Model Output'!B65</f>
        <v>771.18613264026</v>
      </c>
      <c r="C17" s="600" t="e">
        <f aca="false">#REF!</f>
        <v>#REF!</v>
      </c>
      <c r="D17" s="599" t="n">
        <f aca="false">O50+P50</f>
        <v>7265.69377508283</v>
      </c>
      <c r="E17" s="600" t="e">
        <f aca="false">Q50+R50</f>
        <v>#REF!</v>
      </c>
      <c r="F17" s="599" t="n">
        <f aca="false">'Model Output'!F65</f>
        <v>8300.08178575158</v>
      </c>
      <c r="G17" s="600" t="e">
        <f aca="false">#REF!</f>
        <v>#REF!</v>
      </c>
      <c r="H17" s="599" t="n">
        <f aca="false">'Model Output'!I65</f>
        <v>387.011364376704</v>
      </c>
      <c r="I17" s="600" t="e">
        <f aca="false">#REF!</f>
        <v>#REF!</v>
      </c>
      <c r="J17" s="599" t="n">
        <f aca="false">'Model Output'!J65</f>
        <v>3042.21651783622</v>
      </c>
      <c r="K17" s="600" t="e">
        <f aca="false">#REF!</f>
        <v>#REF!</v>
      </c>
      <c r="L17" s="599" t="n">
        <f aca="false">'Model Output'!E65</f>
        <v>5824.16720219799</v>
      </c>
      <c r="M17" s="600" t="e">
        <f aca="false">#REF!</f>
        <v>#REF!</v>
      </c>
      <c r="N17" s="599" t="n">
        <f aca="false">+O65+P65</f>
        <v>4343.29907010121</v>
      </c>
      <c r="O17" s="600" t="e">
        <f aca="false">+Q65+R65</f>
        <v>#REF!</v>
      </c>
      <c r="P17" s="0" t="s">
        <v>10</v>
      </c>
      <c r="AD17" s="72"/>
      <c r="AE17" s="72"/>
      <c r="AF17" s="72"/>
      <c r="AG17" s="72"/>
      <c r="AH17" s="72"/>
    </row>
    <row r="18" customFormat="false" ht="15.75" hidden="false" customHeight="false" outlineLevel="0" collapsed="false">
      <c r="C18" s="18"/>
      <c r="I18" s="18"/>
      <c r="K18" s="18"/>
      <c r="M18" s="18"/>
      <c r="S18" s="18"/>
      <c r="U18" s="18"/>
      <c r="W18" s="18"/>
      <c r="Y18" s="18"/>
      <c r="AA18" s="18"/>
      <c r="AC18" s="18"/>
      <c r="AD18" s="18"/>
    </row>
    <row r="19" customFormat="false" ht="15" hidden="false" customHeight="false" outlineLevel="0" collapsed="false">
      <c r="C19" s="18"/>
      <c r="I19" s="18"/>
      <c r="K19" s="18"/>
      <c r="M19" s="18"/>
      <c r="S19" s="18"/>
      <c r="U19" s="18"/>
      <c r="W19" s="18"/>
      <c r="Y19" s="18"/>
      <c r="AA19" s="18"/>
      <c r="AC19" s="18"/>
      <c r="AD19" s="18"/>
    </row>
    <row r="20" customFormat="false" ht="15.75" hidden="false" customHeight="false" outlineLevel="0" collapsed="false">
      <c r="B20" s="583" t="s">
        <v>196</v>
      </c>
      <c r="C20" s="583"/>
      <c r="D20" s="583" t="s">
        <v>445</v>
      </c>
      <c r="E20" s="583"/>
      <c r="F20" s="583" t="s">
        <v>195</v>
      </c>
      <c r="G20" s="583"/>
      <c r="U20" s="18"/>
      <c r="W20" s="18"/>
      <c r="Y20" s="18"/>
      <c r="AA20" s="18"/>
      <c r="AC20" s="18"/>
      <c r="AD20" s="18"/>
    </row>
    <row r="21" customFormat="false" ht="16.5" hidden="false" customHeight="false" outlineLevel="0" collapsed="false">
      <c r="B21" s="584" t="s">
        <v>420</v>
      </c>
      <c r="C21" s="586" t="s">
        <v>450</v>
      </c>
      <c r="D21" s="584" t="s">
        <v>420</v>
      </c>
      <c r="E21" s="586" t="s">
        <v>450</v>
      </c>
      <c r="F21" s="584" t="s">
        <v>420</v>
      </c>
      <c r="G21" s="586" t="s">
        <v>450</v>
      </c>
      <c r="N21" s="18"/>
      <c r="O21" s="18"/>
      <c r="U21" s="18"/>
      <c r="W21" s="18"/>
      <c r="Y21" s="18"/>
      <c r="AA21" s="18"/>
      <c r="AC21" s="18"/>
      <c r="AD21" s="18"/>
    </row>
    <row r="22" customFormat="false" ht="15" hidden="false" customHeight="false" outlineLevel="0" collapsed="false">
      <c r="A22" s="0" t="s">
        <v>412</v>
      </c>
      <c r="B22" s="589" t="n">
        <f aca="false">SUM(B24:B33)</f>
        <v>512532.610775865</v>
      </c>
      <c r="C22" s="590" t="e">
        <f aca="false">#REF!</f>
        <v>#REF!</v>
      </c>
      <c r="D22" s="589" t="n">
        <f aca="false">SUM(D24:D33)</f>
        <v>38588.1783215113</v>
      </c>
      <c r="E22" s="590" t="e">
        <f aca="false">#REF!</f>
        <v>#REF!</v>
      </c>
      <c r="F22" s="589" t="n">
        <f aca="false">SUM(F24:F33)</f>
        <v>65151.6872217863</v>
      </c>
      <c r="G22" s="590" t="e">
        <f aca="false">#REF!</f>
        <v>#REF!</v>
      </c>
      <c r="H22" s="0" t="s">
        <v>412</v>
      </c>
      <c r="U22" s="18"/>
      <c r="W22" s="18"/>
      <c r="Y22" s="18"/>
      <c r="AA22" s="18"/>
      <c r="AC22" s="18"/>
      <c r="AD22" s="18"/>
    </row>
    <row r="23" customFormat="false" ht="15.75" hidden="false" customHeight="false" outlineLevel="0" collapsed="false">
      <c r="A23" s="0" t="s">
        <v>451</v>
      </c>
      <c r="B23" s="593"/>
      <c r="C23" s="594" t="e">
        <f aca="false">(B22-C22)/C22</f>
        <v>#REF!</v>
      </c>
      <c r="D23" s="593"/>
      <c r="E23" s="594" t="e">
        <f aca="false">(D22-E22)/E22</f>
        <v>#REF!</v>
      </c>
      <c r="F23" s="593"/>
      <c r="G23" s="594" t="e">
        <f aca="false">(F22-G22)/G22</f>
        <v>#REF!</v>
      </c>
      <c r="H23" s="0" t="s">
        <v>451</v>
      </c>
      <c r="U23" s="18"/>
      <c r="W23" s="18"/>
      <c r="Y23" s="18"/>
      <c r="AA23" s="18"/>
      <c r="AC23" s="18"/>
      <c r="AD23" s="18"/>
    </row>
    <row r="24" customFormat="false" ht="15" hidden="false" customHeight="false" outlineLevel="0" collapsed="false">
      <c r="A24" s="0" t="s">
        <v>1</v>
      </c>
      <c r="B24" s="595" t="n">
        <f aca="false">'Model Output'!K56</f>
        <v>2298.90586019192</v>
      </c>
      <c r="C24" s="596" t="e">
        <f aca="false">#REF!</f>
        <v>#REF!</v>
      </c>
      <c r="D24" s="595" t="n">
        <f aca="false">'Model Output'!L56</f>
        <v>117.378829099258</v>
      </c>
      <c r="E24" s="596" t="e">
        <f aca="false">#REF!</f>
        <v>#REF!</v>
      </c>
      <c r="F24" s="595" t="n">
        <f aca="false">'Model Output'!M56</f>
        <v>103.576178773007</v>
      </c>
      <c r="G24" s="596" t="e">
        <f aca="false">#REF!</f>
        <v>#REF!</v>
      </c>
      <c r="H24" s="0" t="s">
        <v>1</v>
      </c>
      <c r="U24" s="18"/>
      <c r="W24" s="18"/>
      <c r="Y24" s="18"/>
      <c r="AA24" s="18"/>
      <c r="AC24" s="18"/>
      <c r="AD24" s="18"/>
    </row>
    <row r="25" customFormat="false" ht="15" hidden="false" customHeight="false" outlineLevel="0" collapsed="false">
      <c r="A25" s="0" t="s">
        <v>428</v>
      </c>
      <c r="B25" s="597" t="n">
        <f aca="false">'Model Output'!K57</f>
        <v>6397.41261200242</v>
      </c>
      <c r="C25" s="598" t="e">
        <f aca="false">#REF!</f>
        <v>#REF!</v>
      </c>
      <c r="D25" s="597" t="n">
        <f aca="false">'Model Output'!L57</f>
        <v>520.447754938619</v>
      </c>
      <c r="E25" s="598" t="e">
        <f aca="false">#REF!</f>
        <v>#REF!</v>
      </c>
      <c r="F25" s="597" t="n">
        <f aca="false">'Model Output'!M57</f>
        <v>424.520307535716</v>
      </c>
      <c r="G25" s="598" t="e">
        <f aca="false">#REF!</f>
        <v>#REF!</v>
      </c>
      <c r="H25" s="0" t="s">
        <v>428</v>
      </c>
      <c r="U25" s="18"/>
      <c r="W25" s="18"/>
      <c r="Y25" s="18"/>
      <c r="AA25" s="18"/>
      <c r="AC25" s="18"/>
      <c r="AD25" s="18"/>
    </row>
    <row r="26" customFormat="false" ht="15" hidden="false" customHeight="false" outlineLevel="0" collapsed="false">
      <c r="A26" s="0" t="s">
        <v>429</v>
      </c>
      <c r="B26" s="597" t="n">
        <f aca="false">'Model Output'!K58</f>
        <v>372776.791443121</v>
      </c>
      <c r="C26" s="598" t="e">
        <f aca="false">#REF!</f>
        <v>#REF!</v>
      </c>
      <c r="D26" s="597" t="n">
        <f aca="false">'Model Output'!L58</f>
        <v>27500.6217843127</v>
      </c>
      <c r="E26" s="598" t="e">
        <f aca="false">#REF!</f>
        <v>#REF!</v>
      </c>
      <c r="F26" s="597" t="n">
        <f aca="false">'Model Output'!M58</f>
        <v>55299.1111901568</v>
      </c>
      <c r="G26" s="598" t="e">
        <f aca="false">#REF!</f>
        <v>#REF!</v>
      </c>
      <c r="H26" s="0" t="s">
        <v>429</v>
      </c>
      <c r="U26" s="18"/>
      <c r="W26" s="18"/>
      <c r="Y26" s="18"/>
      <c r="AA26" s="18"/>
      <c r="AC26" s="18"/>
      <c r="AD26" s="18"/>
    </row>
    <row r="27" customFormat="false" ht="15" hidden="false" customHeight="false" outlineLevel="0" collapsed="false">
      <c r="A27" s="0" t="s">
        <v>430</v>
      </c>
      <c r="B27" s="597" t="n">
        <f aca="false">'Model Output'!K59</f>
        <v>64843.5470844175</v>
      </c>
      <c r="C27" s="598" t="e">
        <f aca="false">#REF!</f>
        <v>#REF!</v>
      </c>
      <c r="D27" s="597" t="n">
        <f aca="false">'Model Output'!L59</f>
        <v>4934.98059042337</v>
      </c>
      <c r="E27" s="598" t="e">
        <f aca="false">#REF!</f>
        <v>#REF!</v>
      </c>
      <c r="F27" s="597" t="n">
        <f aca="false">'Model Output'!M59</f>
        <v>5014.26586691166</v>
      </c>
      <c r="G27" s="598" t="e">
        <f aca="false">#REF!</f>
        <v>#REF!</v>
      </c>
      <c r="H27" s="0" t="s">
        <v>430</v>
      </c>
      <c r="U27" s="18"/>
      <c r="W27" s="18"/>
      <c r="Y27" s="18"/>
      <c r="AA27" s="18"/>
      <c r="AC27" s="18"/>
      <c r="AD27" s="18"/>
    </row>
    <row r="28" customFormat="false" ht="15" hidden="false" customHeight="false" outlineLevel="0" collapsed="false">
      <c r="A28" s="0" t="s">
        <v>431</v>
      </c>
      <c r="B28" s="597" t="n">
        <f aca="false">'Model Output'!K60</f>
        <v>40556.2680616906</v>
      </c>
      <c r="C28" s="598" t="e">
        <f aca="false">#REF!</f>
        <v>#REF!</v>
      </c>
      <c r="D28" s="597" t="n">
        <f aca="false">'Model Output'!L60</f>
        <v>3209.41647418781</v>
      </c>
      <c r="E28" s="598" t="e">
        <f aca="false">#REF!</f>
        <v>#REF!</v>
      </c>
      <c r="F28" s="597" t="n">
        <f aca="false">'Model Output'!M60</f>
        <v>2404.07667545306</v>
      </c>
      <c r="G28" s="598" t="e">
        <f aca="false">#REF!</f>
        <v>#REF!</v>
      </c>
      <c r="H28" s="0" t="s">
        <v>431</v>
      </c>
      <c r="U28" s="18"/>
      <c r="W28" s="18"/>
      <c r="Y28" s="18"/>
      <c r="AA28" s="18"/>
      <c r="AC28" s="18"/>
      <c r="AD28" s="18"/>
    </row>
    <row r="29" customFormat="false" ht="15" hidden="false" customHeight="false" outlineLevel="0" collapsed="false">
      <c r="A29" s="0" t="s">
        <v>432</v>
      </c>
      <c r="B29" s="597" t="n">
        <f aca="false">'Model Output'!K61</f>
        <v>4473.36542110057</v>
      </c>
      <c r="C29" s="598" t="e">
        <f aca="false">#REF!</f>
        <v>#REF!</v>
      </c>
      <c r="D29" s="597" t="n">
        <f aca="false">'Model Output'!L61</f>
        <v>368.859952009482</v>
      </c>
      <c r="E29" s="598" t="e">
        <f aca="false">#REF!</f>
        <v>#REF!</v>
      </c>
      <c r="F29" s="597" t="n">
        <f aca="false">'Model Output'!M61</f>
        <v>322.296005394247</v>
      </c>
      <c r="G29" s="598" t="e">
        <f aca="false">#REF!</f>
        <v>#REF!</v>
      </c>
      <c r="H29" s="0" t="s">
        <v>432</v>
      </c>
      <c r="U29" s="18"/>
      <c r="W29" s="18"/>
      <c r="Y29" s="18"/>
      <c r="AA29" s="18"/>
      <c r="AC29" s="18"/>
      <c r="AD29" s="18"/>
    </row>
    <row r="30" customFormat="false" ht="15" hidden="false" customHeight="false" outlineLevel="0" collapsed="false">
      <c r="A30" s="0" t="s">
        <v>433</v>
      </c>
      <c r="B30" s="597" t="n">
        <f aca="false">'Model Output'!K62</f>
        <v>13430.5602137935</v>
      </c>
      <c r="C30" s="598" t="e">
        <f aca="false">#REF!</f>
        <v>#REF!</v>
      </c>
      <c r="D30" s="597" t="n">
        <f aca="false">'Model Output'!L62</f>
        <v>1154.36268992216</v>
      </c>
      <c r="E30" s="598" t="e">
        <f aca="false">#REF!</f>
        <v>#REF!</v>
      </c>
      <c r="F30" s="597" t="n">
        <f aca="false">'Model Output'!M62</f>
        <v>813.65710640749</v>
      </c>
      <c r="G30" s="598" t="e">
        <f aca="false">#REF!</f>
        <v>#REF!</v>
      </c>
      <c r="H30" s="0" t="s">
        <v>433</v>
      </c>
      <c r="U30" s="18"/>
      <c r="W30" s="18"/>
      <c r="Y30" s="18"/>
      <c r="AA30" s="18"/>
      <c r="AC30" s="18"/>
      <c r="AD30" s="18"/>
    </row>
    <row r="31" customFormat="false" ht="15" hidden="false" customHeight="false" outlineLevel="0" collapsed="false">
      <c r="A31" s="0" t="s">
        <v>434</v>
      </c>
      <c r="B31" s="597" t="n">
        <f aca="false">'Model Output'!K63</f>
        <v>2666.19613257924</v>
      </c>
      <c r="C31" s="598" t="e">
        <f aca="false">#REF!</f>
        <v>#REF!</v>
      </c>
      <c r="D31" s="597" t="n">
        <f aca="false">'Model Output'!L63</f>
        <v>241.918924862208</v>
      </c>
      <c r="E31" s="598" t="e">
        <f aca="false">#REF!</f>
        <v>#REF!</v>
      </c>
      <c r="F31" s="597" t="n">
        <f aca="false">'Model Output'!M63</f>
        <v>212.533711808829</v>
      </c>
      <c r="G31" s="598" t="e">
        <f aca="false">#REF!</f>
        <v>#REF!</v>
      </c>
      <c r="H31" s="0" t="s">
        <v>434</v>
      </c>
    </row>
    <row r="32" customFormat="false" ht="15" hidden="false" customHeight="false" outlineLevel="0" collapsed="false">
      <c r="A32" s="0" t="s">
        <v>435</v>
      </c>
      <c r="B32" s="597" t="n">
        <f aca="false">'Model Output'!K64</f>
        <v>2996.66792049863</v>
      </c>
      <c r="C32" s="598" t="e">
        <f aca="false">#REF!</f>
        <v>#REF!</v>
      </c>
      <c r="D32" s="597" t="n">
        <f aca="false">'Model Output'!L64</f>
        <v>286.546241585183</v>
      </c>
      <c r="E32" s="598" t="e">
        <f aca="false">#REF!</f>
        <v>#REF!</v>
      </c>
      <c r="F32" s="597" t="n">
        <f aca="false">'Model Output'!M64</f>
        <v>253.570186824241</v>
      </c>
      <c r="G32" s="598" t="e">
        <f aca="false">#REF!</f>
        <v>#REF!</v>
      </c>
      <c r="H32" s="0" t="s">
        <v>435</v>
      </c>
    </row>
    <row r="33" customFormat="false" ht="15.75" hidden="false" customHeight="false" outlineLevel="0" collapsed="false">
      <c r="A33" s="0" t="s">
        <v>10</v>
      </c>
      <c r="B33" s="599" t="n">
        <f aca="false">'Model Output'!K65</f>
        <v>2092.89602646976</v>
      </c>
      <c r="C33" s="600" t="e">
        <f aca="false">#REF!</f>
        <v>#REF!</v>
      </c>
      <c r="D33" s="599" t="n">
        <f aca="false">'Model Output'!L65</f>
        <v>253.645080170474</v>
      </c>
      <c r="E33" s="600" t="e">
        <f aca="false">#REF!</f>
        <v>#REF!</v>
      </c>
      <c r="F33" s="599" t="n">
        <f aca="false">'Model Output'!M65</f>
        <v>304.079992521264</v>
      </c>
      <c r="G33" s="600" t="e">
        <f aca="false">#REF!</f>
        <v>#REF!</v>
      </c>
      <c r="H33" s="0" t="s">
        <v>10</v>
      </c>
    </row>
    <row r="37" customFormat="false" ht="15.75" hidden="false" customHeight="false" outlineLevel="0" collapsed="false">
      <c r="O37" s="0" t="s">
        <v>199</v>
      </c>
    </row>
    <row r="38" customFormat="false" ht="16.5" hidden="false" customHeight="false" outlineLevel="0" collapsed="false">
      <c r="O38" s="601"/>
      <c r="P38" s="601"/>
      <c r="Q38" s="601"/>
      <c r="R38" s="601"/>
    </row>
    <row r="39" customFormat="false" ht="15" hidden="false" customHeight="false" outlineLevel="0" collapsed="false">
      <c r="O39" s="602" t="n">
        <f aca="false">SUM(O41:O50)</f>
        <v>591579.30959847</v>
      </c>
      <c r="P39" s="603" t="n">
        <f aca="false">SUM(P41:P50)</f>
        <v>596806.325</v>
      </c>
      <c r="Q39" s="604" t="e">
        <f aca="false">#REF!</f>
        <v>#REF!</v>
      </c>
      <c r="R39" s="604" t="e">
        <f aca="false">#REF!</f>
        <v>#REF!</v>
      </c>
    </row>
    <row r="40" customFormat="false" ht="15" hidden="false" customHeight="false" outlineLevel="0" collapsed="false">
      <c r="O40" s="605"/>
      <c r="P40" s="606"/>
      <c r="Q40" s="607"/>
      <c r="R40" s="607"/>
    </row>
    <row r="41" customFormat="false" ht="15" hidden="false" customHeight="false" outlineLevel="0" collapsed="false">
      <c r="O41" s="608" t="n">
        <f aca="false">'Model Output'!C56</f>
        <v>4526.58684669942</v>
      </c>
      <c r="P41" s="609" t="n">
        <f aca="false">'Model Output'!D56</f>
        <v>4553.66914943496</v>
      </c>
      <c r="Q41" s="609" t="e">
        <f aca="false">#REF!</f>
        <v>#REF!</v>
      </c>
      <c r="R41" s="609" t="e">
        <f aca="false">#REF!</f>
        <v>#REF!</v>
      </c>
    </row>
    <row r="42" customFormat="false" ht="15" hidden="false" customHeight="false" outlineLevel="0" collapsed="false">
      <c r="O42" s="608" t="n">
        <f aca="false">'Model Output'!C57</f>
        <v>6278.35247908482</v>
      </c>
      <c r="P42" s="609" t="n">
        <f aca="false">'Model Output'!D57</f>
        <v>6308.87185724491</v>
      </c>
      <c r="Q42" s="609" t="e">
        <f aca="false">#REF!</f>
        <v>#REF!</v>
      </c>
      <c r="R42" s="609" t="e">
        <f aca="false">#REF!</f>
        <v>#REF!</v>
      </c>
    </row>
    <row r="43" customFormat="false" ht="15" hidden="false" customHeight="false" outlineLevel="0" collapsed="false">
      <c r="O43" s="608" t="n">
        <f aca="false">'Model Output'!C58</f>
        <v>465166.931147845</v>
      </c>
      <c r="P43" s="609" t="n">
        <f aca="false">'Model Output'!D58</f>
        <v>467606.287726987</v>
      </c>
      <c r="Q43" s="609" t="e">
        <f aca="false">#REF!</f>
        <v>#REF!</v>
      </c>
      <c r="R43" s="609" t="e">
        <f aca="false">#REF!</f>
        <v>#REF!</v>
      </c>
    </row>
    <row r="44" customFormat="false" ht="15" hidden="false" customHeight="false" outlineLevel="0" collapsed="false">
      <c r="O44" s="608" t="n">
        <f aca="false">'Model Output'!C59</f>
        <v>65364.2937479386</v>
      </c>
      <c r="P44" s="609" t="n">
        <f aca="false">'Model Output'!D59</f>
        <v>65831.2150427615</v>
      </c>
      <c r="Q44" s="609" t="e">
        <f aca="false">#REF!</f>
        <v>#REF!</v>
      </c>
      <c r="R44" s="609" t="e">
        <f aca="false">#REF!</f>
        <v>#REF!</v>
      </c>
    </row>
    <row r="45" customFormat="false" ht="15" hidden="false" customHeight="false" outlineLevel="0" collapsed="false">
      <c r="N45" s="72"/>
      <c r="O45" s="608" t="n">
        <f aca="false">'Model Output'!C60</f>
        <v>29216.2646265493</v>
      </c>
      <c r="P45" s="609" t="n">
        <f aca="false">'Model Output'!D60</f>
        <v>29559.5806577075</v>
      </c>
      <c r="Q45" s="609" t="e">
        <f aca="false">#REF!</f>
        <v>#REF!</v>
      </c>
      <c r="R45" s="609" t="e">
        <f aca="false">#REF!</f>
        <v>#REF!</v>
      </c>
      <c r="S45" s="72"/>
    </row>
    <row r="46" customFormat="false" ht="15" hidden="false" customHeight="false" outlineLevel="0" collapsed="false">
      <c r="O46" s="608" t="n">
        <f aca="false">'Model Output'!C61</f>
        <v>4179.25925114959</v>
      </c>
      <c r="P46" s="609" t="n">
        <f aca="false">'Model Output'!D61</f>
        <v>4261.7403481515</v>
      </c>
      <c r="Q46" s="609" t="e">
        <f aca="false">#REF!</f>
        <v>#REF!</v>
      </c>
      <c r="R46" s="609" t="e">
        <f aca="false">#REF!</f>
        <v>#REF!</v>
      </c>
    </row>
    <row r="47" customFormat="false" ht="15" hidden="false" customHeight="false" outlineLevel="0" collapsed="false">
      <c r="A47" s="72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O47" s="608" t="n">
        <f aca="false">'Model Output'!C62</f>
        <v>9289.53633734965</v>
      </c>
      <c r="P47" s="609" t="n">
        <f aca="false">'Model Output'!D62</f>
        <v>9518.40730576006</v>
      </c>
      <c r="Q47" s="609" t="e">
        <f aca="false">#REF!</f>
        <v>#REF!</v>
      </c>
      <c r="R47" s="609" t="e">
        <f aca="false">#REF!</f>
        <v>#REF!</v>
      </c>
    </row>
    <row r="48" customFormat="false" ht="15" hidden="false" customHeight="false" outlineLevel="0" collapsed="false">
      <c r="A48" s="72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O48" s="608" t="n">
        <f aca="false">'Model Output'!C63</f>
        <v>2216.2847406487</v>
      </c>
      <c r="P48" s="609" t="n">
        <f aca="false">'Model Output'!D63</f>
        <v>2320.36937482168</v>
      </c>
      <c r="Q48" s="609" t="e">
        <f aca="false">#REF!</f>
        <v>#REF!</v>
      </c>
      <c r="R48" s="609" t="e">
        <f aca="false">#REF!</f>
        <v>#REF!</v>
      </c>
    </row>
    <row r="49" customFormat="false" ht="15" hidden="false" customHeight="false" outlineLevel="0" collapsed="false">
      <c r="A49" s="72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O49" s="608" t="n">
        <f aca="false">'Model Output'!C64</f>
        <v>2391.89306060505</v>
      </c>
      <c r="P49" s="609" t="n">
        <f aca="false">'Model Output'!D64</f>
        <v>2530.39712264829</v>
      </c>
      <c r="Q49" s="609" t="e">
        <f aca="false">#REF!</f>
        <v>#REF!</v>
      </c>
      <c r="R49" s="609" t="e">
        <f aca="false">#REF!</f>
        <v>#REF!</v>
      </c>
    </row>
    <row r="50" customFormat="false" ht="15.75" hidden="false" customHeight="false" outlineLevel="0" collapsed="false">
      <c r="A50" s="72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O50" s="610" t="n">
        <f aca="false">'Model Output'!C65</f>
        <v>2949.90736060002</v>
      </c>
      <c r="P50" s="611" t="n">
        <f aca="false">'Model Output'!D65</f>
        <v>4315.78641448281</v>
      </c>
      <c r="Q50" s="611" t="e">
        <f aca="false">#REF!</f>
        <v>#REF!</v>
      </c>
      <c r="R50" s="611" t="e">
        <f aca="false">#REF!</f>
        <v>#REF!</v>
      </c>
    </row>
    <row r="51" customFormat="false" ht="15.75" hidden="false" customHeight="false" outlineLevel="0" collapsed="false">
      <c r="A51" s="72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</row>
    <row r="52" customFormat="false" ht="15.75" hidden="false" customHeight="false" outlineLevel="0" collapsed="false">
      <c r="A52" s="72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O52" s="0" t="s">
        <v>380</v>
      </c>
    </row>
    <row r="53" customFormat="false" ht="16.5" hidden="false" customHeight="false" outlineLevel="0" collapsed="false">
      <c r="A53" s="72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O53" s="601"/>
      <c r="P53" s="601"/>
      <c r="Q53" s="601"/>
      <c r="R53" s="601"/>
    </row>
    <row r="54" customFormat="false" ht="15" hidden="false" customHeight="false" outlineLevel="0" collapsed="false">
      <c r="A54" s="72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O54" s="603" t="n">
        <f aca="false">SUM(O56:O65)</f>
        <v>626367.739555176</v>
      </c>
      <c r="P54" s="603" t="n">
        <f aca="false">SUM(P56:P65)</f>
        <v>633192.739555176</v>
      </c>
      <c r="Q54" s="604" t="e">
        <f aca="false">#REF!</f>
        <v>#REF!</v>
      </c>
      <c r="R54" s="604" t="e">
        <f aca="false">#REF!</f>
        <v>#REF!</v>
      </c>
    </row>
    <row r="55" customFormat="false" ht="15" hidden="false" customHeight="false" outlineLevel="0" collapsed="false">
      <c r="A55" s="72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O55" s="606"/>
      <c r="P55" s="606"/>
      <c r="Q55" s="607"/>
      <c r="R55" s="607"/>
    </row>
    <row r="56" customFormat="false" ht="15" hidden="false" customHeight="false" outlineLevel="0" collapsed="false">
      <c r="A56" s="72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O56" s="609" t="n">
        <f aca="false">'Model Output'!G56</f>
        <v>995.570453119526</v>
      </c>
      <c r="P56" s="609" t="n">
        <f aca="false">'Model Output'!H56</f>
        <v>1006.41834312639</v>
      </c>
      <c r="Q56" s="609" t="e">
        <f aca="false">#REF!</f>
        <v>#REF!</v>
      </c>
      <c r="R56" s="609" t="e">
        <f aca="false">#REF!</f>
        <v>#REF!</v>
      </c>
    </row>
    <row r="57" customFormat="false" ht="15" hidden="false" customHeight="false" outlineLevel="0" collapsed="false">
      <c r="A57" s="72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O57" s="609" t="n">
        <f aca="false">'Model Output'!G57</f>
        <v>5642.59109888746</v>
      </c>
      <c r="P57" s="609" t="n">
        <f aca="false">'Model Output'!H57</f>
        <v>5704.07364630801</v>
      </c>
      <c r="Q57" s="609" t="e">
        <f aca="false">#REF!</f>
        <v>#REF!</v>
      </c>
      <c r="R57" s="609" t="e">
        <f aca="false">#REF!</f>
        <v>#REF!</v>
      </c>
    </row>
    <row r="58" customFormat="false" ht="15" hidden="false" customHeight="false" outlineLevel="0" collapsed="false">
      <c r="A58" s="72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O58" s="609" t="n">
        <f aca="false">'Model Output'!G58</f>
        <v>493252.437508087</v>
      </c>
      <c r="P58" s="609" t="n">
        <f aca="false">'Model Output'!H58</f>
        <v>498626.992539263</v>
      </c>
      <c r="Q58" s="609" t="e">
        <f aca="false">#REF!</f>
        <v>#REF!</v>
      </c>
      <c r="R58" s="609" t="e">
        <f aca="false">#REF!</f>
        <v>#REF!</v>
      </c>
    </row>
    <row r="59" customFormat="false" ht="15" hidden="false" customHeight="false" outlineLevel="0" collapsed="false">
      <c r="A59" s="72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O59" s="609" t="n">
        <f aca="false">'Model Output'!G59</f>
        <v>70611.1234266148</v>
      </c>
      <c r="P59" s="609" t="n">
        <f aca="false">'Model Output'!H59</f>
        <v>71380.5131747664</v>
      </c>
      <c r="Q59" s="609" t="e">
        <f aca="false">#REF!</f>
        <v>#REF!</v>
      </c>
      <c r="R59" s="609" t="e">
        <f aca="false">#REF!</f>
        <v>#REF!</v>
      </c>
    </row>
    <row r="60" customFormat="false" ht="15" hidden="false" customHeight="false" outlineLevel="0" collapsed="false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O60" s="609" t="n">
        <f aca="false">'Model Output'!G60</f>
        <v>31868.8479821336</v>
      </c>
      <c r="P60" s="609" t="n">
        <f aca="false">'Model Output'!H60</f>
        <v>32216.0958905788</v>
      </c>
      <c r="Q60" s="609" t="e">
        <f aca="false">#REF!</f>
        <v>#REF!</v>
      </c>
      <c r="R60" s="609" t="e">
        <f aca="false">#REF!</f>
        <v>#REF!</v>
      </c>
    </row>
    <row r="61" customFormat="false" ht="15" hidden="false" customHeight="false" outlineLevel="0" collapsed="false">
      <c r="O61" s="609" t="n">
        <f aca="false">'Model Output'!G61</f>
        <v>4999.89154508477</v>
      </c>
      <c r="P61" s="609" t="n">
        <f aca="false">'Model Output'!H61</f>
        <v>5054.37113852525</v>
      </c>
      <c r="Q61" s="609" t="e">
        <f aca="false">#REF!</f>
        <v>#REF!</v>
      </c>
      <c r="R61" s="609" t="e">
        <f aca="false">#REF!</f>
        <v>#REF!</v>
      </c>
    </row>
    <row r="62" customFormat="false" ht="15" hidden="false" customHeight="false" outlineLevel="0" collapsed="false">
      <c r="O62" s="609" t="n">
        <f aca="false">'Model Output'!G62</f>
        <v>10822.6307725286</v>
      </c>
      <c r="P62" s="609" t="n">
        <f aca="false">'Model Output'!H62</f>
        <v>10940.555835328</v>
      </c>
      <c r="Q62" s="609" t="e">
        <f aca="false">#REF!</f>
        <v>#REF!</v>
      </c>
      <c r="R62" s="609" t="e">
        <f aca="false">#REF!</f>
        <v>#REF!</v>
      </c>
    </row>
    <row r="63" customFormat="false" ht="15" hidden="false" customHeight="false" outlineLevel="0" collapsed="false">
      <c r="O63" s="609" t="n">
        <f aca="false">'Model Output'!G63</f>
        <v>3094.96926518602</v>
      </c>
      <c r="P63" s="609" t="n">
        <f aca="false">'Model Output'!H63</f>
        <v>3128.69253013242</v>
      </c>
      <c r="Q63" s="609" t="e">
        <f aca="false">#REF!</f>
        <v>#REF!</v>
      </c>
      <c r="R63" s="609" t="e">
        <f aca="false">#REF!</f>
        <v>#REF!</v>
      </c>
    </row>
    <row r="64" customFormat="false" ht="15" hidden="false" customHeight="false" outlineLevel="0" collapsed="false">
      <c r="O64" s="609" t="n">
        <f aca="false">'Model Output'!G64</f>
        <v>2919.79517484024</v>
      </c>
      <c r="P64" s="609" t="n">
        <f aca="false">'Model Output'!H64</f>
        <v>2951.60971573987</v>
      </c>
      <c r="Q64" s="609" t="e">
        <f aca="false">#REF!</f>
        <v>#REF!</v>
      </c>
      <c r="R64" s="609" t="e">
        <f aca="false">#REF!</f>
        <v>#REF!</v>
      </c>
    </row>
    <row r="65" customFormat="false" ht="15.75" hidden="false" customHeight="false" outlineLevel="0" collapsed="false">
      <c r="O65" s="611" t="n">
        <f aca="false">'Model Output'!G65</f>
        <v>2159.88232869368</v>
      </c>
      <c r="P65" s="611" t="n">
        <f aca="false">'Model Output'!H65</f>
        <v>2183.41674140753</v>
      </c>
      <c r="Q65" s="611" t="e">
        <f aca="false">#REF!</f>
        <v>#REF!</v>
      </c>
      <c r="R65" s="611" t="e">
        <f aca="false">#REF!</f>
        <v>#REF!</v>
      </c>
    </row>
    <row r="66" customFormat="false" ht="15.75" hidden="false" customHeight="false" outlineLevel="0" collapsed="false"/>
  </sheetData>
  <mergeCells count="10">
    <mergeCell ref="B4:C4"/>
    <mergeCell ref="D4:E4"/>
    <mergeCell ref="F4:G4"/>
    <mergeCell ref="H4:I4"/>
    <mergeCell ref="J4:K4"/>
    <mergeCell ref="L4:M4"/>
    <mergeCell ref="N4:O4"/>
    <mergeCell ref="B20:C20"/>
    <mergeCell ref="D20:E20"/>
    <mergeCell ref="F20:G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4:S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9" activeCellId="0" sqref="R29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4.14"/>
    <col collapsed="false" customWidth="true" hidden="false" outlineLevel="0" max="4" min="4" style="0" width="11.57"/>
    <col collapsed="false" customWidth="true" hidden="false" outlineLevel="0" max="6" min="5" style="0" width="11.71"/>
    <col collapsed="false" customWidth="true" hidden="false" outlineLevel="0" max="7" min="7" style="0" width="10.57"/>
    <col collapsed="false" customWidth="true" hidden="false" outlineLevel="0" max="10" min="9" style="0" width="11.57"/>
    <col collapsed="false" customWidth="true" hidden="false" outlineLevel="0" max="11" min="11" style="0" width="12.57"/>
    <col collapsed="false" customWidth="true" hidden="false" outlineLevel="0" max="12" min="12" style="0" width="13.71"/>
    <col collapsed="false" customWidth="true" hidden="false" outlineLevel="0" max="14" min="13" style="0" width="10.57"/>
  </cols>
  <sheetData>
    <row r="4" customFormat="false" ht="15" hidden="false" customHeight="false" outlineLevel="0" collapsed="false">
      <c r="B4" s="0" t="s">
        <v>452</v>
      </c>
    </row>
    <row r="5" customFormat="false" ht="15" hidden="false" customHeight="false" outlineLevel="0" collapsed="false">
      <c r="C5" s="0" t="s">
        <v>453</v>
      </c>
      <c r="D5" s="0" t="s">
        <v>87</v>
      </c>
      <c r="E5" s="0" t="s">
        <v>102</v>
      </c>
      <c r="F5" s="0" t="s">
        <v>131</v>
      </c>
      <c r="G5" s="0" t="s">
        <v>169</v>
      </c>
      <c r="I5" s="581" t="s">
        <v>454</v>
      </c>
      <c r="J5" s="581" t="s">
        <v>455</v>
      </c>
      <c r="K5" s="581" t="s">
        <v>456</v>
      </c>
      <c r="L5" s="581" t="s">
        <v>417</v>
      </c>
      <c r="M5" s="581" t="s">
        <v>11</v>
      </c>
    </row>
    <row r="6" customFormat="false" ht="15" hidden="false" customHeight="false" outlineLevel="0" collapsed="false">
      <c r="B6" s="0" t="s">
        <v>1</v>
      </c>
      <c r="C6" s="72" t="n">
        <f aca="false">Inlets!D2</f>
        <v>37998.1181919348</v>
      </c>
      <c r="D6" s="72" t="n">
        <f aca="false">Outlets!D22</f>
        <v>1762.0371272</v>
      </c>
      <c r="E6" s="72" t="n">
        <f aca="false">Outlets!D60</f>
        <v>387.0966192</v>
      </c>
      <c r="F6" s="72" t="e">
        <f aca="false">Outlets!D73</f>
        <v>#REF!</v>
      </c>
      <c r="I6" s="72" t="n">
        <f aca="false">Outlets!D92</f>
        <v>0.351982309639888</v>
      </c>
      <c r="J6" s="72" t="n">
        <f aca="false">Outlets!D93</f>
        <v>2.18788216269009</v>
      </c>
      <c r="K6" s="72" t="n">
        <f aca="false">Outlets!D96</f>
        <v>68.4829232563957</v>
      </c>
      <c r="L6" s="72" t="n">
        <f aca="false">Outlets!D111</f>
        <v>2615.27791418605</v>
      </c>
      <c r="M6" s="18" t="n">
        <f aca="false">SUM(I6:L6)</f>
        <v>2686.30070191478</v>
      </c>
      <c r="P6" s="18" t="n">
        <f aca="false">E6</f>
        <v>387.0966192</v>
      </c>
      <c r="Q6" s="18" t="e">
        <f aca="false">F6</f>
        <v>#REF!</v>
      </c>
      <c r="R6" s="18" t="e">
        <f aca="false">P6+Q6</f>
        <v>#REF!</v>
      </c>
    </row>
    <row r="7" customFormat="false" ht="15" hidden="false" customHeight="false" outlineLevel="0" collapsed="false">
      <c r="B7" s="0" t="s">
        <v>2</v>
      </c>
      <c r="C7" s="72" t="n">
        <f aca="false">Inlets!E2</f>
        <v>95025.224312692</v>
      </c>
      <c r="D7" s="72" t="n">
        <f aca="false">Outlets!E22</f>
        <v>12714.6666016</v>
      </c>
      <c r="E7" s="72" t="n">
        <f aca="false">Outlets!E60</f>
        <v>2129.3551771</v>
      </c>
      <c r="F7" s="72" t="n">
        <f aca="false">Outlets!E73</f>
        <v>3872.6865995</v>
      </c>
      <c r="I7" s="72" t="n">
        <f aca="false">Outlets!E92</f>
        <v>5.14974745948023</v>
      </c>
      <c r="J7" s="72" t="n">
        <f aca="false">Outlets!E93</f>
        <v>0</v>
      </c>
      <c r="K7" s="72" t="n">
        <f aca="false">Outlets!E96</f>
        <v>23.5616980070076</v>
      </c>
      <c r="L7" s="72" t="n">
        <f aca="false">Outlets!E111</f>
        <v>73639.8622368468</v>
      </c>
      <c r="M7" s="18" t="n">
        <f aca="false">SUM(I7:L7)</f>
        <v>73668.5736823133</v>
      </c>
      <c r="P7" s="18" t="n">
        <f aca="false">E7</f>
        <v>2129.3551771</v>
      </c>
      <c r="Q7" s="18" t="n">
        <f aca="false">F7</f>
        <v>3872.6865995</v>
      </c>
      <c r="R7" s="18" t="n">
        <f aca="false">P7+Q7</f>
        <v>6002.0417766</v>
      </c>
    </row>
    <row r="8" customFormat="false" ht="15" hidden="false" customHeight="false" outlineLevel="0" collapsed="false">
      <c r="B8" s="0" t="s">
        <v>3</v>
      </c>
      <c r="C8" s="72" t="n">
        <f aca="false">Inlets!F2</f>
        <v>8156321.60177115</v>
      </c>
      <c r="D8" s="72" t="n">
        <f aca="false">Outlets!F22</f>
        <v>885673.6258562</v>
      </c>
      <c r="E8" s="72" t="n">
        <f aca="false">Outlets!F60</f>
        <v>162100.9610245</v>
      </c>
      <c r="F8" s="72" t="n">
        <f aca="false">Outlets!F73</f>
        <v>283604.7040392</v>
      </c>
      <c r="I8" s="72" t="n">
        <f aca="false">Outlets!F92</f>
        <v>14.6625693641885</v>
      </c>
      <c r="J8" s="72" t="n">
        <f aca="false">Outlets!F93</f>
        <v>0.734160483761542</v>
      </c>
      <c r="K8" s="72" t="n">
        <f aca="false">Outlets!F96</f>
        <v>2641.55959432703</v>
      </c>
      <c r="L8" s="72" t="n">
        <f aca="false">Outlets!F111</f>
        <v>6899612.87151752</v>
      </c>
      <c r="M8" s="18" t="n">
        <f aca="false">SUM(I8:L8)</f>
        <v>6902269.8278417</v>
      </c>
      <c r="P8" s="18" t="n">
        <f aca="false">E8</f>
        <v>162100.9610245</v>
      </c>
      <c r="Q8" s="18" t="n">
        <f aca="false">F8</f>
        <v>283604.7040392</v>
      </c>
      <c r="R8" s="18" t="n">
        <f aca="false">P8+Q8</f>
        <v>445705.6650637</v>
      </c>
    </row>
    <row r="9" customFormat="false" ht="15" hidden="false" customHeight="false" outlineLevel="0" collapsed="false">
      <c r="B9" s="0" t="s">
        <v>4</v>
      </c>
      <c r="C9" s="72" t="n">
        <f aca="false">Inlets!G2</f>
        <v>1127813.973205</v>
      </c>
      <c r="D9" s="72" t="n">
        <f aca="false">Outlets!G22</f>
        <v>126264.9524919</v>
      </c>
      <c r="E9" s="72" t="n">
        <f aca="false">Outlets!G60</f>
        <v>23450.8790013</v>
      </c>
      <c r="F9" s="72" t="n">
        <f aca="false">Outlets!G73</f>
        <v>6003.3885326</v>
      </c>
      <c r="I9" s="72" t="n">
        <f aca="false">Outlets!G92</f>
        <v>63.4294588196543</v>
      </c>
      <c r="J9" s="72" t="n">
        <f aca="false">Outlets!G93</f>
        <v>22.3386992176287</v>
      </c>
      <c r="K9" s="72" t="n">
        <f aca="false">Outlets!G96</f>
        <v>748348.742509551</v>
      </c>
      <c r="L9" s="72" t="n">
        <f aca="false">Outlets!G111</f>
        <v>241327.176075066</v>
      </c>
      <c r="M9" s="18" t="n">
        <f aca="false">SUM(I9:L9)</f>
        <v>989761.686742654</v>
      </c>
      <c r="P9" s="18" t="n">
        <f aca="false">E9</f>
        <v>23450.8790013</v>
      </c>
      <c r="Q9" s="18" t="n">
        <f aca="false">F9</f>
        <v>6003.3885326</v>
      </c>
      <c r="R9" s="18" t="n">
        <f aca="false">P9+Q9</f>
        <v>29454.2675339</v>
      </c>
    </row>
    <row r="10" customFormat="false" ht="15" hidden="false" customHeight="false" outlineLevel="0" collapsed="false">
      <c r="B10" s="0" t="s">
        <v>5</v>
      </c>
      <c r="C10" s="72" t="n">
        <f aca="false">Inlets!H2</f>
        <v>546479.340832273</v>
      </c>
      <c r="D10" s="72" t="n">
        <f aca="false">Outlets!H22</f>
        <v>57031.687376</v>
      </c>
      <c r="E10" s="72" t="n">
        <f aca="false">Outlets!H60</f>
        <v>10780.9565337</v>
      </c>
      <c r="F10" s="72" t="n">
        <f aca="false">Outlets!H73</f>
        <v>462.6979549</v>
      </c>
      <c r="I10" s="72" t="n">
        <f aca="false">Outlets!H92</f>
        <v>560.037367596249</v>
      </c>
      <c r="J10" s="72" t="n">
        <f aca="false">Outlets!H93</f>
        <v>9.48719127220893</v>
      </c>
      <c r="K10" s="72" t="n">
        <f aca="false">Outlets!H96</f>
        <v>389489.877299164</v>
      </c>
      <c r="L10" s="72" t="n">
        <f aca="false">Outlets!H111</f>
        <v>6478.76317913704</v>
      </c>
      <c r="M10" s="18" t="n">
        <f aca="false">SUM(I10:L10)</f>
        <v>396538.165037169</v>
      </c>
      <c r="P10" s="18" t="n">
        <f aca="false">E10</f>
        <v>10780.9565337</v>
      </c>
      <c r="Q10" s="18" t="n">
        <f aca="false">F10</f>
        <v>462.6979549</v>
      </c>
      <c r="R10" s="18" t="n">
        <f aca="false">P10+Q10</f>
        <v>11243.6544886</v>
      </c>
    </row>
    <row r="11" customFormat="false" ht="15" hidden="false" customHeight="false" outlineLevel="0" collapsed="false">
      <c r="B11" s="0" t="s">
        <v>6</v>
      </c>
      <c r="C11" s="72" t="n">
        <f aca="false">Inlets!I2</f>
        <v>82842.2540781758</v>
      </c>
      <c r="D11" s="72" t="n">
        <f aca="false">Outlets!I22</f>
        <v>9108.8951891</v>
      </c>
      <c r="E11" s="72" t="n">
        <f aca="false">Outlets!I60</f>
        <v>1551.4910484</v>
      </c>
      <c r="F11" s="72" t="n">
        <f aca="false">Outlets!I73</f>
        <v>20.8495259</v>
      </c>
      <c r="I11" s="72" t="n">
        <f aca="false">Outlets!I92</f>
        <v>334.039736758331</v>
      </c>
      <c r="J11" s="72" t="n">
        <f aca="false">Outlets!I93</f>
        <v>2.28203267689158</v>
      </c>
      <c r="K11" s="72" t="n">
        <f aca="false">Outlets!I96</f>
        <v>60040.9698044277</v>
      </c>
      <c r="L11" s="72" t="n">
        <f aca="false">Outlets!I111</f>
        <v>114.099749521583</v>
      </c>
      <c r="M11" s="18" t="n">
        <f aca="false">SUM(I11:L11)</f>
        <v>60491.3913233845</v>
      </c>
      <c r="P11" s="18" t="n">
        <f aca="false">E11</f>
        <v>1551.4910484</v>
      </c>
      <c r="Q11" s="18" t="n">
        <f aca="false">F11</f>
        <v>20.8495259</v>
      </c>
      <c r="R11" s="18" t="n">
        <f aca="false">P11+Q11</f>
        <v>1572.3405743</v>
      </c>
    </row>
    <row r="12" customFormat="false" ht="15" hidden="false" customHeight="false" outlineLevel="0" collapsed="false">
      <c r="B12" s="0" t="s">
        <v>7</v>
      </c>
      <c r="C12" s="72" t="n">
        <f aca="false">Inlets!J2</f>
        <v>188267.563650171</v>
      </c>
      <c r="D12" s="72" t="n">
        <f aca="false">Outlets!J22</f>
        <v>20091.0350742</v>
      </c>
      <c r="E12" s="72" t="n">
        <f aca="false">Outlets!J60</f>
        <v>3452.2158003</v>
      </c>
      <c r="F12" s="72" t="n">
        <f aca="false">Outlets!J73</f>
        <v>30.2869127</v>
      </c>
      <c r="I12" s="72" t="n">
        <f aca="false">Outlets!J92</f>
        <v>1803.26088754279</v>
      </c>
      <c r="J12" s="72" t="n">
        <f aca="false">Outlets!J93</f>
        <v>7.89578191487733</v>
      </c>
      <c r="K12" s="72" t="n">
        <f aca="false">Outlets!J96</f>
        <v>134807.587221844</v>
      </c>
      <c r="L12" s="72" t="n">
        <f aca="false">Outlets!J111</f>
        <v>135.576160808993</v>
      </c>
      <c r="M12" s="18" t="n">
        <f aca="false">SUM(I12:L12)</f>
        <v>136754.32005211</v>
      </c>
      <c r="P12" s="18" t="n">
        <f aca="false">E12</f>
        <v>3452.2158003</v>
      </c>
      <c r="Q12" s="18" t="n">
        <f aca="false">F12</f>
        <v>30.2869127</v>
      </c>
      <c r="R12" s="18" t="n">
        <f aca="false">P12+Q12</f>
        <v>3482.502713</v>
      </c>
    </row>
    <row r="13" customFormat="false" ht="15" hidden="false" customHeight="false" outlineLevel="0" collapsed="false">
      <c r="B13" s="0" t="s">
        <v>8</v>
      </c>
      <c r="C13" s="72" t="n">
        <f aca="false">Inlets!K2</f>
        <v>49505.9917827724</v>
      </c>
      <c r="D13" s="72" t="n">
        <f aca="false">Outlets!K22</f>
        <v>5285.7992007</v>
      </c>
      <c r="E13" s="72" t="n">
        <f aca="false">Outlets!K60</f>
        <v>774.2544916</v>
      </c>
      <c r="F13" s="72" t="n">
        <f aca="false">Outlets!K73</f>
        <v>0</v>
      </c>
      <c r="I13" s="72" t="n">
        <f aca="false">Outlets!K92</f>
        <v>1586.77806375319</v>
      </c>
      <c r="J13" s="72" t="n">
        <f aca="false">Outlets!K93</f>
        <v>1988.19205048772</v>
      </c>
      <c r="K13" s="72" t="n">
        <f aca="false">Outlets!K96</f>
        <v>33974.1607779725</v>
      </c>
      <c r="L13" s="72" t="n">
        <f aca="false">Outlets!K111</f>
        <v>2.24185619206888</v>
      </c>
      <c r="M13" s="18" t="n">
        <f aca="false">SUM(I13:L13)</f>
        <v>37551.3727484055</v>
      </c>
      <c r="P13" s="18" t="n">
        <f aca="false">E13</f>
        <v>774.2544916</v>
      </c>
      <c r="Q13" s="18" t="n">
        <f aca="false">F13</f>
        <v>0</v>
      </c>
      <c r="R13" s="18" t="n">
        <f aca="false">P13+Q13</f>
        <v>774.2544916</v>
      </c>
    </row>
    <row r="14" customFormat="false" ht="15" hidden="false" customHeight="false" outlineLevel="0" collapsed="false">
      <c r="B14" s="0" t="s">
        <v>9</v>
      </c>
      <c r="C14" s="72" t="n">
        <f aca="false">Inlets!L2</f>
        <v>51933.3686122818</v>
      </c>
      <c r="D14" s="72" t="n">
        <f aca="false">Outlets!L22</f>
        <v>5702.3559097</v>
      </c>
      <c r="E14" s="72" t="n">
        <f aca="false">Outlets!L60</f>
        <v>818.7219746</v>
      </c>
      <c r="F14" s="72" t="n">
        <f aca="false">Outlets!L73</f>
        <v>0</v>
      </c>
      <c r="I14" s="72" t="n">
        <f aca="false">Outlets!L92</f>
        <v>2888.80430506734</v>
      </c>
      <c r="J14" s="72" t="n">
        <f aca="false">Outlets!L93</f>
        <v>4731.79451966183</v>
      </c>
      <c r="K14" s="72" t="n">
        <f aca="false">Outlets!L96</f>
        <v>33314.5444059845</v>
      </c>
      <c r="L14" s="72" t="n">
        <f aca="false">Outlets!L111</f>
        <v>2.05621950993572</v>
      </c>
      <c r="M14" s="18" t="n">
        <f aca="false">SUM(I14:L14)</f>
        <v>40937.1994502236</v>
      </c>
      <c r="P14" s="18" t="n">
        <f aca="false">E14</f>
        <v>818.7219746</v>
      </c>
      <c r="Q14" s="18" t="n">
        <f aca="false">F14</f>
        <v>0</v>
      </c>
      <c r="R14" s="18" t="n">
        <f aca="false">P14+Q14</f>
        <v>818.7219746</v>
      </c>
    </row>
    <row r="15" customFormat="false" ht="15" hidden="false" customHeight="false" outlineLevel="0" collapsed="false">
      <c r="B15" s="0" t="s">
        <v>10</v>
      </c>
      <c r="C15" s="72" t="n">
        <f aca="false">Inlets!M2</f>
        <v>79500.1135635523</v>
      </c>
      <c r="D15" s="72" t="n">
        <f aca="false">Outlets!M22</f>
        <v>6428.4151734</v>
      </c>
      <c r="E15" s="72" t="n">
        <f aca="false">Outlets!M60</f>
        <v>820.0983293</v>
      </c>
      <c r="F15" s="72" t="n">
        <f aca="false">Outlets!M73</f>
        <v>0</v>
      </c>
      <c r="I15" s="72" t="n">
        <f aca="false">Outlets!M92</f>
        <v>13172.6818483281</v>
      </c>
      <c r="J15" s="72" t="n">
        <f aca="false">Outlets!M93</f>
        <v>23025.4481640774</v>
      </c>
      <c r="K15" s="72" t="n">
        <f aca="false">Outlets!M96</f>
        <v>26199.2904301452</v>
      </c>
      <c r="L15" s="72" t="n">
        <f aca="false">Outlets!M111</f>
        <v>0.12509120807943</v>
      </c>
      <c r="M15" s="18" t="n">
        <f aca="false">SUM(I15:L15)</f>
        <v>62397.5455337589</v>
      </c>
      <c r="P15" s="18" t="n">
        <f aca="false">E15</f>
        <v>820.0983293</v>
      </c>
      <c r="Q15" s="18" t="n">
        <f aca="false">F15</f>
        <v>0</v>
      </c>
      <c r="R15" s="18" t="n">
        <f aca="false">P15+Q15</f>
        <v>820.0983293</v>
      </c>
    </row>
    <row r="16" customFormat="false" ht="15" hidden="false" customHeight="false" outlineLevel="0" collapsed="false">
      <c r="C16" s="18" t="n">
        <f aca="false">SUM(C6:C15)</f>
        <v>10415687.55</v>
      </c>
      <c r="D16" s="18" t="n">
        <f aca="false">SUM(D6:D15)</f>
        <v>1130063.47</v>
      </c>
      <c r="E16" s="18" t="n">
        <f aca="false">SUM(E6:E15)</f>
        <v>206266.03</v>
      </c>
      <c r="F16" s="18" t="e">
        <f aca="false">SUM(F6:F15)</f>
        <v>#REF!</v>
      </c>
      <c r="I16" s="18" t="n">
        <f aca="false">SUM(I6:I15)</f>
        <v>20429.195966999</v>
      </c>
      <c r="J16" s="18" t="n">
        <f aca="false">SUM(J6:J15)</f>
        <v>29790.360481955</v>
      </c>
      <c r="K16" s="18" t="n">
        <f aca="false">SUM(K6:K15)</f>
        <v>1428908.77666468</v>
      </c>
      <c r="L16" s="18" t="n">
        <f aca="false">SUM(L6:L15)</f>
        <v>7223928.05</v>
      </c>
      <c r="M16" s="18" t="n">
        <f aca="false">SUM(I16:L16)</f>
        <v>8703056.38311363</v>
      </c>
      <c r="P16" s="18" t="n">
        <f aca="false">SUM(P6:P15)</f>
        <v>206266.03</v>
      </c>
      <c r="Q16" s="18" t="e">
        <f aca="false">SUM(Q6:Q15)</f>
        <v>#REF!</v>
      </c>
      <c r="R16" s="18" t="e">
        <f aca="false">SUM(R6:R15)</f>
        <v>#REF!</v>
      </c>
      <c r="S16" s="41" t="e">
        <f aca="false">R16/C16</f>
        <v>#REF!</v>
      </c>
    </row>
    <row r="18" customFormat="false" ht="15" hidden="false" customHeight="false" outlineLevel="0" collapsed="false">
      <c r="B18" s="0" t="s">
        <v>457</v>
      </c>
    </row>
    <row r="19" customFormat="false" ht="15" hidden="false" customHeight="false" outlineLevel="0" collapsed="false">
      <c r="A19" s="297" t="n">
        <f aca="false">Rollup!AS159</f>
        <v>58.746</v>
      </c>
      <c r="B19" s="0" t="s">
        <v>1</v>
      </c>
      <c r="C19" s="18" t="n">
        <f aca="false">C6*1000/$A19/42</f>
        <v>15400.4885406321</v>
      </c>
      <c r="D19" s="18" t="n">
        <f aca="false">D6*1000/$A19/42</f>
        <v>714.146749282221</v>
      </c>
      <c r="E19" s="18" t="n">
        <f aca="false">E6*1000/$A19/42</f>
        <v>156.888744279246</v>
      </c>
      <c r="F19" s="18" t="e">
        <f aca="false">F6*1000/$A19/42</f>
        <v>#REF!</v>
      </c>
      <c r="G19" s="18" t="e">
        <f aca="false">C19-D19-E19-F19</f>
        <v>#REF!</v>
      </c>
      <c r="H19" s="297"/>
      <c r="I19" s="18" t="n">
        <f aca="false">I6*1000/$A19/42</f>
        <v>0.142657052086986</v>
      </c>
      <c r="J19" s="18" t="n">
        <f aca="false">J6*1000/$A19/42</f>
        <v>0.886740074983866</v>
      </c>
      <c r="K19" s="18" t="n">
        <f aca="false">K6*1000/$A19/42</f>
        <v>27.7558606853053</v>
      </c>
      <c r="L19" s="18" t="n">
        <f aca="false">L6*1000/$A19/42</f>
        <v>1059.96189981164</v>
      </c>
      <c r="M19" s="18" t="n">
        <f aca="false">SUM(I19:L19)</f>
        <v>1088.74715762402</v>
      </c>
      <c r="R19" s="18"/>
    </row>
    <row r="20" customFormat="false" ht="15" hidden="false" customHeight="false" outlineLevel="0" collapsed="false">
      <c r="A20" s="297" t="n">
        <f aca="false">Rollup!AT159</f>
        <v>91.128</v>
      </c>
      <c r="B20" s="0" t="s">
        <v>2</v>
      </c>
      <c r="C20" s="18" t="n">
        <f aca="false">C7*1000/$A20/42</f>
        <v>24827.7734700463</v>
      </c>
      <c r="D20" s="18" t="n">
        <f aca="false">D7*1000/$A20/42</f>
        <v>3322.03227527162</v>
      </c>
      <c r="E20" s="18" t="n">
        <f aca="false">E7*1000/$A20/42</f>
        <v>556.34857330453</v>
      </c>
      <c r="F20" s="18" t="n">
        <f aca="false">F7*1000/$A20/42</f>
        <v>1011.83855453449</v>
      </c>
      <c r="G20" s="18" t="n">
        <f aca="false">C20-D20-E20-F20</f>
        <v>19937.5540669357</v>
      </c>
      <c r="I20" s="18" t="n">
        <f aca="false">I7*1000/$A20/42</f>
        <v>1.34550341003346</v>
      </c>
      <c r="J20" s="18" t="n">
        <f aca="false">J7*1000/$A20/42</f>
        <v>0</v>
      </c>
      <c r="K20" s="18" t="n">
        <f aca="false">K7*1000/$A20/42</f>
        <v>6.15609702496111</v>
      </c>
      <c r="L20" s="18" t="n">
        <f aca="false">L7*1000/$A20/42</f>
        <v>19240.2999435767</v>
      </c>
      <c r="M20" s="18" t="n">
        <f aca="false">SUM(I20:L20)</f>
        <v>19247.8015440117</v>
      </c>
      <c r="R20" s="18"/>
    </row>
    <row r="21" customFormat="false" ht="15" hidden="false" customHeight="false" outlineLevel="0" collapsed="false">
      <c r="A21" s="297" t="n">
        <f aca="false">Rollup!AU159</f>
        <v>59.138</v>
      </c>
      <c r="B21" s="0" t="s">
        <v>3</v>
      </c>
      <c r="C21" s="18" t="n">
        <f aca="false">C8*1000/$A21/42</f>
        <v>3283813.00306915</v>
      </c>
      <c r="D21" s="18" t="n">
        <f aca="false">D8*1000/$A21/42</f>
        <v>356580.663571485</v>
      </c>
      <c r="E21" s="18" t="n">
        <f aca="false">E8*1000/$A21/42</f>
        <v>65263.3956349475</v>
      </c>
      <c r="F21" s="18" t="n">
        <f aca="false">F8*1000/$A21/42</f>
        <v>114181.963429847</v>
      </c>
      <c r="G21" s="18" t="n">
        <f aca="false">C21-D21-E21-F21</f>
        <v>2747786.98043287</v>
      </c>
      <c r="I21" s="18" t="n">
        <f aca="false">I8*1000/$A21/42</f>
        <v>5.90329051346747</v>
      </c>
      <c r="J21" s="18" t="n">
        <f aca="false">J8*1000/$A21/42</f>
        <v>0.295580024994622</v>
      </c>
      <c r="K21" s="18" t="n">
        <f aca="false">K8*1000/$A21/42</f>
        <v>1063.51713036297</v>
      </c>
      <c r="L21" s="18" t="n">
        <f aca="false">L8*1000/$A21/42</f>
        <v>2777850.06156606</v>
      </c>
      <c r="M21" s="18" t="n">
        <f aca="false">SUM(I21:L21)</f>
        <v>2778919.77756696</v>
      </c>
      <c r="R21" s="18"/>
    </row>
    <row r="22" customFormat="false" ht="15" hidden="false" customHeight="false" outlineLevel="0" collapsed="false">
      <c r="A22" s="297" t="n">
        <f aca="false">Rollup!AV159</f>
        <v>37.488</v>
      </c>
      <c r="B22" s="612" t="s">
        <v>4</v>
      </c>
      <c r="C22" s="613" t="n">
        <f aca="false">C9*1000/$A22/42</f>
        <v>716301.580445423</v>
      </c>
      <c r="D22" s="613" t="n">
        <f aca="false">D9*1000/$A22/42</f>
        <v>80193.8858478523</v>
      </c>
      <c r="E22" s="613" t="n">
        <f aca="false">E9*1000/$A22/42</f>
        <v>14894.213133155</v>
      </c>
      <c r="F22" s="613" t="n">
        <f aca="false">F9*1000/$A22/42</f>
        <v>3812.89538531695</v>
      </c>
      <c r="G22" s="613" t="n">
        <f aca="false">C22-D22-E22-F22</f>
        <v>617400.586079099</v>
      </c>
      <c r="H22" s="612"/>
      <c r="I22" s="613" t="n">
        <f aca="false">I9*1000/$A22/42</f>
        <v>40.2855636468141</v>
      </c>
      <c r="J22" s="613" t="n">
        <f aca="false">J9*1000/$A22/42</f>
        <v>14.1878411997419</v>
      </c>
      <c r="K22" s="613" t="n">
        <f aca="false">K9*1000/$A22/42</f>
        <v>475294.15286514</v>
      </c>
      <c r="L22" s="613" t="n">
        <f aca="false">L9*1000/$A22/42</f>
        <v>153272.651105538</v>
      </c>
      <c r="M22" s="613" t="n">
        <f aca="false">SUM(I22:L22)</f>
        <v>628621.277375525</v>
      </c>
      <c r="N22" s="613" t="n">
        <f aca="false">SUM(I22:K22)</f>
        <v>475348.626269986</v>
      </c>
      <c r="O22" s="614" t="n">
        <f aca="false">M22/G22</f>
        <v>1.01817408591671</v>
      </c>
      <c r="P22" s="614" t="n">
        <f aca="false">N22/G22</f>
        <v>0.76991929873077</v>
      </c>
      <c r="R22" s="18"/>
      <c r="S22" s="24"/>
    </row>
    <row r="23" customFormat="false" ht="15" hidden="false" customHeight="false" outlineLevel="0" collapsed="false">
      <c r="A23" s="297" t="n">
        <f aca="false">Rollup!AW159</f>
        <v>36.391</v>
      </c>
      <c r="B23" s="612" t="s">
        <v>5</v>
      </c>
      <c r="C23" s="613" t="n">
        <f aca="false">C10*1000/$A23/42</f>
        <v>357544.801653125</v>
      </c>
      <c r="D23" s="613" t="n">
        <f aca="false">D10*1000/$A23/42</f>
        <v>37314.0973998019</v>
      </c>
      <c r="E23" s="613" t="n">
        <f aca="false">E10*1000/$A23/42</f>
        <v>7053.65176220965</v>
      </c>
      <c r="F23" s="613" t="n">
        <f aca="false">F10*1000/$A23/42</f>
        <v>302.729190563863</v>
      </c>
      <c r="G23" s="613" t="n">
        <f aca="false">C23-D23-E23-F23</f>
        <v>312874.32330055</v>
      </c>
      <c r="H23" s="612"/>
      <c r="I23" s="613" t="n">
        <f aca="false">I10*1000/$A23/42</f>
        <v>366.415405952184</v>
      </c>
      <c r="J23" s="613" t="n">
        <f aca="false">J10*1000/$A23/42</f>
        <v>6.20718052488706</v>
      </c>
      <c r="K23" s="613" t="n">
        <f aca="false">K10*1000/$A23/42</f>
        <v>254831.373337445</v>
      </c>
      <c r="L23" s="613" t="n">
        <f aca="false">L10*1000/$A23/42</f>
        <v>4238.85757934461</v>
      </c>
      <c r="M23" s="613" t="n">
        <f aca="false">SUM(I23:L23)</f>
        <v>259442.853503266</v>
      </c>
      <c r="N23" s="613" t="n">
        <f aca="false">SUM(I23:K23)</f>
        <v>255203.995923922</v>
      </c>
      <c r="O23" s="614" t="n">
        <f aca="false">M23/G23</f>
        <v>0.829223858213649</v>
      </c>
      <c r="P23" s="614" t="n">
        <f aca="false">N23/G23</f>
        <v>0.815675742361161</v>
      </c>
      <c r="R23" s="18"/>
      <c r="S23" s="24"/>
    </row>
    <row r="24" customFormat="false" ht="15" hidden="false" customHeight="false" outlineLevel="0" collapsed="false">
      <c r="A24" s="297" t="n">
        <f aca="false">Rollup!AX159</f>
        <v>30.637</v>
      </c>
      <c r="B24" s="612" t="s">
        <v>6</v>
      </c>
      <c r="C24" s="613" t="n">
        <f aca="false">C11*1000/$A24/42</f>
        <v>64380.801674738</v>
      </c>
      <c r="D24" s="613" t="n">
        <f aca="false">D11*1000/$A24/42</f>
        <v>7078.97172971679</v>
      </c>
      <c r="E24" s="613" t="n">
        <f aca="false">E11*1000/$A24/42</f>
        <v>1205.74021794376</v>
      </c>
      <c r="F24" s="613" t="n">
        <f aca="false">F11*1000/$A24/42</f>
        <v>16.2031949385819</v>
      </c>
      <c r="G24" s="613" t="n">
        <f aca="false">C24-D24-E24-F24</f>
        <v>56079.8865321388</v>
      </c>
      <c r="H24" s="612"/>
      <c r="I24" s="613" t="n">
        <f aca="false">I11*1000/$A24/42</f>
        <v>259.598755285261</v>
      </c>
      <c r="J24" s="613" t="n">
        <f aca="false">J11*1000/$A24/42</f>
        <v>1.77348014996773</v>
      </c>
      <c r="K24" s="613" t="n">
        <f aca="false">K11*1000/$A24/42</f>
        <v>46660.7990372889</v>
      </c>
      <c r="L24" s="613" t="n">
        <f aca="false">L11*1000/$A24/42</f>
        <v>88.6725430980457</v>
      </c>
      <c r="M24" s="613" t="n">
        <f aca="false">SUM(I24:L24)</f>
        <v>47010.8438158222</v>
      </c>
      <c r="N24" s="613" t="n">
        <f aca="false">SUM(I24:K24)</f>
        <v>46922.1712727241</v>
      </c>
      <c r="O24" s="614" t="n">
        <f aca="false">M24/G24</f>
        <v>0.838283504530287</v>
      </c>
      <c r="P24" s="614" t="n">
        <f aca="false">N24/G24</f>
        <v>0.836702321889213</v>
      </c>
      <c r="R24" s="18"/>
      <c r="S24" s="24"/>
    </row>
    <row r="25" customFormat="false" ht="15" hidden="false" customHeight="false" outlineLevel="0" collapsed="false">
      <c r="A25" s="297" t="n">
        <f aca="false">Rollup!AY159</f>
        <v>31.801</v>
      </c>
      <c r="B25" s="612" t="s">
        <v>7</v>
      </c>
      <c r="C25" s="613" t="n">
        <f aca="false">C12*1000/$A25/42</f>
        <v>140956.606373692</v>
      </c>
      <c r="D25" s="613" t="n">
        <f aca="false">D12*1000/$A25/42</f>
        <v>15042.230683222</v>
      </c>
      <c r="E25" s="613" t="n">
        <f aca="false">E12*1000/$A25/42</f>
        <v>2584.6864656098</v>
      </c>
      <c r="F25" s="613" t="n">
        <f aca="false">F12*1000/$A25/42</f>
        <v>22.6759211674985</v>
      </c>
      <c r="G25" s="613" t="n">
        <f aca="false">C25-D25-E25-F25</f>
        <v>123307.013303693</v>
      </c>
      <c r="H25" s="612"/>
      <c r="I25" s="613" t="n">
        <f aca="false">I12*1000/$A25/42</f>
        <v>1350.1079537352</v>
      </c>
      <c r="J25" s="613" t="n">
        <f aca="false">J12*1000/$A25/42</f>
        <v>5.91160049989244</v>
      </c>
      <c r="K25" s="613" t="n">
        <f aca="false">K12*1000/$A25/42</f>
        <v>100930.928513661</v>
      </c>
      <c r="L25" s="613" t="n">
        <f aca="false">L12*1000/$A25/42</f>
        <v>101.506362340353</v>
      </c>
      <c r="M25" s="613" t="n">
        <f aca="false">SUM(I25:L25)</f>
        <v>102388.454430237</v>
      </c>
      <c r="N25" s="613" t="n">
        <f aca="false">SUM(I25:K25)</f>
        <v>102286.948067896</v>
      </c>
      <c r="O25" s="614" t="n">
        <f aca="false">M25/G25</f>
        <v>0.830353859744085</v>
      </c>
      <c r="P25" s="614" t="n">
        <f aca="false">N25/G25</f>
        <v>0.82953065950899</v>
      </c>
      <c r="R25" s="18"/>
      <c r="S25" s="24"/>
    </row>
    <row r="26" customFormat="false" ht="15" hidden="false" customHeight="false" outlineLevel="0" collapsed="false">
      <c r="A26" s="297" t="n">
        <f aca="false">Rollup!AZ159</f>
        <v>27.414</v>
      </c>
      <c r="B26" s="612" t="s">
        <v>8</v>
      </c>
      <c r="C26" s="613" t="n">
        <f aca="false">C13*1000/$A26/42</f>
        <v>42996.7932467356</v>
      </c>
      <c r="D26" s="613" t="n">
        <f aca="false">D13*1000/$A26/42</f>
        <v>4590.80622752712</v>
      </c>
      <c r="E26" s="613" t="n">
        <f aca="false">E13*1000/$A26/42</f>
        <v>672.453153585064</v>
      </c>
      <c r="F26" s="613" t="n">
        <f aca="false">F13*1000/$A26/42</f>
        <v>0</v>
      </c>
      <c r="G26" s="613" t="n">
        <f aca="false">C26-D26-E26-F26</f>
        <v>37733.5338656234</v>
      </c>
      <c r="H26" s="612"/>
      <c r="I26" s="613" t="n">
        <f aca="false">I13*1000/$A26/42</f>
        <v>1378.14365249003</v>
      </c>
      <c r="J26" s="613" t="n">
        <f aca="false">J13*1000/$A26/42</f>
        <v>1726.77850601858</v>
      </c>
      <c r="K26" s="613" t="n">
        <f aca="false">K13*1000/$A26/42</f>
        <v>29507.1346739522</v>
      </c>
      <c r="L26" s="613" t="n">
        <f aca="false">L13*1000/$A26/42</f>
        <v>1.94709011390503</v>
      </c>
      <c r="M26" s="613" t="n">
        <f aca="false">SUM(I26:L26)</f>
        <v>32614.0039225747</v>
      </c>
      <c r="N26" s="613" t="n">
        <f aca="false">SUM(I26:K26)</f>
        <v>32612.0568324608</v>
      </c>
      <c r="O26" s="614" t="n">
        <f aca="false">M26/G26</f>
        <v>0.864324132447271</v>
      </c>
      <c r="P26" s="614" t="n">
        <f aca="false">N26/G26</f>
        <v>0.864272531393396</v>
      </c>
      <c r="R26" s="18"/>
      <c r="S26" s="24"/>
    </row>
    <row r="27" customFormat="false" ht="15" hidden="false" customHeight="false" outlineLevel="0" collapsed="false">
      <c r="A27" s="297" t="n">
        <f aca="false">Rollup!BA159</f>
        <v>27.658</v>
      </c>
      <c r="B27" s="612" t="s">
        <v>9</v>
      </c>
      <c r="C27" s="613" t="n">
        <f aca="false">C14*1000/$A27/42</f>
        <v>44707.0929381336</v>
      </c>
      <c r="D27" s="613" t="n">
        <f aca="false">D14*1000/$A27/42</f>
        <v>4908.90081720952</v>
      </c>
      <c r="E27" s="613" t="n">
        <f aca="false">E14*1000/$A27/42</f>
        <v>704.800793536013</v>
      </c>
      <c r="F27" s="613" t="n">
        <f aca="false">F14*1000/$A27/42</f>
        <v>0</v>
      </c>
      <c r="G27" s="613" t="n">
        <f aca="false">C27-D27-E27-F27</f>
        <v>39093.3913273881</v>
      </c>
      <c r="H27" s="612"/>
      <c r="I27" s="613" t="n">
        <f aca="false">I14*1000/$A27/42</f>
        <v>2486.84123517809</v>
      </c>
      <c r="J27" s="613" t="n">
        <f aca="false">J14*1000/$A27/42</f>
        <v>4073.38832445088</v>
      </c>
      <c r="K27" s="613" t="n">
        <f aca="false">K14*1000/$A27/42</f>
        <v>28678.9875709642</v>
      </c>
      <c r="L27" s="613" t="n">
        <f aca="false">L14*1000/$A27/42</f>
        <v>1.7701065651682</v>
      </c>
      <c r="M27" s="613" t="n">
        <f aca="false">SUM(I27:L27)</f>
        <v>35240.9872371583</v>
      </c>
      <c r="N27" s="613" t="n">
        <f aca="false">SUM(I27:K27)</f>
        <v>35239.2171305931</v>
      </c>
      <c r="O27" s="614" t="n">
        <f aca="false">M27/G27</f>
        <v>0.901456385352507</v>
      </c>
      <c r="P27" s="614" t="n">
        <f aca="false">N27/G27</f>
        <v>0.901411106431823</v>
      </c>
      <c r="R27" s="18"/>
      <c r="S27" s="24"/>
    </row>
    <row r="28" customFormat="false" ht="15" hidden="false" customHeight="false" outlineLevel="0" collapsed="false">
      <c r="A28" s="297" t="n">
        <f aca="false">Rollup!BB159</f>
        <v>23.104</v>
      </c>
      <c r="B28" s="612" t="s">
        <v>10</v>
      </c>
      <c r="C28" s="613" t="n">
        <f aca="false">C15*1000/$A28/42</f>
        <v>81927.7980761446</v>
      </c>
      <c r="D28" s="613" t="n">
        <f aca="false">D15*1000/$A28/42</f>
        <v>6624.71884213</v>
      </c>
      <c r="E28" s="613" t="n">
        <f aca="false">E15*1000/$A28/42</f>
        <v>845.141564128248</v>
      </c>
      <c r="F28" s="613" t="n">
        <f aca="false">F15*1000/$A28/42</f>
        <v>0</v>
      </c>
      <c r="G28" s="613" t="n">
        <f aca="false">C28-D28-E28-F28</f>
        <v>74457.9376698864</v>
      </c>
      <c r="H28" s="612"/>
      <c r="I28" s="613" t="n">
        <f aca="false">I15*1000/$A28/42</f>
        <v>13574.9343015517</v>
      </c>
      <c r="J28" s="613" t="n">
        <f aca="false">J15*1000/$A28/42</f>
        <v>23728.5732465183</v>
      </c>
      <c r="K28" s="613" t="n">
        <f aca="false">K15*1000/$A28/42</f>
        <v>26999.3347164635</v>
      </c>
      <c r="L28" s="613" t="n">
        <f aca="false">L15*1000/$A28/42</f>
        <v>0.128911101849432</v>
      </c>
      <c r="M28" s="613" t="n">
        <f aca="false">SUM(I28:L28)</f>
        <v>64302.9711756353</v>
      </c>
      <c r="N28" s="613" t="n">
        <f aca="false">SUM(I28:K28)</f>
        <v>64302.8422645334</v>
      </c>
      <c r="O28" s="614" t="n">
        <f aca="false">M28/G28</f>
        <v>0.863614722458823</v>
      </c>
      <c r="P28" s="614" t="n">
        <f aca="false">N28/G28</f>
        <v>0.863612991130963</v>
      </c>
      <c r="R28" s="18"/>
      <c r="S28" s="24"/>
    </row>
    <row r="29" customFormat="false" ht="15" hidden="false" customHeight="false" outlineLevel="0" collapsed="false">
      <c r="M29" s="18" t="n">
        <f aca="false">SUM(M22:M28)</f>
        <v>1169621.39146022</v>
      </c>
      <c r="N29" s="18" t="n">
        <f aca="false">SUM(N22:N28)</f>
        <v>1011915.85776212</v>
      </c>
    </row>
    <row r="31" customFormat="false" ht="15" hidden="false" customHeight="false" outlineLevel="0" collapsed="false">
      <c r="G31" s="18" t="e">
        <f aca="false">SUM(G19:G28)</f>
        <v>#REF!</v>
      </c>
      <c r="M31" s="18" t="n">
        <f aca="false">SUM(M19:M28)</f>
        <v>3968877.71772881</v>
      </c>
    </row>
    <row r="32" customFormat="false" ht="15" hidden="false" customHeight="false" outlineLevel="0" collapsed="false">
      <c r="M32" s="18" t="e">
        <f aca="false">M31-G31</f>
        <v>#REF!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G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16" activeCellId="0" sqref="S16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D1" s="0" t="s">
        <v>29</v>
      </c>
      <c r="F1" s="0" t="s">
        <v>29</v>
      </c>
      <c r="G1" s="0" t="s">
        <v>212</v>
      </c>
    </row>
    <row r="2" customFormat="false" ht="15" hidden="false" customHeight="false" outlineLevel="0" collapsed="false">
      <c r="A2" s="0" t="s">
        <v>65</v>
      </c>
      <c r="B2" s="0" t="n">
        <v>75814.416018433</v>
      </c>
      <c r="D2" s="0" t="s">
        <v>30</v>
      </c>
      <c r="E2" s="0" t="n">
        <v>0</v>
      </c>
      <c r="F2" s="0" t="s">
        <v>30</v>
      </c>
      <c r="G2" s="0" t="s">
        <v>213</v>
      </c>
    </row>
    <row r="3" customFormat="false" ht="15" hidden="false" customHeight="false" outlineLevel="0" collapsed="false">
      <c r="A3" s="0" t="s">
        <v>66</v>
      </c>
      <c r="B3" s="0" t="n">
        <v>42213.3711786309</v>
      </c>
      <c r="D3" s="0" t="s">
        <v>31</v>
      </c>
      <c r="E3" s="0" t="n">
        <v>52012.59</v>
      </c>
      <c r="F3" s="0" t="s">
        <v>31</v>
      </c>
      <c r="G3" s="0" t="s">
        <v>214</v>
      </c>
    </row>
    <row r="4" customFormat="false" ht="15" hidden="false" customHeight="false" outlineLevel="0" collapsed="false">
      <c r="A4" s="0" t="s">
        <v>59</v>
      </c>
      <c r="B4" s="0" t="n">
        <v>362552.158785348</v>
      </c>
      <c r="D4" s="0" t="s">
        <v>32</v>
      </c>
      <c r="E4" s="0" t="n">
        <v>0</v>
      </c>
      <c r="F4" s="0" t="s">
        <v>32</v>
      </c>
      <c r="G4" s="0" t="s">
        <v>215</v>
      </c>
    </row>
    <row r="5" customFormat="false" ht="15" hidden="false" customHeight="false" outlineLevel="0" collapsed="false">
      <c r="A5" s="0" t="s">
        <v>76</v>
      </c>
      <c r="B5" s="0" t="n">
        <v>209933.293391299</v>
      </c>
      <c r="D5" s="0" t="s">
        <v>33</v>
      </c>
      <c r="E5" s="0" t="n">
        <v>0</v>
      </c>
      <c r="F5" s="0" t="s">
        <v>33</v>
      </c>
      <c r="G5" s="0" t="s">
        <v>216</v>
      </c>
    </row>
    <row r="6" customFormat="false" ht="15" hidden="false" customHeight="false" outlineLevel="0" collapsed="false">
      <c r="A6" s="0" t="s">
        <v>60</v>
      </c>
      <c r="B6" s="0" t="n">
        <v>188442.777512495</v>
      </c>
      <c r="D6" s="0" t="s">
        <v>34</v>
      </c>
      <c r="E6" s="0" t="n">
        <v>54.3</v>
      </c>
      <c r="F6" s="0" t="s">
        <v>34</v>
      </c>
      <c r="G6" s="0" t="s">
        <v>217</v>
      </c>
    </row>
    <row r="7" customFormat="false" ht="15" hidden="false" customHeight="false" outlineLevel="0" collapsed="false">
      <c r="A7" s="0" t="s">
        <v>63</v>
      </c>
      <c r="B7" s="0" t="n">
        <v>122838.649184566</v>
      </c>
      <c r="D7" s="0" t="s">
        <v>35</v>
      </c>
      <c r="E7" s="0" t="n">
        <v>12413.23</v>
      </c>
      <c r="F7" s="0" t="s">
        <v>35</v>
      </c>
      <c r="G7" s="0" t="s">
        <v>218</v>
      </c>
    </row>
    <row r="8" customFormat="false" ht="15" hidden="false" customHeight="false" outlineLevel="0" collapsed="false">
      <c r="A8" s="0" t="s">
        <v>55</v>
      </c>
      <c r="B8" s="0" t="n">
        <v>8917.50597126421</v>
      </c>
      <c r="D8" s="0" t="s">
        <v>36</v>
      </c>
      <c r="E8" s="0" t="n">
        <v>11530.71</v>
      </c>
      <c r="F8" s="0" t="s">
        <v>36</v>
      </c>
      <c r="G8" s="0" t="s">
        <v>219</v>
      </c>
    </row>
    <row r="9" customFormat="false" ht="15" hidden="false" customHeight="false" outlineLevel="0" collapsed="false">
      <c r="A9" s="0" t="s">
        <v>56</v>
      </c>
      <c r="B9" s="0" t="n">
        <v>314814.069381755</v>
      </c>
      <c r="D9" s="0" t="s">
        <v>37</v>
      </c>
      <c r="E9" s="0" t="n">
        <v>367602.37</v>
      </c>
      <c r="F9" s="0" t="s">
        <v>37</v>
      </c>
      <c r="G9" s="0" t="s">
        <v>220</v>
      </c>
    </row>
    <row r="10" customFormat="false" ht="15" hidden="false" customHeight="false" outlineLevel="0" collapsed="false">
      <c r="B10" s="0" t="n">
        <v>0</v>
      </c>
      <c r="D10" s="0" t="s">
        <v>38</v>
      </c>
      <c r="E10" s="0" t="n">
        <v>382346.48</v>
      </c>
      <c r="F10" s="0" t="s">
        <v>38</v>
      </c>
      <c r="G10" s="0" t="s">
        <v>221</v>
      </c>
    </row>
    <row r="11" customFormat="false" ht="15" hidden="false" customHeight="false" outlineLevel="0" collapsed="false">
      <c r="A11" s="0" t="s">
        <v>61</v>
      </c>
      <c r="B11" s="0" t="n">
        <v>347064.096205123</v>
      </c>
      <c r="D11" s="0" t="s">
        <v>159</v>
      </c>
      <c r="E11" s="0" t="n">
        <v>541462</v>
      </c>
      <c r="F11" s="0" t="s">
        <v>159</v>
      </c>
      <c r="G11" s="0" t="s">
        <v>222</v>
      </c>
    </row>
    <row r="12" customFormat="false" ht="15" hidden="false" customHeight="false" outlineLevel="0" collapsed="false">
      <c r="A12" s="0" t="s">
        <v>62</v>
      </c>
      <c r="B12" s="0" t="n">
        <v>423627.590804432</v>
      </c>
      <c r="D12" s="0" t="s">
        <v>160</v>
      </c>
      <c r="E12" s="0" t="n">
        <v>5251233</v>
      </c>
      <c r="F12" s="0" t="s">
        <v>160</v>
      </c>
      <c r="G12" s="0" t="s">
        <v>223</v>
      </c>
    </row>
    <row r="13" customFormat="false" ht="15" hidden="false" customHeight="false" outlineLevel="0" collapsed="false">
      <c r="A13" s="0" t="s">
        <v>64</v>
      </c>
      <c r="B13" s="0" t="n">
        <v>454176.320157846</v>
      </c>
      <c r="D13" s="0" t="s">
        <v>161</v>
      </c>
      <c r="E13" s="0" t="n">
        <v>1078880</v>
      </c>
      <c r="F13" s="0" t="s">
        <v>161</v>
      </c>
      <c r="G13" s="0" t="s">
        <v>224</v>
      </c>
    </row>
    <row r="14" customFormat="false" ht="15" hidden="false" customHeight="false" outlineLevel="0" collapsed="false">
      <c r="A14" s="0" t="s">
        <v>54</v>
      </c>
      <c r="B14" s="0" t="n">
        <v>690207.338203882</v>
      </c>
      <c r="D14" s="0" t="s">
        <v>162</v>
      </c>
      <c r="E14" s="0" t="n">
        <v>0</v>
      </c>
      <c r="F14" s="0" t="s">
        <v>162</v>
      </c>
      <c r="G14" s="0" t="s">
        <v>225</v>
      </c>
    </row>
    <row r="15" customFormat="false" ht="15" hidden="false" customHeight="false" outlineLevel="0" collapsed="false">
      <c r="A15" s="0" t="s">
        <v>83</v>
      </c>
      <c r="B15" s="0" t="n">
        <v>48384.7589214248</v>
      </c>
      <c r="D15" s="0" t="s">
        <v>39</v>
      </c>
      <c r="E15" s="0" t="n">
        <v>1208635.51</v>
      </c>
      <c r="F15" s="0" t="s">
        <v>39</v>
      </c>
      <c r="G15" s="0" t="s">
        <v>226</v>
      </c>
    </row>
    <row r="16" customFormat="false" ht="15" hidden="false" customHeight="false" outlineLevel="0" collapsed="false">
      <c r="A16" s="0" t="s">
        <v>58</v>
      </c>
      <c r="B16" s="0" t="n">
        <v>356321.462335905</v>
      </c>
      <c r="D16" s="0" t="s">
        <v>40</v>
      </c>
      <c r="E16" s="0" t="n">
        <v>144770.67</v>
      </c>
      <c r="F16" s="0" t="s">
        <v>40</v>
      </c>
      <c r="G16" s="0" t="s">
        <v>227</v>
      </c>
    </row>
    <row r="17" customFormat="false" ht="15" hidden="false" customHeight="false" outlineLevel="0" collapsed="false">
      <c r="A17" s="0" t="s">
        <v>57</v>
      </c>
      <c r="B17" s="0" t="n">
        <v>103947.250208272</v>
      </c>
      <c r="D17" s="0" t="s">
        <v>41</v>
      </c>
      <c r="E17" s="0" t="n">
        <v>165429.9</v>
      </c>
      <c r="F17" s="0" t="s">
        <v>41</v>
      </c>
      <c r="G17" s="0" t="s">
        <v>228</v>
      </c>
    </row>
    <row r="18" customFormat="false" ht="15" hidden="false" customHeight="false" outlineLevel="0" collapsed="false">
      <c r="A18" s="0" t="s">
        <v>29</v>
      </c>
      <c r="B18" s="0" t="n">
        <v>0</v>
      </c>
      <c r="D18" s="0" t="s">
        <v>42</v>
      </c>
      <c r="E18" s="0" t="n">
        <v>0</v>
      </c>
      <c r="F18" s="0" t="s">
        <v>42</v>
      </c>
      <c r="G18" s="0" t="s">
        <v>229</v>
      </c>
    </row>
    <row r="19" customFormat="false" ht="15" hidden="false" customHeight="false" outlineLevel="0" collapsed="false">
      <c r="A19" s="0" t="s">
        <v>30</v>
      </c>
      <c r="B19" s="0" t="n">
        <v>0</v>
      </c>
      <c r="D19" s="0" t="s">
        <v>43</v>
      </c>
      <c r="E19" s="0" t="n">
        <v>216643.7</v>
      </c>
      <c r="F19" s="0" t="s">
        <v>43</v>
      </c>
      <c r="G19" s="0" t="s">
        <v>230</v>
      </c>
    </row>
    <row r="20" customFormat="false" ht="15" hidden="false" customHeight="false" outlineLevel="0" collapsed="false">
      <c r="A20" s="0" t="s">
        <v>31</v>
      </c>
      <c r="B20" s="0" t="n">
        <v>51880.6982964284</v>
      </c>
      <c r="D20" s="0" t="s">
        <v>44</v>
      </c>
      <c r="E20" s="0" t="n">
        <v>0</v>
      </c>
      <c r="F20" s="0" t="s">
        <v>44</v>
      </c>
      <c r="G20" s="0" t="s">
        <v>231</v>
      </c>
    </row>
    <row r="21" customFormat="false" ht="15" hidden="false" customHeight="false" outlineLevel="0" collapsed="false">
      <c r="A21" s="0" t="s">
        <v>32</v>
      </c>
      <c r="B21" s="0" t="n">
        <v>0</v>
      </c>
      <c r="D21" s="0" t="s">
        <v>45</v>
      </c>
      <c r="E21" s="0" t="n">
        <v>0</v>
      </c>
      <c r="F21" s="0" t="s">
        <v>45</v>
      </c>
      <c r="G21" s="0" t="s">
        <v>232</v>
      </c>
    </row>
    <row r="22" customFormat="false" ht="15" hidden="false" customHeight="false" outlineLevel="0" collapsed="false">
      <c r="A22" s="0" t="s">
        <v>33</v>
      </c>
      <c r="B22" s="0" t="n">
        <v>0</v>
      </c>
      <c r="D22" s="0" t="s">
        <v>46</v>
      </c>
      <c r="E22" s="0" t="n">
        <v>40424</v>
      </c>
      <c r="F22" s="0" t="s">
        <v>46</v>
      </c>
      <c r="G22" s="0" t="s">
        <v>233</v>
      </c>
    </row>
    <row r="23" customFormat="false" ht="15" hidden="false" customHeight="false" outlineLevel="0" collapsed="false">
      <c r="A23" s="0" t="s">
        <v>34</v>
      </c>
      <c r="B23" s="0" t="n">
        <v>53.8933271862957</v>
      </c>
      <c r="D23" s="0" t="s">
        <v>47</v>
      </c>
      <c r="E23" s="0" t="n">
        <v>451261.59</v>
      </c>
      <c r="F23" s="0" t="s">
        <v>47</v>
      </c>
      <c r="G23" s="0" t="s">
        <v>234</v>
      </c>
    </row>
    <row r="24" customFormat="false" ht="15" hidden="false" customHeight="false" outlineLevel="0" collapsed="false">
      <c r="A24" s="0" t="s">
        <v>35</v>
      </c>
      <c r="B24" s="0" t="n">
        <v>12396.2548435426</v>
      </c>
      <c r="D24" s="0" t="s">
        <v>48</v>
      </c>
      <c r="E24" s="0" t="n">
        <v>0</v>
      </c>
      <c r="F24" s="0" t="s">
        <v>48</v>
      </c>
      <c r="G24" s="0" t="s">
        <v>235</v>
      </c>
    </row>
    <row r="25" customFormat="false" ht="15" hidden="false" customHeight="false" outlineLevel="0" collapsed="false">
      <c r="A25" s="0" t="s">
        <v>36</v>
      </c>
      <c r="B25" s="0" t="n">
        <v>11503.8062184436</v>
      </c>
      <c r="D25" s="0" t="s">
        <v>49</v>
      </c>
      <c r="E25" s="0" t="n">
        <v>542900.78</v>
      </c>
      <c r="F25" s="0" t="s">
        <v>49</v>
      </c>
      <c r="G25" s="0" t="s">
        <v>236</v>
      </c>
    </row>
    <row r="26" customFormat="false" ht="15" hidden="false" customHeight="false" outlineLevel="0" collapsed="false">
      <c r="A26" s="0" t="s">
        <v>37</v>
      </c>
      <c r="B26" s="0" t="n">
        <v>366350.010105206</v>
      </c>
      <c r="D26" s="0" t="s">
        <v>50</v>
      </c>
      <c r="E26" s="0" t="n">
        <v>193882.34</v>
      </c>
      <c r="F26" s="0" t="s">
        <v>50</v>
      </c>
      <c r="G26" s="0" t="s">
        <v>237</v>
      </c>
    </row>
    <row r="27" customFormat="false" ht="15" hidden="false" customHeight="false" outlineLevel="0" collapsed="false">
      <c r="B27" s="0" t="n">
        <v>0</v>
      </c>
      <c r="D27" s="0" t="s">
        <v>51</v>
      </c>
      <c r="E27" s="0" t="n">
        <v>0</v>
      </c>
      <c r="F27" s="0" t="s">
        <v>51</v>
      </c>
      <c r="G27" s="0" t="s">
        <v>238</v>
      </c>
    </row>
    <row r="28" customFormat="false" ht="15" hidden="false" customHeight="false" outlineLevel="0" collapsed="false">
      <c r="A28" s="0" t="s">
        <v>41</v>
      </c>
      <c r="B28" s="0" t="n">
        <v>165325.538586574</v>
      </c>
      <c r="D28" s="0" t="s">
        <v>52</v>
      </c>
      <c r="E28" s="0" t="n">
        <v>8543.43</v>
      </c>
      <c r="F28" s="0" t="s">
        <v>52</v>
      </c>
      <c r="G28" s="0" t="s">
        <v>239</v>
      </c>
    </row>
    <row r="29" customFormat="false" ht="15" hidden="false" customHeight="false" outlineLevel="0" collapsed="false">
      <c r="A29" s="0" t="s">
        <v>43</v>
      </c>
      <c r="B29" s="0" t="n">
        <v>216478.604809129</v>
      </c>
      <c r="D29" s="0" t="s">
        <v>53</v>
      </c>
      <c r="E29" s="0" t="n">
        <v>30519.16</v>
      </c>
      <c r="F29" s="0" t="s">
        <v>53</v>
      </c>
      <c r="G29" s="0" t="s">
        <v>240</v>
      </c>
    </row>
    <row r="30" customFormat="false" ht="15" hidden="false" customHeight="false" outlineLevel="0" collapsed="false">
      <c r="A30" s="0" t="s">
        <v>47</v>
      </c>
      <c r="B30" s="0" t="n">
        <v>450893.555234895</v>
      </c>
      <c r="D30" s="0" t="s">
        <v>54</v>
      </c>
      <c r="E30" s="0" t="n">
        <v>694275.31</v>
      </c>
      <c r="F30" s="0" t="s">
        <v>54</v>
      </c>
      <c r="G30" s="0" t="s">
        <v>241</v>
      </c>
    </row>
    <row r="31" customFormat="false" ht="15" hidden="false" customHeight="false" outlineLevel="0" collapsed="false">
      <c r="A31" s="0" t="s">
        <v>45</v>
      </c>
      <c r="B31" s="0" t="n">
        <v>0</v>
      </c>
      <c r="D31" s="0" t="s">
        <v>55</v>
      </c>
      <c r="E31" s="0" t="n">
        <v>8969.28</v>
      </c>
      <c r="F31" s="0" t="s">
        <v>55</v>
      </c>
      <c r="G31" s="0" t="s">
        <v>242</v>
      </c>
    </row>
    <row r="32" customFormat="false" ht="15" hidden="false" customHeight="false" outlineLevel="0" collapsed="false">
      <c r="A32" s="0" t="s">
        <v>46</v>
      </c>
      <c r="B32" s="0" t="n">
        <v>40413.354162375</v>
      </c>
      <c r="D32" s="0" t="s">
        <v>56</v>
      </c>
      <c r="E32" s="0" t="n">
        <v>316449.41</v>
      </c>
      <c r="F32" s="0" t="s">
        <v>56</v>
      </c>
      <c r="G32" s="0" t="s">
        <v>243</v>
      </c>
    </row>
    <row r="33" customFormat="false" ht="15" hidden="false" customHeight="false" outlineLevel="0" collapsed="false">
      <c r="A33" s="0" t="s">
        <v>49</v>
      </c>
      <c r="B33" s="0" t="n">
        <v>542524.913108806</v>
      </c>
      <c r="D33" s="0" t="s">
        <v>57</v>
      </c>
      <c r="E33" s="0" t="n">
        <v>104463.19</v>
      </c>
      <c r="F33" s="0" t="s">
        <v>57</v>
      </c>
      <c r="G33" s="0" t="s">
        <v>244</v>
      </c>
    </row>
    <row r="34" customFormat="false" ht="15" hidden="false" customHeight="false" outlineLevel="0" collapsed="false">
      <c r="A34" s="0" t="s">
        <v>69</v>
      </c>
      <c r="B34" s="0" t="n">
        <v>79579.6468567179</v>
      </c>
      <c r="D34" s="0" t="s">
        <v>58</v>
      </c>
      <c r="E34" s="0" t="n">
        <v>357879.94</v>
      </c>
      <c r="F34" s="0" t="s">
        <v>58</v>
      </c>
      <c r="G34" s="0" t="s">
        <v>245</v>
      </c>
    </row>
    <row r="35" customFormat="false" ht="15" hidden="false" customHeight="false" outlineLevel="0" collapsed="false">
      <c r="B35" s="0" t="n">
        <v>0</v>
      </c>
      <c r="D35" s="0" t="s">
        <v>59</v>
      </c>
      <c r="E35" s="0" t="n">
        <v>365450.31</v>
      </c>
      <c r="F35" s="0" t="s">
        <v>59</v>
      </c>
      <c r="G35" s="0" t="s">
        <v>246</v>
      </c>
    </row>
    <row r="36" customFormat="false" ht="15" hidden="false" customHeight="false" outlineLevel="0" collapsed="false">
      <c r="B36" s="0" t="n">
        <v>0</v>
      </c>
      <c r="D36" s="0" t="s">
        <v>60</v>
      </c>
      <c r="E36" s="0" t="n">
        <v>188995.54</v>
      </c>
      <c r="F36" s="0" t="s">
        <v>60</v>
      </c>
      <c r="G36" s="0" t="s">
        <v>247</v>
      </c>
    </row>
    <row r="37" customFormat="false" ht="15" hidden="false" customHeight="false" outlineLevel="0" collapsed="false">
      <c r="B37" s="0" t="n">
        <v>0</v>
      </c>
      <c r="D37" s="0" t="s">
        <v>61</v>
      </c>
      <c r="E37" s="0" t="n">
        <v>349276.18</v>
      </c>
      <c r="F37" s="0" t="s">
        <v>61</v>
      </c>
      <c r="G37" s="0" t="s">
        <v>248</v>
      </c>
    </row>
    <row r="38" customFormat="false" ht="15" hidden="false" customHeight="false" outlineLevel="0" collapsed="false">
      <c r="B38" s="0" t="n">
        <v>0</v>
      </c>
      <c r="D38" s="0" t="s">
        <v>62</v>
      </c>
      <c r="E38" s="0" t="n">
        <v>426323.41</v>
      </c>
      <c r="F38" s="0" t="s">
        <v>62</v>
      </c>
      <c r="G38" s="0" t="s">
        <v>249</v>
      </c>
    </row>
    <row r="39" customFormat="false" ht="15" hidden="false" customHeight="false" outlineLevel="0" collapsed="false">
      <c r="B39" s="0" t="n">
        <v>0</v>
      </c>
      <c r="D39" s="0" t="s">
        <v>63</v>
      </c>
      <c r="E39" s="0" t="n">
        <v>123205.66</v>
      </c>
      <c r="F39" s="0" t="s">
        <v>63</v>
      </c>
      <c r="G39" s="0" t="s">
        <v>250</v>
      </c>
    </row>
    <row r="40" customFormat="false" ht="15" hidden="false" customHeight="false" outlineLevel="0" collapsed="false">
      <c r="B40" s="0" t="n">
        <v>0</v>
      </c>
      <c r="D40" s="0" t="s">
        <v>64</v>
      </c>
      <c r="E40" s="0" t="n">
        <v>456485.24</v>
      </c>
      <c r="F40" s="0" t="s">
        <v>64</v>
      </c>
      <c r="G40" s="0" t="s">
        <v>251</v>
      </c>
    </row>
    <row r="41" customFormat="false" ht="15" hidden="false" customHeight="false" outlineLevel="0" collapsed="false">
      <c r="A41" s="0" t="s">
        <v>52</v>
      </c>
      <c r="B41" s="0" t="n">
        <v>8522.34498874034</v>
      </c>
      <c r="D41" s="0" t="s">
        <v>65</v>
      </c>
      <c r="E41" s="0" t="n">
        <v>76215.96</v>
      </c>
      <c r="F41" s="0" t="s">
        <v>65</v>
      </c>
      <c r="G41" s="0" t="s">
        <v>252</v>
      </c>
    </row>
    <row r="42" customFormat="false" ht="15" hidden="false" customHeight="false" outlineLevel="0" collapsed="false">
      <c r="A42" s="0" t="s">
        <v>53</v>
      </c>
      <c r="B42" s="0" t="n">
        <v>30382.4957287094</v>
      </c>
      <c r="D42" s="0" t="s">
        <v>66</v>
      </c>
      <c r="E42" s="0" t="n">
        <v>42319.82</v>
      </c>
      <c r="F42" s="0" t="s">
        <v>66</v>
      </c>
      <c r="G42" s="0" t="s">
        <v>253</v>
      </c>
    </row>
    <row r="43" customFormat="false" ht="15" hidden="false" customHeight="false" outlineLevel="0" collapsed="false">
      <c r="A43" s="0" t="s">
        <v>70</v>
      </c>
      <c r="B43" s="0" t="n">
        <v>20687.8530151804</v>
      </c>
      <c r="D43" s="0" t="s">
        <v>67</v>
      </c>
      <c r="E43" s="0" t="n">
        <v>0</v>
      </c>
      <c r="F43" s="0" t="s">
        <v>67</v>
      </c>
      <c r="G43" s="0" t="s">
        <v>254</v>
      </c>
    </row>
    <row r="44" customFormat="false" ht="15" hidden="false" customHeight="false" outlineLevel="0" collapsed="false">
      <c r="A44" s="0" t="s">
        <v>71</v>
      </c>
      <c r="B44" s="0" t="n">
        <v>43144.3879034155</v>
      </c>
      <c r="D44" s="0" t="s">
        <v>68</v>
      </c>
      <c r="E44" s="0" t="n">
        <v>371952.35</v>
      </c>
      <c r="F44" s="0" t="s">
        <v>68</v>
      </c>
      <c r="G44" s="0" t="s">
        <v>255</v>
      </c>
    </row>
    <row r="45" customFormat="false" ht="15" hidden="false" customHeight="false" outlineLevel="0" collapsed="false">
      <c r="A45" s="0" t="s">
        <v>78</v>
      </c>
      <c r="B45" s="0" t="n">
        <v>23326.5632007749</v>
      </c>
      <c r="D45" s="0" t="s">
        <v>69</v>
      </c>
      <c r="E45" s="0" t="n">
        <v>79620.38</v>
      </c>
      <c r="F45" s="0" t="s">
        <v>69</v>
      </c>
      <c r="G45" s="0" t="s">
        <v>256</v>
      </c>
    </row>
    <row r="46" customFormat="false" ht="15" hidden="false" customHeight="false" outlineLevel="0" collapsed="false">
      <c r="A46" s="0" t="s">
        <v>77</v>
      </c>
      <c r="B46" s="0" t="n">
        <v>40352.4281572389</v>
      </c>
      <c r="D46" s="0" t="s">
        <v>70</v>
      </c>
      <c r="E46" s="0" t="n">
        <v>20787.13</v>
      </c>
      <c r="F46" s="0" t="s">
        <v>70</v>
      </c>
      <c r="G46" s="0" t="s">
        <v>257</v>
      </c>
    </row>
    <row r="47" customFormat="false" ht="15" hidden="false" customHeight="false" outlineLevel="0" collapsed="false">
      <c r="A47" s="0" t="s">
        <v>79</v>
      </c>
      <c r="B47" s="0" t="n">
        <v>31969.5325136626</v>
      </c>
      <c r="D47" s="0" t="s">
        <v>71</v>
      </c>
      <c r="E47" s="0" t="n">
        <v>43403.28</v>
      </c>
      <c r="F47" s="0" t="s">
        <v>71</v>
      </c>
      <c r="G47" s="0" t="s">
        <v>258</v>
      </c>
    </row>
    <row r="48" customFormat="false" ht="15" hidden="false" customHeight="false" outlineLevel="0" collapsed="false">
      <c r="A48" s="0" t="s">
        <v>80</v>
      </c>
      <c r="B48" s="0" t="n">
        <v>2487.1089347909</v>
      </c>
      <c r="D48" s="0" t="s">
        <v>72</v>
      </c>
      <c r="E48" s="0" t="n">
        <v>231531.71</v>
      </c>
      <c r="F48" s="0" t="s">
        <v>72</v>
      </c>
      <c r="G48" s="0" t="s">
        <v>259</v>
      </c>
    </row>
    <row r="49" customFormat="false" ht="15" hidden="false" customHeight="false" outlineLevel="0" collapsed="false">
      <c r="A49" s="0" t="s">
        <v>81</v>
      </c>
      <c r="B49" s="0" t="n">
        <v>103374.409612959</v>
      </c>
      <c r="D49" s="0" t="s">
        <v>73</v>
      </c>
      <c r="E49" s="0" t="n">
        <v>198550.63</v>
      </c>
      <c r="F49" s="0" t="s">
        <v>73</v>
      </c>
      <c r="G49" s="0" t="s">
        <v>260</v>
      </c>
    </row>
    <row r="50" customFormat="false" ht="15" hidden="false" customHeight="false" outlineLevel="0" collapsed="false">
      <c r="B50" s="0" t="n">
        <v>0</v>
      </c>
      <c r="D50" s="0" t="s">
        <v>74</v>
      </c>
      <c r="E50" s="0" t="n">
        <v>347828.79</v>
      </c>
      <c r="F50" s="0" t="s">
        <v>74</v>
      </c>
      <c r="G50" s="0" t="s">
        <v>261</v>
      </c>
    </row>
    <row r="51" customFormat="false" ht="15" hidden="false" customHeight="false" outlineLevel="0" collapsed="false">
      <c r="B51" s="0" t="n">
        <v>0</v>
      </c>
      <c r="D51" s="0" t="s">
        <v>75</v>
      </c>
      <c r="E51" s="0" t="n">
        <v>0</v>
      </c>
      <c r="F51" s="0" t="s">
        <v>75</v>
      </c>
      <c r="G51" s="0" t="s">
        <v>262</v>
      </c>
    </row>
    <row r="52" customFormat="false" ht="15" hidden="false" customHeight="false" outlineLevel="0" collapsed="false">
      <c r="B52" s="0" t="n">
        <v>0</v>
      </c>
      <c r="D52" s="0" t="s">
        <v>76</v>
      </c>
      <c r="E52" s="0" t="n">
        <v>210670.97</v>
      </c>
      <c r="F52" s="0" t="s">
        <v>76</v>
      </c>
      <c r="G52" s="0" t="s">
        <v>263</v>
      </c>
    </row>
    <row r="53" customFormat="false" ht="15" hidden="false" customHeight="false" outlineLevel="0" collapsed="false">
      <c r="B53" s="0" t="n">
        <v>0</v>
      </c>
      <c r="D53" s="0" t="s">
        <v>77</v>
      </c>
      <c r="E53" s="0" t="n">
        <v>40517.95</v>
      </c>
      <c r="F53" s="0" t="s">
        <v>77</v>
      </c>
      <c r="G53" s="0" t="s">
        <v>264</v>
      </c>
    </row>
    <row r="54" customFormat="false" ht="15" hidden="false" customHeight="false" outlineLevel="0" collapsed="false">
      <c r="A54" s="0" t="s">
        <v>72</v>
      </c>
      <c r="B54" s="0" t="n">
        <v>231361.653126217</v>
      </c>
      <c r="D54" s="0" t="s">
        <v>78</v>
      </c>
      <c r="E54" s="0" t="n">
        <v>23425.81</v>
      </c>
      <c r="F54" s="0" t="s">
        <v>78</v>
      </c>
      <c r="G54" s="0" t="s">
        <v>265</v>
      </c>
    </row>
    <row r="55" customFormat="false" ht="15" hidden="false" customHeight="false" outlineLevel="0" collapsed="false">
      <c r="A55" s="0" t="s">
        <v>50</v>
      </c>
      <c r="B55" s="0" t="n">
        <v>193806.585474411</v>
      </c>
      <c r="D55" s="0" t="s">
        <v>79</v>
      </c>
      <c r="E55" s="0" t="n">
        <v>32102.35</v>
      </c>
      <c r="F55" s="0" t="s">
        <v>79</v>
      </c>
      <c r="G55" s="0" t="s">
        <v>266</v>
      </c>
    </row>
    <row r="56" customFormat="false" ht="15" hidden="false" customHeight="false" outlineLevel="0" collapsed="false">
      <c r="A56" s="0" t="s">
        <v>39</v>
      </c>
      <c r="B56" s="0" t="n">
        <v>1207951.06859504</v>
      </c>
      <c r="D56" s="0" t="s">
        <v>80</v>
      </c>
      <c r="E56" s="0" t="n">
        <v>2495.65</v>
      </c>
      <c r="F56" s="0" t="s">
        <v>80</v>
      </c>
      <c r="G56" s="0" t="s">
        <v>267</v>
      </c>
    </row>
    <row r="57" customFormat="false" ht="15" hidden="false" customHeight="false" outlineLevel="0" collapsed="false">
      <c r="A57" s="0" t="s">
        <v>40</v>
      </c>
      <c r="B57" s="0" t="n">
        <v>144730.122994794</v>
      </c>
      <c r="D57" s="0" t="s">
        <v>81</v>
      </c>
      <c r="E57" s="0" t="n">
        <v>103839.87</v>
      </c>
      <c r="F57" s="0" t="s">
        <v>81</v>
      </c>
      <c r="G57" s="0" t="s">
        <v>268</v>
      </c>
    </row>
    <row r="58" customFormat="false" ht="15" hidden="false" customHeight="false" outlineLevel="0" collapsed="false">
      <c r="A58" s="0" t="s">
        <v>67</v>
      </c>
      <c r="B58" s="0" t="n">
        <v>0</v>
      </c>
      <c r="D58" s="0" t="s">
        <v>82</v>
      </c>
      <c r="E58" s="0" t="n">
        <v>218897.16</v>
      </c>
      <c r="F58" s="0" t="s">
        <v>82</v>
      </c>
      <c r="G58" s="0" t="s">
        <v>269</v>
      </c>
    </row>
    <row r="59" customFormat="false" ht="15" hidden="false" customHeight="false" outlineLevel="0" collapsed="false">
      <c r="A59" s="0" t="s">
        <v>68</v>
      </c>
      <c r="B59" s="0" t="n">
        <v>371804.658610562</v>
      </c>
      <c r="D59" s="0" t="s">
        <v>83</v>
      </c>
      <c r="E59" s="0" t="n">
        <v>48587.15</v>
      </c>
      <c r="F59" s="0" t="s">
        <v>83</v>
      </c>
      <c r="G59" s="0" t="s">
        <v>270</v>
      </c>
    </row>
    <row r="60" customFormat="false" ht="15" hidden="false" customHeight="false" outlineLevel="0" collapsed="false">
      <c r="A60" s="0" t="s">
        <v>73</v>
      </c>
      <c r="B60" s="0" t="n">
        <v>198406.209451266</v>
      </c>
      <c r="D60" s="0" t="s">
        <v>84</v>
      </c>
      <c r="E60" s="0" t="n">
        <v>149058.94</v>
      </c>
      <c r="F60" s="0" t="s">
        <v>84</v>
      </c>
      <c r="G60" s="0" t="s">
        <v>271</v>
      </c>
    </row>
    <row r="61" customFormat="false" ht="15" hidden="false" customHeight="false" outlineLevel="0" collapsed="false">
      <c r="A61" s="0" t="s">
        <v>74</v>
      </c>
      <c r="B61" s="0" t="n">
        <v>347513.600227002</v>
      </c>
      <c r="D61" s="0" t="s">
        <v>85</v>
      </c>
      <c r="E61" s="0" t="n">
        <v>442784</v>
      </c>
      <c r="F61" s="0" t="s">
        <v>85</v>
      </c>
      <c r="G61" s="0" t="s">
        <v>272</v>
      </c>
    </row>
    <row r="62" customFormat="false" ht="15" hidden="false" customHeight="false" outlineLevel="0" collapsed="false">
      <c r="A62" s="0" t="s">
        <v>82</v>
      </c>
      <c r="B62" s="0" t="n">
        <v>216382.45537582</v>
      </c>
      <c r="D62" s="0" t="s">
        <v>94</v>
      </c>
      <c r="E62" s="0" t="n">
        <v>0</v>
      </c>
      <c r="F62" s="0" t="s">
        <v>94</v>
      </c>
      <c r="G62" s="0" t="s">
        <v>275</v>
      </c>
    </row>
    <row r="63" customFormat="false" ht="15" hidden="false" customHeight="false" outlineLevel="0" collapsed="false">
      <c r="A63" s="0" t="s">
        <v>84</v>
      </c>
      <c r="B63" s="0" t="n">
        <v>147843.755682245</v>
      </c>
      <c r="D63" s="0" t="s">
        <v>95</v>
      </c>
      <c r="E63" s="0" t="n">
        <v>156066.97</v>
      </c>
      <c r="F63" s="0" t="s">
        <v>95</v>
      </c>
      <c r="G63" s="0" t="s">
        <v>276</v>
      </c>
    </row>
    <row r="64" customFormat="false" ht="15" hidden="false" customHeight="false" outlineLevel="0" collapsed="false">
      <c r="A64" s="0" t="s">
        <v>85</v>
      </c>
      <c r="B64" s="0" t="n">
        <v>437920.050153021</v>
      </c>
      <c r="D64" s="0" t="s">
        <v>277</v>
      </c>
      <c r="E64" s="0" t="n">
        <v>0</v>
      </c>
      <c r="F64" s="0" t="s">
        <v>277</v>
      </c>
      <c r="G64" s="0" t="s">
        <v>278</v>
      </c>
    </row>
    <row r="65" customFormat="false" ht="15" hidden="false" customHeight="false" outlineLevel="0" collapsed="false">
      <c r="A65" s="0" t="s">
        <v>38</v>
      </c>
      <c r="B65" s="0" t="n">
        <v>380110.072765324</v>
      </c>
      <c r="D65" s="0" t="s">
        <v>279</v>
      </c>
      <c r="E65" s="0" t="n">
        <v>0</v>
      </c>
      <c r="F65" s="0" t="s">
        <v>279</v>
      </c>
      <c r="G65" s="0" t="s">
        <v>280</v>
      </c>
    </row>
    <row r="66" customFormat="false" ht="15" hidden="false" customHeight="false" outlineLevel="0" collapsed="false">
      <c r="D66" s="0" t="s">
        <v>96</v>
      </c>
      <c r="E66" s="0" t="n">
        <v>0</v>
      </c>
      <c r="F66" s="0" t="s">
        <v>96</v>
      </c>
      <c r="G66" s="0" t="s">
        <v>281</v>
      </c>
    </row>
    <row r="67" customFormat="false" ht="15" hidden="false" customHeight="false" outlineLevel="0" collapsed="false">
      <c r="D67" s="0" t="s">
        <v>97</v>
      </c>
      <c r="E67" s="0" t="n">
        <v>0</v>
      </c>
      <c r="F67" s="0" t="s">
        <v>97</v>
      </c>
      <c r="G67" s="0" t="s">
        <v>282</v>
      </c>
    </row>
    <row r="68" customFormat="false" ht="15" hidden="false" customHeight="false" outlineLevel="0" collapsed="false">
      <c r="D68" s="0" t="s">
        <v>101</v>
      </c>
      <c r="E68" s="0" t="n">
        <v>1698.21</v>
      </c>
      <c r="F68" s="0" t="s">
        <v>101</v>
      </c>
      <c r="G68" s="0" t="s">
        <v>283</v>
      </c>
    </row>
    <row r="69" customFormat="false" ht="15" hidden="false" customHeight="false" outlineLevel="0" collapsed="false">
      <c r="D69" s="0" t="s">
        <v>99</v>
      </c>
      <c r="E69" s="0" t="n">
        <v>0</v>
      </c>
      <c r="F69" s="0" t="s">
        <v>99</v>
      </c>
      <c r="G69" s="0" t="s">
        <v>284</v>
      </c>
    </row>
    <row r="70" customFormat="false" ht="15" hidden="false" customHeight="false" outlineLevel="0" collapsed="false">
      <c r="D70" s="0" t="s">
        <v>88</v>
      </c>
      <c r="E70" s="0" t="n">
        <v>227172.63</v>
      </c>
      <c r="F70" s="0" t="s">
        <v>88</v>
      </c>
      <c r="G70" s="0" t="s">
        <v>285</v>
      </c>
    </row>
    <row r="71" customFormat="false" ht="15" hidden="false" customHeight="false" outlineLevel="0" collapsed="false">
      <c r="D71" s="0" t="s">
        <v>286</v>
      </c>
      <c r="E71" s="0" t="n">
        <v>0</v>
      </c>
      <c r="F71" s="0" t="s">
        <v>286</v>
      </c>
      <c r="G71" s="0" t="s">
        <v>287</v>
      </c>
    </row>
    <row r="72" customFormat="false" ht="15" hidden="false" customHeight="false" outlineLevel="0" collapsed="false">
      <c r="D72" s="0" t="s">
        <v>98</v>
      </c>
      <c r="E72" s="0" t="n">
        <v>0</v>
      </c>
      <c r="F72" s="0" t="s">
        <v>98</v>
      </c>
      <c r="G72" s="0" t="s">
        <v>288</v>
      </c>
    </row>
    <row r="73" customFormat="false" ht="15" hidden="false" customHeight="false" outlineLevel="0" collapsed="false">
      <c r="D73" s="0" t="s">
        <v>89</v>
      </c>
      <c r="E73" s="0" t="n">
        <v>65905.07</v>
      </c>
      <c r="F73" s="0" t="s">
        <v>89</v>
      </c>
      <c r="G73" s="0" t="s">
        <v>289</v>
      </c>
    </row>
    <row r="74" customFormat="false" ht="15" hidden="false" customHeight="false" outlineLevel="0" collapsed="false">
      <c r="D74" s="0" t="s">
        <v>90</v>
      </c>
      <c r="E74" s="0" t="n">
        <v>152953.87</v>
      </c>
      <c r="F74" s="0" t="s">
        <v>90</v>
      </c>
      <c r="G74" s="0" t="s">
        <v>290</v>
      </c>
    </row>
    <row r="75" customFormat="false" ht="15" hidden="false" customHeight="false" outlineLevel="0" collapsed="false">
      <c r="D75" s="0" t="s">
        <v>91</v>
      </c>
      <c r="E75" s="0" t="n">
        <v>131832.17</v>
      </c>
      <c r="F75" s="0" t="s">
        <v>91</v>
      </c>
      <c r="G75" s="0" t="s">
        <v>291</v>
      </c>
    </row>
    <row r="76" customFormat="false" ht="15" hidden="false" customHeight="false" outlineLevel="0" collapsed="false">
      <c r="D76" s="0" t="s">
        <v>92</v>
      </c>
      <c r="E76" s="0" t="n">
        <v>99349.58</v>
      </c>
      <c r="F76" s="0" t="s">
        <v>92</v>
      </c>
      <c r="G76" s="0" t="s">
        <v>292</v>
      </c>
    </row>
    <row r="77" customFormat="false" ht="15" hidden="false" customHeight="false" outlineLevel="0" collapsed="false">
      <c r="D77" s="0" t="s">
        <v>93</v>
      </c>
      <c r="E77" s="0" t="n">
        <v>0</v>
      </c>
      <c r="F77" s="0" t="s">
        <v>93</v>
      </c>
      <c r="G77" s="0" t="s">
        <v>293</v>
      </c>
    </row>
    <row r="78" customFormat="false" ht="15" hidden="false" customHeight="false" outlineLevel="0" collapsed="false">
      <c r="D78" s="0" t="s">
        <v>100</v>
      </c>
      <c r="E78" s="0" t="n">
        <v>0</v>
      </c>
      <c r="F78" s="0" t="s">
        <v>100</v>
      </c>
      <c r="G78" s="0" t="s">
        <v>294</v>
      </c>
    </row>
    <row r="79" customFormat="false" ht="15" hidden="false" customHeight="false" outlineLevel="0" collapsed="false">
      <c r="D79" s="0" t="s">
        <v>163</v>
      </c>
      <c r="E79" s="0" t="n">
        <v>0</v>
      </c>
      <c r="F79" s="0" t="s">
        <v>163</v>
      </c>
      <c r="G79" s="0" t="s">
        <v>295</v>
      </c>
    </row>
    <row r="80" customFormat="false" ht="15" hidden="false" customHeight="false" outlineLevel="0" collapsed="false">
      <c r="D80" s="0" t="s">
        <v>134</v>
      </c>
      <c r="E80" s="0" t="n">
        <v>10709.71</v>
      </c>
      <c r="F80" s="0" t="s">
        <v>134</v>
      </c>
      <c r="G80" s="0" t="s">
        <v>296</v>
      </c>
    </row>
    <row r="81" customFormat="false" ht="15" hidden="false" customHeight="false" outlineLevel="0" collapsed="false">
      <c r="D81" s="0" t="s">
        <v>118</v>
      </c>
      <c r="E81" s="0" t="n">
        <v>12023.17</v>
      </c>
      <c r="F81" s="0" t="s">
        <v>118</v>
      </c>
      <c r="G81" s="0" t="s">
        <v>297</v>
      </c>
    </row>
    <row r="82" customFormat="false" ht="15" hidden="false" customHeight="false" outlineLevel="0" collapsed="false">
      <c r="D82" s="0" t="s">
        <v>135</v>
      </c>
      <c r="E82" s="0" t="n">
        <v>130021.4</v>
      </c>
      <c r="F82" s="0" t="s">
        <v>135</v>
      </c>
      <c r="G82" s="0" t="s">
        <v>298</v>
      </c>
    </row>
    <row r="83" customFormat="false" ht="15" hidden="false" customHeight="false" outlineLevel="0" collapsed="false">
      <c r="D83" s="0" t="s">
        <v>136</v>
      </c>
      <c r="E83" s="0" t="n">
        <v>63952.71</v>
      </c>
      <c r="F83" s="0" t="s">
        <v>136</v>
      </c>
      <c r="G83" s="0" t="s">
        <v>299</v>
      </c>
    </row>
    <row r="84" customFormat="false" ht="15" hidden="false" customHeight="false" outlineLevel="0" collapsed="false">
      <c r="D84" s="0" t="s">
        <v>129</v>
      </c>
      <c r="E84" s="0" t="n">
        <v>19093.53</v>
      </c>
      <c r="F84" s="0" t="s">
        <v>129</v>
      </c>
      <c r="G84" s="0" t="s">
        <v>300</v>
      </c>
    </row>
    <row r="85" customFormat="false" ht="15" hidden="false" customHeight="false" outlineLevel="0" collapsed="false">
      <c r="D85" s="0" t="s">
        <v>119</v>
      </c>
      <c r="E85" s="0" t="n">
        <v>16829.03</v>
      </c>
      <c r="F85" s="0" t="s">
        <v>119</v>
      </c>
      <c r="G85" s="0" t="s">
        <v>301</v>
      </c>
    </row>
    <row r="86" customFormat="false" ht="15" hidden="false" customHeight="false" outlineLevel="0" collapsed="false">
      <c r="D86" s="0" t="s">
        <v>120</v>
      </c>
      <c r="E86" s="0" t="n">
        <v>0</v>
      </c>
      <c r="F86" s="0" t="s">
        <v>120</v>
      </c>
      <c r="G86" s="0" t="s">
        <v>302</v>
      </c>
    </row>
    <row r="87" customFormat="false" ht="15" hidden="false" customHeight="false" outlineLevel="0" collapsed="false">
      <c r="D87" s="0" t="s">
        <v>121</v>
      </c>
      <c r="E87" s="0" t="n">
        <v>2962.46</v>
      </c>
      <c r="F87" s="0" t="s">
        <v>121</v>
      </c>
      <c r="G87" s="0" t="s">
        <v>303</v>
      </c>
    </row>
    <row r="88" customFormat="false" ht="15" hidden="false" customHeight="false" outlineLevel="0" collapsed="false">
      <c r="D88" s="0" t="s">
        <v>122</v>
      </c>
      <c r="E88" s="0" t="n">
        <v>20425.02</v>
      </c>
      <c r="F88" s="0" t="s">
        <v>122</v>
      </c>
      <c r="G88" s="0" t="s">
        <v>304</v>
      </c>
    </row>
    <row r="89" customFormat="false" ht="15" hidden="false" customHeight="false" outlineLevel="0" collapsed="false">
      <c r="D89" s="0" t="s">
        <v>123</v>
      </c>
      <c r="E89" s="0" t="n">
        <v>22087.73</v>
      </c>
      <c r="F89" s="0" t="s">
        <v>123</v>
      </c>
      <c r="G89" s="0" t="s">
        <v>305</v>
      </c>
    </row>
    <row r="90" customFormat="false" ht="15" hidden="false" customHeight="false" outlineLevel="0" collapsed="false">
      <c r="D90" s="0" t="s">
        <v>124</v>
      </c>
      <c r="E90" s="0" t="n">
        <v>20172.71</v>
      </c>
      <c r="F90" s="0" t="s">
        <v>124</v>
      </c>
      <c r="G90" s="0" t="s">
        <v>306</v>
      </c>
    </row>
    <row r="91" customFormat="false" ht="15" hidden="false" customHeight="false" outlineLevel="0" collapsed="false">
      <c r="D91" s="0" t="s">
        <v>125</v>
      </c>
      <c r="E91" s="0" t="n">
        <v>0</v>
      </c>
      <c r="F91" s="0" t="s">
        <v>125</v>
      </c>
      <c r="G91" s="0" t="s">
        <v>307</v>
      </c>
    </row>
    <row r="92" customFormat="false" ht="15" hidden="false" customHeight="false" outlineLevel="0" collapsed="false">
      <c r="D92" s="0" t="s">
        <v>126</v>
      </c>
      <c r="E92" s="0" t="n">
        <v>3112.82</v>
      </c>
      <c r="F92" s="0" t="s">
        <v>126</v>
      </c>
      <c r="G92" s="0" t="s">
        <v>308</v>
      </c>
    </row>
    <row r="93" customFormat="false" ht="15" hidden="false" customHeight="false" outlineLevel="0" collapsed="false">
      <c r="D93" s="0" t="s">
        <v>127</v>
      </c>
      <c r="E93" s="0" t="n">
        <v>21601.53</v>
      </c>
      <c r="F93" s="0" t="s">
        <v>127</v>
      </c>
      <c r="G93" s="0" t="s">
        <v>309</v>
      </c>
    </row>
    <row r="94" customFormat="false" ht="15" hidden="false" customHeight="false" outlineLevel="0" collapsed="false">
      <c r="D94" s="0" t="s">
        <v>117</v>
      </c>
      <c r="E94" s="0" t="n">
        <v>16027.57</v>
      </c>
      <c r="F94" s="0" t="s">
        <v>117</v>
      </c>
      <c r="G94" s="0" t="s">
        <v>310</v>
      </c>
    </row>
    <row r="95" customFormat="false" ht="15" hidden="false" customHeight="false" outlineLevel="0" collapsed="false">
      <c r="D95" s="0" t="s">
        <v>130</v>
      </c>
      <c r="E95" s="0" t="n">
        <v>25774.75</v>
      </c>
      <c r="F95" s="0" t="s">
        <v>130</v>
      </c>
      <c r="G95" s="0" t="s">
        <v>311</v>
      </c>
    </row>
    <row r="96" customFormat="false" ht="15" hidden="false" customHeight="false" outlineLevel="0" collapsed="false">
      <c r="D96" s="0" t="s">
        <v>138</v>
      </c>
      <c r="E96" s="0" t="n">
        <v>0</v>
      </c>
      <c r="F96" s="0" t="s">
        <v>138</v>
      </c>
      <c r="G96" s="0" t="s">
        <v>312</v>
      </c>
    </row>
    <row r="97" customFormat="false" ht="15" hidden="false" customHeight="false" outlineLevel="0" collapsed="false">
      <c r="D97" s="0" t="s">
        <v>132</v>
      </c>
      <c r="E97" s="0" t="n">
        <v>13114.81</v>
      </c>
      <c r="F97" s="0" t="s">
        <v>132</v>
      </c>
      <c r="G97" s="0" t="s">
        <v>313</v>
      </c>
    </row>
    <row r="98" customFormat="false" ht="15" hidden="false" customHeight="false" outlineLevel="0" collapsed="false">
      <c r="D98" s="0" t="s">
        <v>133</v>
      </c>
      <c r="E98" s="0" t="n">
        <v>9945.4</v>
      </c>
      <c r="F98" s="0" t="s">
        <v>133</v>
      </c>
      <c r="G98" s="0" t="s">
        <v>314</v>
      </c>
    </row>
    <row r="99" customFormat="false" ht="15" hidden="false" customHeight="false" outlineLevel="0" collapsed="false">
      <c r="D99" s="0" t="s">
        <v>128</v>
      </c>
      <c r="E99" s="0" t="n">
        <v>3499.76</v>
      </c>
      <c r="F99" s="0" t="s">
        <v>128</v>
      </c>
      <c r="G99" s="0" t="s">
        <v>315</v>
      </c>
    </row>
    <row r="100" customFormat="false" ht="15" hidden="false" customHeight="false" outlineLevel="0" collapsed="false">
      <c r="D100" s="0" t="s">
        <v>316</v>
      </c>
      <c r="E100" s="0" t="n">
        <v>443625.03</v>
      </c>
      <c r="F100" s="0" t="s">
        <v>316</v>
      </c>
      <c r="G100" s="0" t="s">
        <v>317</v>
      </c>
    </row>
    <row r="101" customFormat="false" ht="15" hidden="false" customHeight="false" outlineLevel="0" collapsed="false">
      <c r="D101" s="0" t="s">
        <v>318</v>
      </c>
      <c r="E101" s="0" t="n">
        <v>4525521.03</v>
      </c>
      <c r="F101" s="0" t="s">
        <v>318</v>
      </c>
      <c r="G101" s="0" t="s">
        <v>319</v>
      </c>
    </row>
    <row r="102" customFormat="false" ht="15" hidden="false" customHeight="false" outlineLevel="0" collapsed="false">
      <c r="D102" s="0" t="s">
        <v>320</v>
      </c>
      <c r="E102" s="0" t="n">
        <v>4238599.58</v>
      </c>
      <c r="F102" s="0" t="s">
        <v>320</v>
      </c>
      <c r="G102" s="0" t="s">
        <v>321</v>
      </c>
    </row>
    <row r="103" customFormat="false" ht="15" hidden="false" customHeight="false" outlineLevel="0" collapsed="false">
      <c r="D103" s="0" t="s">
        <v>322</v>
      </c>
      <c r="E103" s="0" t="n">
        <v>0</v>
      </c>
      <c r="F103" s="0" t="s">
        <v>322</v>
      </c>
      <c r="G103" s="0" t="s">
        <v>323</v>
      </c>
    </row>
    <row r="104" customFormat="false" ht="15" hidden="false" customHeight="false" outlineLevel="0" collapsed="false">
      <c r="D104" s="0" t="s">
        <v>324</v>
      </c>
      <c r="E104" s="0" t="n">
        <v>120746.04</v>
      </c>
      <c r="F104" s="0" t="s">
        <v>324</v>
      </c>
      <c r="G104" s="0" t="s">
        <v>325</v>
      </c>
    </row>
    <row r="105" customFormat="false" ht="15" hidden="false" customHeight="false" outlineLevel="0" collapsed="false">
      <c r="D105" s="0" t="s">
        <v>326</v>
      </c>
      <c r="E105" s="0" t="n">
        <v>110369.89</v>
      </c>
      <c r="F105" s="0" t="s">
        <v>326</v>
      </c>
      <c r="G105" s="0" t="s">
        <v>327</v>
      </c>
    </row>
    <row r="106" customFormat="false" ht="15" hidden="false" customHeight="false" outlineLevel="0" collapsed="false">
      <c r="D106" s="0" t="s">
        <v>328</v>
      </c>
      <c r="E106" s="0" t="n">
        <v>649361.39</v>
      </c>
      <c r="F106" s="0" t="s">
        <v>328</v>
      </c>
      <c r="G106" s="0" t="s">
        <v>329</v>
      </c>
    </row>
    <row r="107" customFormat="false" ht="15" hidden="false" customHeight="false" outlineLevel="0" collapsed="false">
      <c r="D107" s="0" t="s">
        <v>330</v>
      </c>
      <c r="E107" s="0" t="n">
        <v>0</v>
      </c>
      <c r="F107" s="0" t="s">
        <v>330</v>
      </c>
      <c r="G107" s="0" t="s">
        <v>331</v>
      </c>
    </row>
    <row r="108" customFormat="false" ht="15" hidden="false" customHeight="false" outlineLevel="0" collapsed="false">
      <c r="D108" s="0" t="s">
        <v>332</v>
      </c>
      <c r="E108" s="0" t="n">
        <v>482337.17</v>
      </c>
      <c r="F108" s="0" t="s">
        <v>332</v>
      </c>
      <c r="G108" s="0" t="s">
        <v>333</v>
      </c>
    </row>
    <row r="109" customFormat="false" ht="15" hidden="false" customHeight="false" outlineLevel="0" collapsed="false">
      <c r="D109" s="0" t="s">
        <v>334</v>
      </c>
      <c r="E109" s="0" t="n">
        <v>734568.74</v>
      </c>
      <c r="F109" s="0" t="s">
        <v>334</v>
      </c>
      <c r="G109" s="0" t="s">
        <v>335</v>
      </c>
    </row>
    <row r="110" customFormat="false" ht="15" hidden="false" customHeight="false" outlineLevel="0" collapsed="false">
      <c r="D110" s="0" t="s">
        <v>336</v>
      </c>
      <c r="E110" s="0" t="n">
        <v>57370.52</v>
      </c>
      <c r="F110" s="0" t="s">
        <v>336</v>
      </c>
      <c r="G110" s="0" t="s">
        <v>337</v>
      </c>
    </row>
    <row r="111" customFormat="false" ht="15" hidden="false" customHeight="false" outlineLevel="0" collapsed="false">
      <c r="D111" s="0" t="s">
        <v>338</v>
      </c>
      <c r="E111" s="0" t="n">
        <v>526734.88</v>
      </c>
      <c r="F111" s="0" t="s">
        <v>338</v>
      </c>
      <c r="G111" s="0" t="s">
        <v>339</v>
      </c>
    </row>
    <row r="112" customFormat="false" ht="15" hidden="false" customHeight="false" outlineLevel="0" collapsed="false">
      <c r="D112" s="0" t="s">
        <v>180</v>
      </c>
      <c r="E112" s="0" t="n">
        <v>3563952.98</v>
      </c>
      <c r="F112" s="0" t="s">
        <v>180</v>
      </c>
      <c r="G112" s="0" t="s">
        <v>340</v>
      </c>
    </row>
    <row r="113" customFormat="false" ht="15" hidden="false" customHeight="false" outlineLevel="0" collapsed="false">
      <c r="D113" s="0" t="s">
        <v>341</v>
      </c>
      <c r="E113" s="0" t="n">
        <v>484083.89</v>
      </c>
      <c r="F113" s="0" t="s">
        <v>341</v>
      </c>
      <c r="G113" s="0" t="s">
        <v>342</v>
      </c>
    </row>
    <row r="114" customFormat="false" ht="15" hidden="false" customHeight="false" outlineLevel="0" collapsed="false">
      <c r="D114" s="0" t="s">
        <v>343</v>
      </c>
      <c r="E114" s="0" t="n">
        <v>422893.28</v>
      </c>
      <c r="F114" s="0" t="s">
        <v>343</v>
      </c>
      <c r="G114" s="0" t="s">
        <v>344</v>
      </c>
    </row>
    <row r="115" customFormat="false" ht="15" hidden="false" customHeight="false" outlineLevel="0" collapsed="false">
      <c r="D115" s="0" t="s">
        <v>345</v>
      </c>
      <c r="E115" s="0" t="n">
        <v>894849.5</v>
      </c>
      <c r="F115" s="0" t="s">
        <v>345</v>
      </c>
      <c r="G115" s="0" t="s">
        <v>346</v>
      </c>
    </row>
    <row r="116" customFormat="false" ht="15" hidden="false" customHeight="false" outlineLevel="0" collapsed="false">
      <c r="D116" s="0" t="s">
        <v>347</v>
      </c>
      <c r="E116" s="0" t="n">
        <v>34736.03</v>
      </c>
      <c r="F116" s="0" t="s">
        <v>347</v>
      </c>
      <c r="G116" s="0" t="s">
        <v>348</v>
      </c>
    </row>
    <row r="117" customFormat="false" ht="15" hidden="false" customHeight="false" outlineLevel="0" collapsed="false">
      <c r="D117" s="0" t="s">
        <v>181</v>
      </c>
      <c r="E117" s="0" t="n">
        <v>3376918.78</v>
      </c>
      <c r="F117" s="0" t="s">
        <v>181</v>
      </c>
      <c r="G117" s="0" t="s">
        <v>349</v>
      </c>
    </row>
    <row r="118" customFormat="false" ht="15" hidden="false" customHeight="false" outlineLevel="0" collapsed="false">
      <c r="D118" s="0" t="s">
        <v>350</v>
      </c>
      <c r="E118" s="0" t="n">
        <v>332860.93</v>
      </c>
      <c r="F118" s="0" t="s">
        <v>350</v>
      </c>
      <c r="G118" s="0" t="s">
        <v>351</v>
      </c>
    </row>
    <row r="119" customFormat="false" ht="15" hidden="false" customHeight="false" outlineLevel="0" collapsed="false">
      <c r="D119" s="0" t="s">
        <v>352</v>
      </c>
      <c r="E119" s="0" t="n">
        <v>-227742</v>
      </c>
      <c r="F119" s="0" t="s">
        <v>352</v>
      </c>
      <c r="G119" s="0" t="s">
        <v>353</v>
      </c>
    </row>
    <row r="120" customFormat="false" ht="15" hidden="false" customHeight="false" outlineLevel="0" collapsed="false">
      <c r="D120" s="0" t="s">
        <v>354</v>
      </c>
      <c r="E120" s="0" t="n">
        <v>13115</v>
      </c>
      <c r="F120" s="0" t="s">
        <v>354</v>
      </c>
      <c r="G120" s="0" t="s">
        <v>355</v>
      </c>
    </row>
    <row r="121" customFormat="false" ht="15" hidden="false" customHeight="false" outlineLevel="0" collapsed="false">
      <c r="D121" s="0" t="s">
        <v>356</v>
      </c>
      <c r="E121" s="0" t="n">
        <v>214627</v>
      </c>
      <c r="F121" s="0" t="s">
        <v>356</v>
      </c>
      <c r="G121" s="0" t="s">
        <v>357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82" activeCellId="0" sqref="J8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4.28"/>
    <col collapsed="false" customWidth="true" hidden="false" outlineLevel="0" max="2" min="2" style="0" width="39.57"/>
  </cols>
  <sheetData>
    <row r="1" customFormat="false" ht="15" hidden="false" customHeight="false" outlineLevel="0" collapsed="false">
      <c r="A1" s="0" t="s">
        <v>410</v>
      </c>
      <c r="B1" s="0" t="s">
        <v>411</v>
      </c>
      <c r="C1" s="0" t="s">
        <v>412</v>
      </c>
      <c r="D1" s="0" t="s">
        <v>413</v>
      </c>
      <c r="E1" s="0" t="s">
        <v>1</v>
      </c>
      <c r="F1" s="0" t="s">
        <v>2</v>
      </c>
      <c r="G1" s="0" t="s">
        <v>3</v>
      </c>
      <c r="H1" s="0" t="s">
        <v>4</v>
      </c>
      <c r="I1" s="0" t="s">
        <v>5</v>
      </c>
      <c r="J1" s="0" t="s">
        <v>6</v>
      </c>
      <c r="K1" s="0" t="s">
        <v>7</v>
      </c>
      <c r="L1" s="0" t="s">
        <v>8</v>
      </c>
      <c r="M1" s="0" t="s">
        <v>9</v>
      </c>
      <c r="N1" s="0" t="s">
        <v>414</v>
      </c>
    </row>
    <row r="2" customFormat="false" ht="15" hidden="false" customHeight="false" outlineLevel="0" collapsed="false">
      <c r="A2" s="0" t="s">
        <v>29</v>
      </c>
      <c r="B2" s="0" t="s">
        <v>212</v>
      </c>
      <c r="C2" s="0" t="n">
        <v>0</v>
      </c>
      <c r="D2" s="0" t="n">
        <v>0</v>
      </c>
      <c r="E2" s="0" t="n">
        <v>0.173</v>
      </c>
      <c r="F2" s="0" t="n">
        <v>0.583</v>
      </c>
      <c r="G2" s="0" t="n">
        <v>80.962</v>
      </c>
      <c r="H2" s="0" t="n">
        <v>10.678</v>
      </c>
      <c r="I2" s="0" t="n">
        <v>3.898</v>
      </c>
      <c r="J2" s="0" t="n">
        <v>0.62</v>
      </c>
      <c r="K2" s="0" t="n">
        <v>1.089</v>
      </c>
      <c r="L2" s="0" t="n">
        <v>0.289</v>
      </c>
      <c r="M2" s="0" t="n">
        <v>0.314</v>
      </c>
      <c r="N2" s="0" t="n">
        <v>1.394</v>
      </c>
    </row>
    <row r="3" customFormat="false" ht="15" hidden="false" customHeight="false" outlineLevel="0" collapsed="false">
      <c r="A3" s="0" t="s">
        <v>30</v>
      </c>
      <c r="B3" s="0" t="s">
        <v>213</v>
      </c>
      <c r="C3" s="0" t="n">
        <v>0</v>
      </c>
      <c r="D3" s="0" t="n">
        <v>0</v>
      </c>
      <c r="E3" s="0" t="n">
        <v>0.1581</v>
      </c>
      <c r="F3" s="0" t="n">
        <v>2.7207</v>
      </c>
      <c r="G3" s="0" t="n">
        <v>79.9315</v>
      </c>
      <c r="H3" s="0" t="n">
        <v>10.7207</v>
      </c>
      <c r="I3" s="0" t="n">
        <v>3.6801</v>
      </c>
      <c r="J3" s="0" t="n">
        <v>0.5513</v>
      </c>
      <c r="K3" s="0" t="n">
        <v>0.9395</v>
      </c>
      <c r="L3" s="0" t="n">
        <v>0.2186</v>
      </c>
      <c r="M3" s="0" t="n">
        <v>0.2183</v>
      </c>
      <c r="N3" s="0" t="n">
        <v>0.4913</v>
      </c>
    </row>
    <row r="4" customFormat="false" ht="15" hidden="false" customHeight="false" outlineLevel="0" collapsed="false">
      <c r="A4" s="0" t="s">
        <v>31</v>
      </c>
      <c r="B4" s="0" t="s">
        <v>214</v>
      </c>
      <c r="C4" s="0" t="n">
        <v>46376.34</v>
      </c>
      <c r="D4" s="0" t="n">
        <v>58016.8</v>
      </c>
      <c r="E4" s="0" t="n">
        <v>0.094</v>
      </c>
      <c r="F4" s="0" t="n">
        <v>0.589</v>
      </c>
      <c r="G4" s="0" t="n">
        <v>80.804</v>
      </c>
      <c r="H4" s="0" t="n">
        <v>10.688</v>
      </c>
      <c r="I4" s="0" t="n">
        <v>4.16</v>
      </c>
      <c r="J4" s="0" t="n">
        <v>0.697</v>
      </c>
      <c r="K4" s="0" t="n">
        <v>1.341</v>
      </c>
      <c r="L4" s="0" t="n">
        <v>0.376</v>
      </c>
      <c r="M4" s="0" t="n">
        <v>0.415</v>
      </c>
      <c r="N4" s="0" t="n">
        <v>0.836</v>
      </c>
    </row>
    <row r="5" customFormat="false" ht="15" hidden="false" customHeight="false" outlineLevel="0" collapsed="false">
      <c r="A5" s="0" t="s">
        <v>32</v>
      </c>
      <c r="B5" s="0" t="s">
        <v>215</v>
      </c>
      <c r="C5" s="0" t="n">
        <v>0</v>
      </c>
      <c r="D5" s="0" t="n">
        <v>0</v>
      </c>
      <c r="E5" s="0" t="n">
        <v>0.075</v>
      </c>
      <c r="F5" s="0" t="n">
        <v>0.598</v>
      </c>
      <c r="G5" s="0" t="n">
        <v>82.24</v>
      </c>
      <c r="H5" s="0" t="n">
        <v>10.975</v>
      </c>
      <c r="I5" s="0" t="n">
        <v>4.042</v>
      </c>
      <c r="J5" s="0" t="n">
        <v>0.592</v>
      </c>
      <c r="K5" s="0" t="n">
        <v>1</v>
      </c>
      <c r="L5" s="0" t="n">
        <v>0.176</v>
      </c>
      <c r="M5" s="0" t="n">
        <v>0.17</v>
      </c>
      <c r="N5" s="0" t="n">
        <v>0.132</v>
      </c>
    </row>
    <row r="6" customFormat="false" ht="15" hidden="false" customHeight="false" outlineLevel="0" collapsed="false">
      <c r="A6" s="0" t="s">
        <v>33</v>
      </c>
      <c r="B6" s="0" t="s">
        <v>216</v>
      </c>
      <c r="C6" s="0" t="n">
        <v>16278.35</v>
      </c>
      <c r="D6" s="0" t="n">
        <v>20543.28</v>
      </c>
      <c r="E6" s="0" t="n">
        <v>0.116</v>
      </c>
      <c r="F6" s="0" t="n">
        <v>0.607</v>
      </c>
      <c r="G6" s="0" t="n">
        <v>80.086</v>
      </c>
      <c r="H6" s="0" t="n">
        <v>10.925</v>
      </c>
      <c r="I6" s="0" t="n">
        <v>4.435</v>
      </c>
      <c r="J6" s="0" t="n">
        <v>0.702</v>
      </c>
      <c r="K6" s="0" t="n">
        <v>1.436</v>
      </c>
      <c r="L6" s="0" t="n">
        <v>0.363</v>
      </c>
      <c r="M6" s="0" t="n">
        <v>0.448</v>
      </c>
      <c r="N6" s="0" t="n">
        <v>0.882</v>
      </c>
    </row>
    <row r="7" customFormat="false" ht="15" hidden="false" customHeight="false" outlineLevel="0" collapsed="false">
      <c r="A7" s="0" t="s">
        <v>34</v>
      </c>
      <c r="B7" s="0" t="s">
        <v>217</v>
      </c>
      <c r="C7" s="0" t="n">
        <v>12576.36</v>
      </c>
      <c r="D7" s="0" t="n">
        <v>15619.84</v>
      </c>
      <c r="E7" s="0" t="n">
        <v>0.106</v>
      </c>
      <c r="F7" s="0" t="n">
        <v>0.649</v>
      </c>
      <c r="G7" s="0" t="n">
        <v>80.641</v>
      </c>
      <c r="H7" s="0" t="n">
        <v>10.992</v>
      </c>
      <c r="I7" s="0" t="n">
        <v>4.336</v>
      </c>
      <c r="J7" s="0" t="n">
        <v>0.668</v>
      </c>
      <c r="K7" s="0" t="n">
        <v>1.343</v>
      </c>
      <c r="L7" s="0" t="n">
        <v>0.308</v>
      </c>
      <c r="M7" s="0" t="n">
        <v>0.352</v>
      </c>
      <c r="N7" s="0" t="n">
        <v>0.605</v>
      </c>
    </row>
    <row r="8" customFormat="false" ht="15" hidden="false" customHeight="false" outlineLevel="0" collapsed="false">
      <c r="A8" s="0" t="s">
        <v>35</v>
      </c>
      <c r="B8" s="0" t="s">
        <v>218</v>
      </c>
      <c r="C8" s="0" t="n">
        <v>24861.69</v>
      </c>
      <c r="D8" s="0" t="n">
        <v>32195.89</v>
      </c>
      <c r="E8" s="0" t="n">
        <v>0.114</v>
      </c>
      <c r="F8" s="0" t="n">
        <v>0.576</v>
      </c>
      <c r="G8" s="0" t="n">
        <v>78.583</v>
      </c>
      <c r="H8" s="0" t="n">
        <v>11.327</v>
      </c>
      <c r="I8" s="0" t="n">
        <v>4.8</v>
      </c>
      <c r="J8" s="0" t="n">
        <v>0.858</v>
      </c>
      <c r="K8" s="0" t="n">
        <v>1.633</v>
      </c>
      <c r="L8" s="0" t="n">
        <v>0.44</v>
      </c>
      <c r="M8" s="0" t="n">
        <v>0.502</v>
      </c>
      <c r="N8" s="0" t="n">
        <v>1.167</v>
      </c>
    </row>
    <row r="9" customFormat="false" ht="15" hidden="false" customHeight="false" outlineLevel="0" collapsed="false">
      <c r="A9" s="0" t="s">
        <v>36</v>
      </c>
      <c r="B9" s="0" t="s">
        <v>219</v>
      </c>
      <c r="C9" s="0" t="n">
        <v>8689.66</v>
      </c>
      <c r="D9" s="0" t="n">
        <v>10670.91</v>
      </c>
      <c r="E9" s="0" t="n">
        <v>0.063</v>
      </c>
      <c r="F9" s="0" t="n">
        <v>1.904</v>
      </c>
      <c r="G9" s="0" t="n">
        <v>79.513</v>
      </c>
      <c r="H9" s="0" t="n">
        <v>10.982</v>
      </c>
      <c r="I9" s="0" t="n">
        <v>4.229</v>
      </c>
      <c r="J9" s="0" t="n">
        <v>0.698</v>
      </c>
      <c r="K9" s="0" t="n">
        <v>1.331</v>
      </c>
      <c r="L9" s="0" t="n">
        <v>0.336</v>
      </c>
      <c r="M9" s="0" t="n">
        <v>0.371</v>
      </c>
      <c r="N9" s="0" t="n">
        <v>0.573</v>
      </c>
    </row>
    <row r="10" customFormat="false" ht="15" hidden="false" customHeight="false" outlineLevel="0" collapsed="false">
      <c r="A10" s="0" t="s">
        <v>37</v>
      </c>
      <c r="B10" s="0" t="s">
        <v>220</v>
      </c>
      <c r="C10" s="0" t="n">
        <v>411540.2</v>
      </c>
      <c r="D10" s="0" t="n">
        <v>513190.63</v>
      </c>
      <c r="E10" s="0" t="n">
        <v>0.125</v>
      </c>
      <c r="F10" s="0" t="n">
        <v>0.582</v>
      </c>
      <c r="G10" s="0" t="n">
        <v>81.076</v>
      </c>
      <c r="H10" s="0" t="n">
        <v>10.555</v>
      </c>
      <c r="I10" s="0" t="n">
        <v>4.037</v>
      </c>
      <c r="J10" s="0" t="n">
        <v>0.705</v>
      </c>
      <c r="K10" s="0" t="n">
        <v>1.318</v>
      </c>
      <c r="L10" s="0" t="n">
        <v>0.372</v>
      </c>
      <c r="M10" s="0" t="n">
        <v>0.396</v>
      </c>
      <c r="N10" s="0" t="n">
        <v>0.834</v>
      </c>
    </row>
    <row r="11" customFormat="false" ht="15" hidden="false" customHeight="false" outlineLevel="0" collapsed="false">
      <c r="A11" s="0" t="s">
        <v>38</v>
      </c>
      <c r="B11" s="0" t="s">
        <v>221</v>
      </c>
      <c r="C11" s="0" t="n">
        <v>279240.52</v>
      </c>
      <c r="D11" s="0" t="n">
        <v>366642.81</v>
      </c>
      <c r="E11" s="0" t="n">
        <v>0.118</v>
      </c>
      <c r="F11" s="0" t="n">
        <v>1.354</v>
      </c>
      <c r="G11" s="0" t="n">
        <v>77.045</v>
      </c>
      <c r="H11" s="0" t="n">
        <v>11.071</v>
      </c>
      <c r="I11" s="0" t="n">
        <v>5.28</v>
      </c>
      <c r="J11" s="0" t="n">
        <v>0.813</v>
      </c>
      <c r="K11" s="0" t="n">
        <v>1.736</v>
      </c>
      <c r="L11" s="0" t="n">
        <v>0.458</v>
      </c>
      <c r="M11" s="0" t="n">
        <v>0.526</v>
      </c>
      <c r="N11" s="0" t="n">
        <v>1.599</v>
      </c>
    </row>
    <row r="12" customFormat="false" ht="15" hidden="false" customHeight="false" outlineLevel="0" collapsed="false">
      <c r="A12" s="0" t="s">
        <v>159</v>
      </c>
      <c r="B12" s="0" t="s">
        <v>222</v>
      </c>
      <c r="C12" s="0" t="n">
        <v>428115.53</v>
      </c>
      <c r="D12" s="0" t="n">
        <v>440602.56</v>
      </c>
      <c r="E12" s="0" t="n">
        <v>0.0285732509006481</v>
      </c>
      <c r="F12" s="0" t="n">
        <v>1.02865763118742</v>
      </c>
      <c r="G12" s="0" t="n">
        <v>95.6932924120128</v>
      </c>
      <c r="H12" s="0" t="n">
        <v>3.16200507248809</v>
      </c>
      <c r="I12" s="0" t="n">
        <v>0.08374272705963</v>
      </c>
      <c r="J12" s="0" t="n">
        <v>0.00150567037786595</v>
      </c>
      <c r="K12" s="0" t="n">
        <v>0.00212936679327564</v>
      </c>
      <c r="L12" s="571" t="n">
        <v>4.73295387984469E-005</v>
      </c>
      <c r="M12" s="571" t="n">
        <v>4.38986942305306E-005</v>
      </c>
      <c r="N12" s="571" t="n">
        <v>2.70613906720087E-006</v>
      </c>
    </row>
    <row r="13" customFormat="false" ht="15" hidden="false" customHeight="false" outlineLevel="0" collapsed="false">
      <c r="A13" s="0" t="s">
        <v>160</v>
      </c>
      <c r="B13" s="0" t="s">
        <v>223</v>
      </c>
      <c r="C13" s="0" t="n">
        <v>4239406.28</v>
      </c>
      <c r="D13" s="0" t="n">
        <v>4363011.77</v>
      </c>
      <c r="E13" s="0" t="n">
        <v>0.0282736501177807</v>
      </c>
      <c r="F13" s="0" t="n">
        <v>1.02866362817266</v>
      </c>
      <c r="G13" s="0" t="n">
        <v>95.6950640053272</v>
      </c>
      <c r="H13" s="0" t="n">
        <v>3.16065250945488</v>
      </c>
      <c r="I13" s="0" t="n">
        <v>0.0836228328705957</v>
      </c>
      <c r="J13" s="0" t="n">
        <v>0.00150355438898487</v>
      </c>
      <c r="K13" s="0" t="n">
        <v>0.00212679146879362</v>
      </c>
      <c r="L13" s="571" t="n">
        <v>4.68905800271209E-005</v>
      </c>
      <c r="M13" s="571" t="n">
        <v>4.35256016415786E-005</v>
      </c>
      <c r="N13" s="571" t="n">
        <v>2.67739865099955E-006</v>
      </c>
    </row>
    <row r="14" customFormat="false" ht="15" hidden="false" customHeight="false" outlineLevel="0" collapsed="false">
      <c r="A14" s="0" t="s">
        <v>161</v>
      </c>
      <c r="B14" s="0" t="s">
        <v>224</v>
      </c>
      <c r="C14" s="0" t="n">
        <v>1887090.82</v>
      </c>
      <c r="D14" s="0" t="n">
        <v>1945942.1</v>
      </c>
      <c r="E14" s="0" t="n">
        <v>0.0321891147071353</v>
      </c>
      <c r="F14" s="0" t="n">
        <v>0.986336652598509</v>
      </c>
      <c r="G14" s="0" t="n">
        <v>93.8495223864989</v>
      </c>
      <c r="H14" s="0" t="n">
        <v>3.33440905553148</v>
      </c>
      <c r="I14" s="0" t="n">
        <v>0.0840881397766082</v>
      </c>
      <c r="J14" s="0" t="n">
        <v>0.00142474183058214</v>
      </c>
      <c r="K14" s="0" t="n">
        <v>0.00114016648940022</v>
      </c>
      <c r="L14" s="571" t="n">
        <v>6.97184789235642E-007</v>
      </c>
      <c r="M14" s="571" t="n">
        <v>1.20083484727841E-006</v>
      </c>
      <c r="N14" s="571" t="n">
        <v>0</v>
      </c>
    </row>
    <row r="15" customFormat="false" ht="15" hidden="false" customHeight="false" outlineLevel="0" collapsed="false">
      <c r="A15" s="0" t="s">
        <v>162</v>
      </c>
      <c r="B15" s="0" t="s">
        <v>225</v>
      </c>
      <c r="C15" s="0" t="n">
        <v>669315.42</v>
      </c>
      <c r="D15" s="0" t="n">
        <v>695762.62</v>
      </c>
      <c r="E15" s="0" t="n">
        <v>0.099327001414739</v>
      </c>
      <c r="F15" s="0" t="n">
        <v>0.982501221169082</v>
      </c>
      <c r="G15" s="0" t="n">
        <v>92.6994576653776</v>
      </c>
      <c r="H15" s="0" t="n">
        <v>4.37350142624641</v>
      </c>
      <c r="I15" s="0" t="n">
        <v>0.141094531736112</v>
      </c>
      <c r="J15" s="0" t="n">
        <v>0.00243179512674213</v>
      </c>
      <c r="K15" s="0" t="n">
        <v>0.00211579443425881</v>
      </c>
      <c r="L15" s="571" t="n">
        <v>5.57557147541569E-006</v>
      </c>
      <c r="M15" s="571" t="n">
        <v>0</v>
      </c>
      <c r="N15" s="0" t="n">
        <v>0</v>
      </c>
    </row>
    <row r="16" customFormat="false" ht="15" hidden="false" customHeight="false" outlineLevel="0" collapsed="false">
      <c r="A16" s="0" t="s">
        <v>39</v>
      </c>
      <c r="B16" s="0" t="s">
        <v>226</v>
      </c>
      <c r="C16" s="0" t="n">
        <v>1151339.8</v>
      </c>
      <c r="D16" s="0" t="n">
        <v>1449805.67</v>
      </c>
      <c r="E16" s="0" t="n">
        <v>0.815046438899443</v>
      </c>
      <c r="F16" s="0" t="n">
        <v>1.09182948492832</v>
      </c>
      <c r="G16" s="0" t="n">
        <v>79.1761940127324</v>
      </c>
      <c r="H16" s="0" t="n">
        <v>9.43309602648388</v>
      </c>
      <c r="I16" s="0" t="n">
        <v>5.05057468460211</v>
      </c>
      <c r="J16" s="0" t="n">
        <v>0.949274743767535</v>
      </c>
      <c r="K16" s="0" t="n">
        <v>1.7945837994806</v>
      </c>
      <c r="L16" s="0" t="n">
        <v>0.597222247268506</v>
      </c>
      <c r="M16" s="0" t="n">
        <v>0.454581941798881</v>
      </c>
      <c r="N16" s="0" t="n">
        <v>0.63760771744079</v>
      </c>
    </row>
    <row r="17" customFormat="false" ht="15" hidden="false" customHeight="false" outlineLevel="0" collapsed="false">
      <c r="A17" s="0" t="s">
        <v>40</v>
      </c>
      <c r="B17" s="0" t="s">
        <v>227</v>
      </c>
      <c r="C17" s="0" t="n">
        <v>131184.94</v>
      </c>
      <c r="D17" s="0" t="n">
        <v>165191.8</v>
      </c>
      <c r="E17" s="0" t="n">
        <v>0.815284680039878</v>
      </c>
      <c r="F17" s="0" t="n">
        <v>1.0917341115764</v>
      </c>
      <c r="G17" s="0" t="n">
        <v>79.1767516200042</v>
      </c>
      <c r="H17" s="0" t="n">
        <v>9.43254437363945</v>
      </c>
      <c r="I17" s="0" t="n">
        <v>5.05028694260133</v>
      </c>
      <c r="J17" s="0" t="n">
        <v>0.949303908427994</v>
      </c>
      <c r="K17" s="0" t="n">
        <v>1.79456191047132</v>
      </c>
      <c r="L17" s="0" t="n">
        <v>0.597265415316484</v>
      </c>
      <c r="M17" s="0" t="n">
        <v>0.454600379547278</v>
      </c>
      <c r="N17" s="0" t="n">
        <v>0.637677767565951</v>
      </c>
    </row>
    <row r="18" customFormat="false" ht="15" hidden="false" customHeight="false" outlineLevel="0" collapsed="false">
      <c r="A18" s="0" t="s">
        <v>41</v>
      </c>
      <c r="B18" s="0" t="s">
        <v>228</v>
      </c>
      <c r="C18" s="0" t="n">
        <v>346861.43</v>
      </c>
      <c r="D18" s="0" t="n">
        <v>433604.99</v>
      </c>
      <c r="E18" s="0" t="n">
        <v>0.0159192614542988</v>
      </c>
      <c r="F18" s="0" t="n">
        <v>0.605452788952156</v>
      </c>
      <c r="G18" s="0" t="n">
        <v>80.7794008690854</v>
      </c>
      <c r="H18" s="0" t="n">
        <v>10.5911154496617</v>
      </c>
      <c r="I18" s="0" t="n">
        <v>4.41724218760527</v>
      </c>
      <c r="J18" s="0" t="n">
        <v>0.69687775287813</v>
      </c>
      <c r="K18" s="0" t="n">
        <v>1.47066420865023</v>
      </c>
      <c r="L18" s="0" t="n">
        <v>0.371587871304939</v>
      </c>
      <c r="M18" s="0" t="n">
        <v>0.43461843104407</v>
      </c>
      <c r="N18" s="0" t="n">
        <v>0.617121665503266</v>
      </c>
    </row>
    <row r="19" customFormat="false" ht="15" hidden="false" customHeight="false" outlineLevel="0" collapsed="false">
      <c r="A19" s="0" t="s">
        <v>42</v>
      </c>
      <c r="B19" s="0" t="s">
        <v>229</v>
      </c>
      <c r="C19" s="0" t="n">
        <v>0</v>
      </c>
      <c r="D19" s="0" t="n">
        <v>0</v>
      </c>
      <c r="E19" s="0" t="n">
        <v>0.0158747460440262</v>
      </c>
      <c r="F19" s="0" t="n">
        <v>0.605738110039183</v>
      </c>
      <c r="G19" s="0" t="n">
        <v>80.7971468176893</v>
      </c>
      <c r="H19" s="0" t="n">
        <v>10.5877152912078</v>
      </c>
      <c r="I19" s="0" t="n">
        <v>4.41222034282582</v>
      </c>
      <c r="J19" s="0" t="n">
        <v>0.695783665263525</v>
      </c>
      <c r="K19" s="0" t="n">
        <v>1.46754235926495</v>
      </c>
      <c r="L19" s="0" t="n">
        <v>0.370649128271047</v>
      </c>
      <c r="M19" s="0" t="n">
        <v>0.433409774535766</v>
      </c>
      <c r="N19" s="0" t="n">
        <v>0.613919309019962</v>
      </c>
    </row>
    <row r="20" customFormat="false" ht="15" hidden="false" customHeight="false" outlineLevel="0" collapsed="false">
      <c r="A20" s="0" t="s">
        <v>43</v>
      </c>
      <c r="B20" s="0" t="s">
        <v>230</v>
      </c>
      <c r="C20" s="0" t="n">
        <v>294377.62</v>
      </c>
      <c r="D20" s="0" t="n">
        <v>369069.05</v>
      </c>
      <c r="E20" s="0" t="n">
        <v>0.00978614999412378</v>
      </c>
      <c r="F20" s="0" t="n">
        <v>0.589076111622202</v>
      </c>
      <c r="G20" s="0" t="n">
        <v>80.6150901073344</v>
      </c>
      <c r="H20" s="0" t="n">
        <v>10.6346550546324</v>
      </c>
      <c r="I20" s="0" t="n">
        <v>4.4701231263416</v>
      </c>
      <c r="J20" s="0" t="n">
        <v>0.715498525388372</v>
      </c>
      <c r="K20" s="0" t="n">
        <v>1.5140556198984</v>
      </c>
      <c r="L20" s="0" t="n">
        <v>0.383944926826199</v>
      </c>
      <c r="M20" s="0" t="n">
        <v>0.451328174136267</v>
      </c>
      <c r="N20" s="0" t="n">
        <v>0.616442599128654</v>
      </c>
    </row>
    <row r="21" customFormat="false" ht="15" hidden="false" customHeight="false" outlineLevel="0" collapsed="false">
      <c r="A21" s="0" t="s">
        <v>44</v>
      </c>
      <c r="B21" s="0" t="s">
        <v>231</v>
      </c>
      <c r="C21" s="0" t="n">
        <v>0</v>
      </c>
      <c r="D21" s="0" t="n">
        <v>0</v>
      </c>
      <c r="E21" s="0" t="n">
        <v>0.11259999871254</v>
      </c>
      <c r="F21" s="0" t="n">
        <v>0.621500015258789</v>
      </c>
      <c r="G21" s="0" t="n">
        <v>79.1595001220703</v>
      </c>
      <c r="H21" s="0" t="n">
        <v>10.7407999038696</v>
      </c>
      <c r="I21" s="0" t="n">
        <v>4.7878999710083</v>
      </c>
      <c r="J21" s="0" t="n">
        <v>0.769400000572205</v>
      </c>
      <c r="K21" s="0" t="n">
        <v>1.67200005054474</v>
      </c>
      <c r="L21" s="0" t="n">
        <v>0.427799999713898</v>
      </c>
      <c r="M21" s="0" t="n">
        <v>1.05280005931854</v>
      </c>
      <c r="N21" s="0" t="n">
        <v>0.655700027942657</v>
      </c>
    </row>
    <row r="22" customFormat="false" ht="15" hidden="false" customHeight="false" outlineLevel="0" collapsed="false">
      <c r="A22" s="0" t="s">
        <v>45</v>
      </c>
      <c r="B22" s="0" t="s">
        <v>232</v>
      </c>
      <c r="C22" s="0" t="n">
        <v>0</v>
      </c>
      <c r="D22" s="0" t="n">
        <v>0</v>
      </c>
      <c r="E22" s="0" t="n">
        <v>0.359</v>
      </c>
      <c r="F22" s="0" t="n">
        <v>0.847000000000001</v>
      </c>
      <c r="G22" s="0" t="n">
        <v>80.724</v>
      </c>
      <c r="H22" s="0" t="n">
        <v>10.702</v>
      </c>
      <c r="I22" s="0" t="n">
        <v>4.31</v>
      </c>
      <c r="J22" s="0" t="n">
        <v>0.626</v>
      </c>
      <c r="K22" s="0" t="n">
        <v>1.321</v>
      </c>
      <c r="L22" s="0" t="n">
        <v>0.321</v>
      </c>
      <c r="M22" s="0" t="n">
        <v>0.359</v>
      </c>
      <c r="N22" s="0" t="n">
        <v>0.431</v>
      </c>
    </row>
    <row r="23" customFormat="false" ht="15" hidden="false" customHeight="false" outlineLevel="0" collapsed="false">
      <c r="A23" s="0" t="s">
        <v>46</v>
      </c>
      <c r="B23" s="0" t="s">
        <v>233</v>
      </c>
      <c r="C23" s="0" t="n">
        <v>45361.55</v>
      </c>
      <c r="D23" s="0" t="n">
        <v>55613.26</v>
      </c>
      <c r="E23" s="0" t="n">
        <v>0.359</v>
      </c>
      <c r="F23" s="0" t="n">
        <v>0.847</v>
      </c>
      <c r="G23" s="0" t="n">
        <v>80.724</v>
      </c>
      <c r="H23" s="0" t="n">
        <v>10.702</v>
      </c>
      <c r="I23" s="0" t="n">
        <v>4.31</v>
      </c>
      <c r="J23" s="0" t="n">
        <v>0.626</v>
      </c>
      <c r="K23" s="0" t="n">
        <v>1.321</v>
      </c>
      <c r="L23" s="0" t="n">
        <v>0.321</v>
      </c>
      <c r="M23" s="0" t="n">
        <v>0.359</v>
      </c>
      <c r="N23" s="0" t="n">
        <v>0.431</v>
      </c>
    </row>
    <row r="24" customFormat="false" ht="15" hidden="false" customHeight="false" outlineLevel="0" collapsed="false">
      <c r="A24" s="0" t="s">
        <v>47</v>
      </c>
      <c r="B24" s="0" t="s">
        <v>234</v>
      </c>
      <c r="C24" s="0" t="n">
        <v>164104.08</v>
      </c>
      <c r="D24" s="0" t="n">
        <v>203412.95</v>
      </c>
      <c r="E24" s="0" t="n">
        <v>0.00510418212034034</v>
      </c>
      <c r="F24" s="0" t="n">
        <v>0.594280508772907</v>
      </c>
      <c r="G24" s="0" t="n">
        <v>81.2786633147187</v>
      </c>
      <c r="H24" s="0" t="n">
        <v>10.5018070889406</v>
      </c>
      <c r="I24" s="0" t="n">
        <v>4.25902740437906</v>
      </c>
      <c r="J24" s="0" t="n">
        <v>0.694532701298378</v>
      </c>
      <c r="K24" s="0" t="n">
        <v>1.38931661717306</v>
      </c>
      <c r="L24" s="0" t="n">
        <v>0.361497121940463</v>
      </c>
      <c r="M24" s="0" t="n">
        <v>0.414292165717674</v>
      </c>
      <c r="N24" s="0" t="n">
        <v>0.501478798236785</v>
      </c>
    </row>
    <row r="25" customFormat="false" ht="15" hidden="false" customHeight="false" outlineLevel="0" collapsed="false">
      <c r="A25" s="0" t="s">
        <v>48</v>
      </c>
      <c r="B25" s="0" t="s">
        <v>235</v>
      </c>
      <c r="C25" s="0" t="n">
        <v>0</v>
      </c>
      <c r="D25" s="0" t="n">
        <v>0</v>
      </c>
      <c r="E25" s="0" t="n">
        <v>0.0104920869807463</v>
      </c>
      <c r="F25" s="0" t="n">
        <v>0.593050870203203</v>
      </c>
      <c r="G25" s="0" t="n">
        <v>81.2436523334954</v>
      </c>
      <c r="H25" s="0" t="n">
        <v>10.5658812522888</v>
      </c>
      <c r="I25" s="0" t="n">
        <v>4.24323085975903</v>
      </c>
      <c r="J25" s="0" t="n">
        <v>0.693949774228116</v>
      </c>
      <c r="K25" s="0" t="n">
        <v>1.3857839128343</v>
      </c>
      <c r="L25" s="0" t="n">
        <v>0.360322510523181</v>
      </c>
      <c r="M25" s="0" t="n">
        <v>0.413619444535304</v>
      </c>
      <c r="N25" s="0" t="n">
        <v>0.490016855629942</v>
      </c>
    </row>
    <row r="26" customFormat="false" ht="15" hidden="false" customHeight="false" outlineLevel="0" collapsed="false">
      <c r="A26" s="0" t="s">
        <v>49</v>
      </c>
      <c r="B26" s="0" t="s">
        <v>236</v>
      </c>
      <c r="C26" s="0" t="n">
        <v>815353.24</v>
      </c>
      <c r="D26" s="0" t="n">
        <v>1002884.54</v>
      </c>
      <c r="E26" s="0" t="n">
        <v>0.099279756712626</v>
      </c>
      <c r="F26" s="0" t="n">
        <v>0.602165263373735</v>
      </c>
      <c r="G26" s="0" t="n">
        <v>79.160326528009</v>
      </c>
      <c r="H26" s="0" t="n">
        <v>11.1755135924096</v>
      </c>
      <c r="I26" s="0" t="n">
        <v>4.99296145641652</v>
      </c>
      <c r="J26" s="0" t="n">
        <v>0.772059422793529</v>
      </c>
      <c r="K26" s="0" t="n">
        <v>1.70336529291086</v>
      </c>
      <c r="L26" s="0" t="n">
        <v>0.424818904481619</v>
      </c>
      <c r="M26" s="0" t="n">
        <v>0.502816387523273</v>
      </c>
      <c r="N26" s="0" t="n">
        <v>0.566691353321856</v>
      </c>
    </row>
    <row r="27" customFormat="false" ht="15" hidden="false" customHeight="false" outlineLevel="0" collapsed="false">
      <c r="A27" s="0" t="s">
        <v>50</v>
      </c>
      <c r="B27" s="0" t="s">
        <v>237</v>
      </c>
      <c r="C27" s="0" t="n">
        <v>126383.28</v>
      </c>
      <c r="D27" s="0" t="n">
        <v>153429.3</v>
      </c>
      <c r="E27" s="0" t="n">
        <v>2.372</v>
      </c>
      <c r="F27" s="0" t="n">
        <v>1.429</v>
      </c>
      <c r="G27" s="0" t="n">
        <v>78.31</v>
      </c>
      <c r="H27" s="0" t="n">
        <v>9.607</v>
      </c>
      <c r="I27" s="0" t="n">
        <v>4.619</v>
      </c>
      <c r="J27" s="0" t="n">
        <v>0.699</v>
      </c>
      <c r="K27" s="0" t="n">
        <v>1.528</v>
      </c>
      <c r="L27" s="0" t="n">
        <v>0.509</v>
      </c>
      <c r="M27" s="0" t="n">
        <v>0.405</v>
      </c>
      <c r="N27" s="0" t="n">
        <v>0.522</v>
      </c>
    </row>
    <row r="28" customFormat="false" ht="15" hidden="false" customHeight="false" outlineLevel="0" collapsed="false">
      <c r="A28" s="0" t="s">
        <v>51</v>
      </c>
      <c r="B28" s="0" t="s">
        <v>238</v>
      </c>
      <c r="C28" s="0" t="n">
        <v>0</v>
      </c>
      <c r="D28" s="0" t="n">
        <v>0</v>
      </c>
      <c r="E28" s="0" t="n">
        <v>0.176</v>
      </c>
      <c r="F28" s="0" t="n">
        <v>0.485</v>
      </c>
      <c r="G28" s="0" t="n">
        <v>85.8800000000001</v>
      </c>
      <c r="H28" s="0" t="n">
        <v>7.333</v>
      </c>
      <c r="I28" s="0" t="n">
        <v>3.294</v>
      </c>
      <c r="J28" s="0" t="n">
        <v>0.45</v>
      </c>
      <c r="K28" s="0" t="n">
        <v>1.099</v>
      </c>
      <c r="L28" s="0" t="n">
        <v>0.289</v>
      </c>
      <c r="M28" s="0" t="n">
        <v>0.349</v>
      </c>
      <c r="N28" s="0" t="n">
        <v>0.645</v>
      </c>
    </row>
    <row r="29" customFormat="false" ht="15" hidden="false" customHeight="false" outlineLevel="0" collapsed="false">
      <c r="A29" s="0" t="s">
        <v>52</v>
      </c>
      <c r="B29" s="0" t="s">
        <v>239</v>
      </c>
      <c r="C29" s="0" t="n">
        <v>14399.14</v>
      </c>
      <c r="D29" s="0" t="n">
        <v>20187.6</v>
      </c>
      <c r="E29" s="0" t="n">
        <v>0.243</v>
      </c>
      <c r="F29" s="0" t="n">
        <v>1.504</v>
      </c>
      <c r="G29" s="0" t="n">
        <v>71.375</v>
      </c>
      <c r="H29" s="0" t="n">
        <v>12.064</v>
      </c>
      <c r="I29" s="0" t="n">
        <v>7.833</v>
      </c>
      <c r="J29" s="0" t="n">
        <v>0.915</v>
      </c>
      <c r="K29" s="0" t="n">
        <v>2.986</v>
      </c>
      <c r="L29" s="0" t="n">
        <v>0.7</v>
      </c>
      <c r="M29" s="0" t="n">
        <v>0.774</v>
      </c>
      <c r="N29" s="0" t="n">
        <v>1.606</v>
      </c>
    </row>
    <row r="30" customFormat="false" ht="15" hidden="false" customHeight="false" outlineLevel="0" collapsed="false">
      <c r="A30" s="0" t="s">
        <v>53</v>
      </c>
      <c r="B30" s="0" t="s">
        <v>240</v>
      </c>
      <c r="C30" s="0" t="n">
        <v>29648.04</v>
      </c>
      <c r="D30" s="0" t="n">
        <v>46488.12</v>
      </c>
      <c r="E30" s="0" t="n">
        <v>0.325</v>
      </c>
      <c r="F30" s="0" t="n">
        <v>1.172</v>
      </c>
      <c r="G30" s="0" t="n">
        <v>64.336</v>
      </c>
      <c r="H30" s="0" t="n">
        <v>12.553</v>
      </c>
      <c r="I30" s="0" t="n">
        <v>9.966</v>
      </c>
      <c r="J30" s="0" t="n">
        <v>1.453</v>
      </c>
      <c r="K30" s="0" t="n">
        <v>5.08</v>
      </c>
      <c r="L30" s="0" t="n">
        <v>1.357</v>
      </c>
      <c r="M30" s="0" t="n">
        <v>1.744</v>
      </c>
      <c r="N30" s="0" t="n">
        <v>2.014</v>
      </c>
    </row>
    <row r="31" customFormat="false" ht="15" hidden="false" customHeight="false" outlineLevel="0" collapsed="false">
      <c r="A31" s="0" t="s">
        <v>54</v>
      </c>
      <c r="B31" s="0" t="s">
        <v>241</v>
      </c>
      <c r="C31" s="0" t="n">
        <v>786056.19</v>
      </c>
      <c r="D31" s="0" t="n">
        <v>1024231.22</v>
      </c>
      <c r="E31" s="0" t="n">
        <v>0.166</v>
      </c>
      <c r="F31" s="0" t="n">
        <v>0.738</v>
      </c>
      <c r="G31" s="0" t="n">
        <v>78.221</v>
      </c>
      <c r="H31" s="0" t="n">
        <v>11.027</v>
      </c>
      <c r="I31" s="0" t="n">
        <v>4.899</v>
      </c>
      <c r="J31" s="0" t="n">
        <v>0.811</v>
      </c>
      <c r="K31" s="0" t="n">
        <v>1.773</v>
      </c>
      <c r="L31" s="0" t="n">
        <v>0.5</v>
      </c>
      <c r="M31" s="0" t="n">
        <v>0.572</v>
      </c>
      <c r="N31" s="0" t="n">
        <v>1.293</v>
      </c>
    </row>
    <row r="32" customFormat="false" ht="15" hidden="false" customHeight="false" outlineLevel="0" collapsed="false">
      <c r="A32" s="0" t="s">
        <v>55</v>
      </c>
      <c r="B32" s="0" t="s">
        <v>242</v>
      </c>
      <c r="C32" s="0" t="n">
        <v>0</v>
      </c>
      <c r="D32" s="0" t="n">
        <v>0</v>
      </c>
      <c r="E32" s="0" t="n">
        <v>0.101</v>
      </c>
      <c r="F32" s="0" t="n">
        <v>0.827000000000001</v>
      </c>
      <c r="G32" s="0" t="n">
        <v>78.631</v>
      </c>
      <c r="H32" s="0" t="n">
        <v>11.052</v>
      </c>
      <c r="I32" s="0" t="n">
        <v>4.952</v>
      </c>
      <c r="J32" s="0" t="n">
        <v>0.774000000000001</v>
      </c>
      <c r="K32" s="0" t="n">
        <v>1.717</v>
      </c>
      <c r="L32" s="0" t="n">
        <v>0.462</v>
      </c>
      <c r="M32" s="0" t="n">
        <v>0.514</v>
      </c>
      <c r="N32" s="0" t="n">
        <v>0.969999999999999</v>
      </c>
    </row>
    <row r="33" customFormat="false" ht="15" hidden="false" customHeight="false" outlineLevel="0" collapsed="false">
      <c r="A33" s="0" t="s">
        <v>56</v>
      </c>
      <c r="B33" s="0" t="s">
        <v>243</v>
      </c>
      <c r="C33" s="0" t="n">
        <v>325254.55</v>
      </c>
      <c r="D33" s="0" t="n">
        <v>417952.1</v>
      </c>
      <c r="E33" s="0" t="n">
        <v>0.101</v>
      </c>
      <c r="F33" s="0" t="n">
        <v>0.827</v>
      </c>
      <c r="G33" s="0" t="n">
        <v>78.631</v>
      </c>
      <c r="H33" s="0" t="n">
        <v>11.052</v>
      </c>
      <c r="I33" s="0" t="n">
        <v>4.952</v>
      </c>
      <c r="J33" s="0" t="n">
        <v>0.774</v>
      </c>
      <c r="K33" s="0" t="n">
        <v>1.717</v>
      </c>
      <c r="L33" s="0" t="n">
        <v>0.462</v>
      </c>
      <c r="M33" s="0" t="n">
        <v>0.514</v>
      </c>
      <c r="N33" s="0" t="n">
        <v>0.97</v>
      </c>
    </row>
    <row r="34" customFormat="false" ht="15" hidden="false" customHeight="false" outlineLevel="0" collapsed="false">
      <c r="A34" s="0" t="s">
        <v>57</v>
      </c>
      <c r="B34" s="0" t="s">
        <v>244</v>
      </c>
      <c r="C34" s="0" t="n">
        <v>166498.74</v>
      </c>
      <c r="D34" s="0" t="n">
        <v>223957.45</v>
      </c>
      <c r="E34" s="0" t="n">
        <v>0.223</v>
      </c>
      <c r="F34" s="0" t="n">
        <v>1.091</v>
      </c>
      <c r="G34" s="0" t="n">
        <v>74.099</v>
      </c>
      <c r="H34" s="0" t="n">
        <v>12.49</v>
      </c>
      <c r="I34" s="0" t="n">
        <v>6.532</v>
      </c>
      <c r="J34" s="0" t="n">
        <v>0.929</v>
      </c>
      <c r="K34" s="0" t="n">
        <v>2.237</v>
      </c>
      <c r="L34" s="0" t="n">
        <v>0.568</v>
      </c>
      <c r="M34" s="0" t="n">
        <v>0.64</v>
      </c>
      <c r="N34" s="0" t="n">
        <v>1.191</v>
      </c>
    </row>
    <row r="35" customFormat="false" ht="15" hidden="false" customHeight="false" outlineLevel="0" collapsed="false">
      <c r="A35" s="0" t="s">
        <v>58</v>
      </c>
      <c r="B35" s="0" t="s">
        <v>245</v>
      </c>
      <c r="C35" s="0" t="n">
        <v>397018.39</v>
      </c>
      <c r="D35" s="0" t="n">
        <v>508977.57</v>
      </c>
      <c r="E35" s="0" t="n">
        <v>0.149</v>
      </c>
      <c r="F35" s="0" t="n">
        <v>0.795</v>
      </c>
      <c r="G35" s="0" t="n">
        <v>78.823</v>
      </c>
      <c r="H35" s="0" t="n">
        <v>11.069</v>
      </c>
      <c r="I35" s="0" t="n">
        <v>4.789</v>
      </c>
      <c r="J35" s="0" t="n">
        <v>0.759</v>
      </c>
      <c r="K35" s="0" t="n">
        <v>1.644</v>
      </c>
      <c r="L35" s="0" t="n">
        <v>0.446</v>
      </c>
      <c r="M35" s="0" t="n">
        <v>0.499</v>
      </c>
      <c r="N35" s="0" t="n">
        <v>1.027</v>
      </c>
    </row>
    <row r="36" customFormat="false" ht="15" hidden="false" customHeight="false" outlineLevel="0" collapsed="false">
      <c r="A36" s="0" t="s">
        <v>59</v>
      </c>
      <c r="B36" s="0" t="s">
        <v>246</v>
      </c>
      <c r="C36" s="0" t="n">
        <v>287535.81</v>
      </c>
      <c r="D36" s="0" t="n">
        <v>366895.69</v>
      </c>
      <c r="E36" s="0" t="n">
        <v>0.088</v>
      </c>
      <c r="F36" s="0" t="n">
        <v>0.898</v>
      </c>
      <c r="G36" s="0" t="n">
        <v>79.584</v>
      </c>
      <c r="H36" s="0" t="n">
        <v>10.505</v>
      </c>
      <c r="I36" s="0" t="n">
        <v>4.499</v>
      </c>
      <c r="J36" s="0" t="n">
        <v>0.745</v>
      </c>
      <c r="K36" s="0" t="n">
        <v>1.574</v>
      </c>
      <c r="L36" s="0" t="n">
        <v>0.486</v>
      </c>
      <c r="M36" s="0" t="n">
        <v>0.516</v>
      </c>
      <c r="N36" s="0" t="n">
        <v>1.105</v>
      </c>
    </row>
    <row r="37" customFormat="false" ht="15" hidden="false" customHeight="false" outlineLevel="0" collapsed="false">
      <c r="A37" s="0" t="s">
        <v>60</v>
      </c>
      <c r="B37" s="0" t="s">
        <v>247</v>
      </c>
      <c r="C37" s="0" t="n">
        <v>260982.1</v>
      </c>
      <c r="D37" s="0" t="n">
        <v>327271.55</v>
      </c>
      <c r="E37" s="0" t="n">
        <v>0.212</v>
      </c>
      <c r="F37" s="0" t="n">
        <v>0.924</v>
      </c>
      <c r="G37" s="0" t="n">
        <v>79.81</v>
      </c>
      <c r="H37" s="0" t="n">
        <v>10.702</v>
      </c>
      <c r="I37" s="0" t="n">
        <v>4.62</v>
      </c>
      <c r="J37" s="0" t="n">
        <v>0.685</v>
      </c>
      <c r="K37" s="0" t="n">
        <v>1.487</v>
      </c>
      <c r="L37" s="0" t="n">
        <v>0.381</v>
      </c>
      <c r="M37" s="0" t="n">
        <v>0.416</v>
      </c>
      <c r="N37" s="0" t="n">
        <v>0.763</v>
      </c>
    </row>
    <row r="38" customFormat="false" ht="15" hidden="false" customHeight="false" outlineLevel="0" collapsed="false">
      <c r="A38" s="0" t="s">
        <v>61</v>
      </c>
      <c r="B38" s="0" t="s">
        <v>248</v>
      </c>
      <c r="C38" s="0" t="n">
        <v>390995.13</v>
      </c>
      <c r="D38" s="0" t="n">
        <v>514119.49</v>
      </c>
      <c r="E38" s="0" t="n">
        <v>0.165</v>
      </c>
      <c r="F38" s="0" t="n">
        <v>0.866</v>
      </c>
      <c r="G38" s="0" t="n">
        <v>77.195</v>
      </c>
      <c r="H38" s="0" t="n">
        <v>11.392</v>
      </c>
      <c r="I38" s="0" t="n">
        <v>5.235</v>
      </c>
      <c r="J38" s="0" t="n">
        <v>0.841</v>
      </c>
      <c r="K38" s="0" t="n">
        <v>1.873</v>
      </c>
      <c r="L38" s="0" t="n">
        <v>0.515</v>
      </c>
      <c r="M38" s="0" t="n">
        <v>0.59</v>
      </c>
      <c r="N38" s="0" t="n">
        <v>1.328</v>
      </c>
    </row>
    <row r="39" customFormat="false" ht="15" hidden="false" customHeight="false" outlineLevel="0" collapsed="false">
      <c r="A39" s="0" t="s">
        <v>62</v>
      </c>
      <c r="B39" s="0" t="s">
        <v>249</v>
      </c>
      <c r="C39" s="0" t="n">
        <v>475522.56</v>
      </c>
      <c r="D39" s="0" t="n">
        <v>625264.62</v>
      </c>
      <c r="E39" s="0" t="n">
        <v>0.165</v>
      </c>
      <c r="F39" s="0" t="n">
        <v>0.866</v>
      </c>
      <c r="G39" s="0" t="n">
        <v>77.195</v>
      </c>
      <c r="H39" s="0" t="n">
        <v>11.392</v>
      </c>
      <c r="I39" s="0" t="n">
        <v>5.235</v>
      </c>
      <c r="J39" s="0" t="n">
        <v>0.841</v>
      </c>
      <c r="K39" s="0" t="n">
        <v>1.873</v>
      </c>
      <c r="L39" s="0" t="n">
        <v>0.515</v>
      </c>
      <c r="M39" s="0" t="n">
        <v>0.59</v>
      </c>
      <c r="N39" s="0" t="n">
        <v>1.328</v>
      </c>
    </row>
    <row r="40" customFormat="false" ht="15" hidden="false" customHeight="false" outlineLevel="0" collapsed="false">
      <c r="A40" s="0" t="s">
        <v>63</v>
      </c>
      <c r="B40" s="0" t="s">
        <v>250</v>
      </c>
      <c r="C40" s="0" t="n">
        <v>131921.42</v>
      </c>
      <c r="D40" s="0" t="n">
        <v>167935.97</v>
      </c>
      <c r="E40" s="0" t="n">
        <v>0.109</v>
      </c>
      <c r="F40" s="0" t="n">
        <v>1.045</v>
      </c>
      <c r="G40" s="0" t="n">
        <v>78.009</v>
      </c>
      <c r="H40" s="0" t="n">
        <v>11.578</v>
      </c>
      <c r="I40" s="0" t="n">
        <v>5.413</v>
      </c>
      <c r="J40" s="0" t="n">
        <v>0.759</v>
      </c>
      <c r="K40" s="0" t="n">
        <v>1.676</v>
      </c>
      <c r="L40" s="0" t="n">
        <v>0.371</v>
      </c>
      <c r="M40" s="0" t="n">
        <v>0.399</v>
      </c>
      <c r="N40" s="0" t="n">
        <v>0.641</v>
      </c>
    </row>
    <row r="41" customFormat="false" ht="15" hidden="false" customHeight="false" outlineLevel="0" collapsed="false">
      <c r="A41" s="0" t="s">
        <v>64</v>
      </c>
      <c r="B41" s="0" t="s">
        <v>251</v>
      </c>
      <c r="C41" s="0" t="n">
        <v>522485.52</v>
      </c>
      <c r="D41" s="0" t="n">
        <v>668258.98</v>
      </c>
      <c r="E41" s="0" t="n">
        <v>0.179</v>
      </c>
      <c r="F41" s="0" t="n">
        <v>0.802</v>
      </c>
      <c r="G41" s="0" t="n">
        <v>78.54</v>
      </c>
      <c r="H41" s="0" t="n">
        <v>11.158</v>
      </c>
      <c r="I41" s="0" t="n">
        <v>5.019</v>
      </c>
      <c r="J41" s="0" t="n">
        <v>0.807</v>
      </c>
      <c r="K41" s="0" t="n">
        <v>1.755</v>
      </c>
      <c r="L41" s="0" t="n">
        <v>0.475</v>
      </c>
      <c r="M41" s="0" t="n">
        <v>0.539</v>
      </c>
      <c r="N41" s="0" t="n">
        <v>0.726</v>
      </c>
    </row>
    <row r="42" customFormat="false" ht="15" hidden="false" customHeight="false" outlineLevel="0" collapsed="false">
      <c r="A42" s="0" t="s">
        <v>65</v>
      </c>
      <c r="B42" s="0" t="s">
        <v>252</v>
      </c>
      <c r="C42" s="0" t="n">
        <v>84015.9</v>
      </c>
      <c r="D42" s="0" t="n">
        <v>103843.65</v>
      </c>
      <c r="E42" s="0" t="n">
        <v>0.096</v>
      </c>
      <c r="F42" s="0" t="n">
        <v>0.736</v>
      </c>
      <c r="G42" s="0" t="n">
        <v>81.238</v>
      </c>
      <c r="H42" s="0" t="n">
        <v>10.675</v>
      </c>
      <c r="I42" s="0" t="n">
        <v>3.984</v>
      </c>
      <c r="J42" s="0" t="n">
        <v>0.643</v>
      </c>
      <c r="K42" s="0" t="n">
        <v>1.174</v>
      </c>
      <c r="L42" s="0" t="n">
        <v>0.34</v>
      </c>
      <c r="M42" s="0" t="n">
        <v>0.357</v>
      </c>
      <c r="N42" s="0" t="n">
        <v>0.757</v>
      </c>
    </row>
    <row r="43" customFormat="false" ht="15" hidden="false" customHeight="false" outlineLevel="0" collapsed="false">
      <c r="A43" s="0" t="s">
        <v>66</v>
      </c>
      <c r="B43" s="0" t="s">
        <v>253</v>
      </c>
      <c r="C43" s="0" t="n">
        <v>0</v>
      </c>
      <c r="D43" s="0" t="n">
        <v>0</v>
      </c>
      <c r="E43" s="0" t="n">
        <v>0.132</v>
      </c>
      <c r="F43" s="0" t="n">
        <v>0.923000000000001</v>
      </c>
      <c r="G43" s="0" t="n">
        <v>81.04</v>
      </c>
      <c r="H43" s="0" t="n">
        <v>10.067</v>
      </c>
      <c r="I43" s="0" t="n">
        <v>3.911</v>
      </c>
      <c r="J43" s="0" t="n">
        <v>0.559</v>
      </c>
      <c r="K43" s="0" t="n">
        <v>1.238</v>
      </c>
      <c r="L43" s="0" t="n">
        <v>0.338</v>
      </c>
      <c r="M43" s="0" t="n">
        <v>0.403</v>
      </c>
      <c r="N43" s="0" t="n">
        <v>1.389</v>
      </c>
    </row>
    <row r="44" customFormat="false" ht="15" hidden="false" customHeight="false" outlineLevel="0" collapsed="false">
      <c r="A44" s="0" t="s">
        <v>67</v>
      </c>
      <c r="B44" s="0" t="s">
        <v>254</v>
      </c>
      <c r="C44" s="0" t="n">
        <v>0</v>
      </c>
      <c r="D44" s="0" t="n">
        <v>0</v>
      </c>
      <c r="E44" s="0" t="n">
        <v>0.18</v>
      </c>
      <c r="F44" s="0" t="n">
        <v>0.631</v>
      </c>
      <c r="G44" s="0" t="n">
        <v>85.971</v>
      </c>
      <c r="H44" s="0" t="n">
        <v>7.221</v>
      </c>
      <c r="I44" s="0" t="n">
        <v>3.24</v>
      </c>
      <c r="J44" s="0" t="n">
        <v>0.432</v>
      </c>
      <c r="K44" s="0" t="n">
        <v>1.094</v>
      </c>
      <c r="L44" s="0" t="n">
        <v>0.289</v>
      </c>
      <c r="M44" s="0" t="n">
        <v>0.353</v>
      </c>
      <c r="N44" s="0" t="n">
        <v>0.589</v>
      </c>
    </row>
    <row r="45" customFormat="false" ht="15" hidden="false" customHeight="false" outlineLevel="0" collapsed="false">
      <c r="A45" s="0" t="s">
        <v>68</v>
      </c>
      <c r="B45" s="0" t="s">
        <v>255</v>
      </c>
      <c r="C45" s="0" t="n">
        <v>374548.34</v>
      </c>
      <c r="D45" s="0" t="n">
        <v>443090.69</v>
      </c>
      <c r="E45" s="0" t="n">
        <v>0.18</v>
      </c>
      <c r="F45" s="0" t="n">
        <v>0.631</v>
      </c>
      <c r="G45" s="0" t="n">
        <v>85.971</v>
      </c>
      <c r="H45" s="0" t="n">
        <v>7.221</v>
      </c>
      <c r="I45" s="0" t="n">
        <v>3.24</v>
      </c>
      <c r="J45" s="0" t="n">
        <v>0.432</v>
      </c>
      <c r="K45" s="0" t="n">
        <v>1.094</v>
      </c>
      <c r="L45" s="0" t="n">
        <v>0.289</v>
      </c>
      <c r="M45" s="0" t="n">
        <v>0.353</v>
      </c>
      <c r="N45" s="0" t="n">
        <v>0.589</v>
      </c>
    </row>
    <row r="46" customFormat="false" ht="15" hidden="false" customHeight="false" outlineLevel="0" collapsed="false">
      <c r="A46" s="0" t="s">
        <v>69</v>
      </c>
      <c r="B46" s="0" t="s">
        <v>256</v>
      </c>
      <c r="C46" s="0" t="n">
        <v>70367.31</v>
      </c>
      <c r="D46" s="0" t="n">
        <v>85355.54</v>
      </c>
      <c r="E46" s="0" t="n">
        <v>0.419</v>
      </c>
      <c r="F46" s="0" t="n">
        <v>0.77</v>
      </c>
      <c r="G46" s="0" t="n">
        <v>82.547</v>
      </c>
      <c r="H46" s="0" t="n">
        <v>8.933</v>
      </c>
      <c r="I46" s="0" t="n">
        <v>4.244</v>
      </c>
      <c r="J46" s="0" t="n">
        <v>0.497</v>
      </c>
      <c r="K46" s="0" t="n">
        <v>1.429</v>
      </c>
      <c r="L46" s="0" t="n">
        <v>0.306</v>
      </c>
      <c r="M46" s="0" t="n">
        <v>0.393</v>
      </c>
      <c r="N46" s="0" t="n">
        <v>0.462</v>
      </c>
    </row>
    <row r="47" customFormat="false" ht="15" hidden="false" customHeight="false" outlineLevel="0" collapsed="false">
      <c r="A47" s="0" t="s">
        <v>70</v>
      </c>
      <c r="B47" s="0" t="s">
        <v>257</v>
      </c>
      <c r="C47" s="0" t="n">
        <v>24409.81</v>
      </c>
      <c r="D47" s="0" t="n">
        <v>29755.56</v>
      </c>
      <c r="E47" s="0" t="n">
        <v>0.226</v>
      </c>
      <c r="F47" s="0" t="n">
        <v>0.596</v>
      </c>
      <c r="G47" s="0" t="n">
        <v>84.175</v>
      </c>
      <c r="H47" s="0" t="n">
        <v>7.74</v>
      </c>
      <c r="I47" s="0" t="n">
        <v>3.77</v>
      </c>
      <c r="J47" s="0" t="n">
        <v>0.51</v>
      </c>
      <c r="K47" s="0" t="n">
        <v>1.289</v>
      </c>
      <c r="L47" s="0" t="n">
        <v>0.342</v>
      </c>
      <c r="M47" s="0" t="n">
        <v>0.414</v>
      </c>
      <c r="N47" s="0" t="n">
        <v>0.938</v>
      </c>
    </row>
    <row r="48" customFormat="false" ht="15" hidden="false" customHeight="false" outlineLevel="0" collapsed="false">
      <c r="A48" s="0" t="s">
        <v>71</v>
      </c>
      <c r="B48" s="0" t="s">
        <v>258</v>
      </c>
      <c r="C48" s="0" t="n">
        <v>45054.18</v>
      </c>
      <c r="D48" s="0" t="n">
        <v>55281.48</v>
      </c>
      <c r="E48" s="0" t="n">
        <v>0.121</v>
      </c>
      <c r="F48" s="0" t="n">
        <v>0.673</v>
      </c>
      <c r="G48" s="0" t="n">
        <v>84.205</v>
      </c>
      <c r="H48" s="0" t="n">
        <v>7.615</v>
      </c>
      <c r="I48" s="0" t="n">
        <v>3.665</v>
      </c>
      <c r="J48" s="0" t="n">
        <v>0.5</v>
      </c>
      <c r="K48" s="0" t="n">
        <v>1.279</v>
      </c>
      <c r="L48" s="0" t="n">
        <v>0.353</v>
      </c>
      <c r="M48" s="0" t="n">
        <v>0.431</v>
      </c>
      <c r="N48" s="0" t="n">
        <v>1.158</v>
      </c>
    </row>
    <row r="49" customFormat="false" ht="15" hidden="false" customHeight="false" outlineLevel="0" collapsed="false">
      <c r="A49" s="0" t="s">
        <v>72</v>
      </c>
      <c r="B49" s="0" t="s">
        <v>259</v>
      </c>
      <c r="C49" s="0" t="n">
        <v>300611.73</v>
      </c>
      <c r="D49" s="0" t="n">
        <v>365543.87</v>
      </c>
      <c r="E49" s="0" t="n">
        <v>0.182</v>
      </c>
      <c r="F49" s="0" t="n">
        <v>0.667</v>
      </c>
      <c r="G49" s="0" t="n">
        <v>84.115</v>
      </c>
      <c r="H49" s="0" t="n">
        <v>7.703</v>
      </c>
      <c r="I49" s="0" t="n">
        <v>3.801</v>
      </c>
      <c r="J49" s="0" t="n">
        <v>0.53</v>
      </c>
      <c r="K49" s="0" t="n">
        <v>1.449</v>
      </c>
      <c r="L49" s="0" t="n">
        <v>0.406</v>
      </c>
      <c r="M49" s="0" t="n">
        <v>0.511</v>
      </c>
      <c r="N49" s="0" t="n">
        <v>0.636</v>
      </c>
    </row>
    <row r="50" customFormat="false" ht="15" hidden="false" customHeight="false" outlineLevel="0" collapsed="false">
      <c r="A50" s="0" t="s">
        <v>73</v>
      </c>
      <c r="B50" s="0" t="s">
        <v>260</v>
      </c>
      <c r="C50" s="0" t="n">
        <v>187564.33</v>
      </c>
      <c r="D50" s="0" t="n">
        <v>235768.36</v>
      </c>
      <c r="E50" s="0" t="n">
        <v>0.412</v>
      </c>
      <c r="F50" s="0" t="n">
        <v>1.991</v>
      </c>
      <c r="G50" s="0" t="n">
        <v>79.423</v>
      </c>
      <c r="H50" s="0" t="n">
        <v>8.872</v>
      </c>
      <c r="I50" s="0" t="n">
        <v>4.711</v>
      </c>
      <c r="J50" s="0" t="n">
        <v>0.606</v>
      </c>
      <c r="K50" s="0" t="n">
        <v>1.747</v>
      </c>
      <c r="L50" s="0" t="n">
        <v>0.53</v>
      </c>
      <c r="M50" s="0" t="n">
        <v>0.577</v>
      </c>
      <c r="N50" s="0" t="n">
        <v>1.131</v>
      </c>
    </row>
    <row r="51" customFormat="false" ht="15" hidden="false" customHeight="false" outlineLevel="0" collapsed="false">
      <c r="A51" s="0" t="s">
        <v>74</v>
      </c>
      <c r="B51" s="0" t="s">
        <v>261</v>
      </c>
      <c r="C51" s="0" t="n">
        <v>425503.15</v>
      </c>
      <c r="D51" s="0" t="n">
        <v>574003.75</v>
      </c>
      <c r="E51" s="0" t="n">
        <v>0.714</v>
      </c>
      <c r="F51" s="0" t="n">
        <v>1.323</v>
      </c>
      <c r="G51" s="0" t="n">
        <v>71.66</v>
      </c>
      <c r="H51" s="0" t="n">
        <v>12.662</v>
      </c>
      <c r="I51" s="0" t="n">
        <v>8.253</v>
      </c>
      <c r="J51" s="0" t="n">
        <v>0.986</v>
      </c>
      <c r="K51" s="0" t="n">
        <v>2.889</v>
      </c>
      <c r="L51" s="0" t="n">
        <v>0.538</v>
      </c>
      <c r="M51" s="0" t="n">
        <v>0.574</v>
      </c>
      <c r="N51" s="0" t="n">
        <v>0.401</v>
      </c>
    </row>
    <row r="52" customFormat="false" ht="15" hidden="false" customHeight="false" outlineLevel="0" collapsed="false">
      <c r="A52" s="0" t="s">
        <v>75</v>
      </c>
      <c r="B52" s="0" t="s">
        <v>262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100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</row>
    <row r="53" customFormat="false" ht="15" hidden="false" customHeight="false" outlineLevel="0" collapsed="false">
      <c r="A53" s="0" t="s">
        <v>76</v>
      </c>
      <c r="B53" s="0" t="s">
        <v>263</v>
      </c>
      <c r="C53" s="0" t="n">
        <v>226763.72</v>
      </c>
      <c r="D53" s="0" t="n">
        <v>279599.66</v>
      </c>
      <c r="E53" s="0" t="n">
        <v>1.455</v>
      </c>
      <c r="F53" s="0" t="n">
        <v>1.173</v>
      </c>
      <c r="G53" s="0" t="n">
        <v>78.171</v>
      </c>
      <c r="H53" s="0" t="n">
        <v>10.944</v>
      </c>
      <c r="I53" s="0" t="n">
        <v>4.824</v>
      </c>
      <c r="J53" s="0" t="n">
        <v>0.675</v>
      </c>
      <c r="K53" s="0" t="n">
        <v>1.477</v>
      </c>
      <c r="L53" s="0" t="n">
        <v>0.355</v>
      </c>
      <c r="M53" s="0" t="n">
        <v>0.375</v>
      </c>
      <c r="N53" s="0" t="n">
        <v>0.551</v>
      </c>
    </row>
    <row r="54" customFormat="false" ht="15" hidden="false" customHeight="false" outlineLevel="0" collapsed="false">
      <c r="A54" s="0" t="s">
        <v>77</v>
      </c>
      <c r="B54" s="0" t="s">
        <v>264</v>
      </c>
      <c r="C54" s="0" t="n">
        <v>51042.07</v>
      </c>
      <c r="D54" s="0" t="n">
        <v>72326.62</v>
      </c>
      <c r="E54" s="0" t="n">
        <v>0.35</v>
      </c>
      <c r="F54" s="0" t="n">
        <v>1.262</v>
      </c>
      <c r="G54" s="0" t="n">
        <v>69.271</v>
      </c>
      <c r="H54" s="0" t="n">
        <v>13.537</v>
      </c>
      <c r="I54" s="0" t="n">
        <v>8.904</v>
      </c>
      <c r="J54" s="0" t="n">
        <v>0.965</v>
      </c>
      <c r="K54" s="0" t="n">
        <v>3.087</v>
      </c>
      <c r="L54" s="0" t="n">
        <v>0.627</v>
      </c>
      <c r="M54" s="0" t="n">
        <v>0.732</v>
      </c>
      <c r="N54" s="0" t="n">
        <v>1.265</v>
      </c>
    </row>
    <row r="55" customFormat="false" ht="15" hidden="false" customHeight="false" outlineLevel="0" collapsed="false">
      <c r="A55" s="0" t="s">
        <v>78</v>
      </c>
      <c r="B55" s="0" t="s">
        <v>265</v>
      </c>
      <c r="C55" s="0" t="n">
        <v>23172.18</v>
      </c>
      <c r="D55" s="0" t="n">
        <v>35036.33</v>
      </c>
      <c r="E55" s="0" t="n">
        <v>0.386</v>
      </c>
      <c r="F55" s="0" t="n">
        <v>1.243</v>
      </c>
      <c r="G55" s="0" t="n">
        <v>66.996</v>
      </c>
      <c r="H55" s="0" t="n">
        <v>12.796</v>
      </c>
      <c r="I55" s="0" t="n">
        <v>9.021</v>
      </c>
      <c r="J55" s="0" t="n">
        <v>1.124</v>
      </c>
      <c r="K55" s="0" t="n">
        <v>3.668</v>
      </c>
      <c r="L55" s="0" t="n">
        <v>0.902</v>
      </c>
      <c r="M55" s="0" t="n">
        <v>1.16</v>
      </c>
      <c r="N55" s="0" t="n">
        <v>2.704</v>
      </c>
    </row>
    <row r="56" customFormat="false" ht="15" hidden="false" customHeight="false" outlineLevel="0" collapsed="false">
      <c r="A56" s="0" t="s">
        <v>79</v>
      </c>
      <c r="B56" s="0" t="s">
        <v>266</v>
      </c>
      <c r="C56" s="0" t="n">
        <v>164470.78</v>
      </c>
      <c r="D56" s="0" t="n">
        <v>231081.44</v>
      </c>
      <c r="E56" s="0" t="n">
        <v>0.452</v>
      </c>
      <c r="F56" s="0" t="n">
        <v>1.557</v>
      </c>
      <c r="G56" s="0" t="n">
        <v>68.605</v>
      </c>
      <c r="H56" s="0" t="n">
        <v>13.605</v>
      </c>
      <c r="I56" s="0" t="n">
        <v>9.30300000000001</v>
      </c>
      <c r="J56" s="0" t="n">
        <v>1.09</v>
      </c>
      <c r="K56" s="0" t="n">
        <v>3.269</v>
      </c>
      <c r="L56" s="0" t="n">
        <v>0.677</v>
      </c>
      <c r="M56" s="0" t="n">
        <v>0.726</v>
      </c>
      <c r="N56" s="0" t="n">
        <v>0.716</v>
      </c>
    </row>
    <row r="57" customFormat="false" ht="15" hidden="false" customHeight="false" outlineLevel="0" collapsed="false">
      <c r="A57" s="0" t="s">
        <v>80</v>
      </c>
      <c r="B57" s="0" t="s">
        <v>267</v>
      </c>
      <c r="C57" s="0" t="n">
        <v>17299.87</v>
      </c>
      <c r="D57" s="0" t="n">
        <v>23960.32</v>
      </c>
      <c r="E57" s="0" t="n">
        <v>0.67</v>
      </c>
      <c r="F57" s="0" t="n">
        <v>1.207</v>
      </c>
      <c r="G57" s="0" t="n">
        <v>69.703</v>
      </c>
      <c r="H57" s="0" t="n">
        <v>13.688</v>
      </c>
      <c r="I57" s="0" t="n">
        <v>8.957</v>
      </c>
      <c r="J57" s="0" t="n">
        <v>0.956</v>
      </c>
      <c r="K57" s="0" t="n">
        <v>2.885</v>
      </c>
      <c r="L57" s="0" t="n">
        <v>0.548</v>
      </c>
      <c r="M57" s="0" t="n">
        <v>0.611</v>
      </c>
      <c r="N57" s="0" t="n">
        <v>0.775</v>
      </c>
    </row>
    <row r="58" customFormat="false" ht="15" hidden="false" customHeight="false" outlineLevel="0" collapsed="false">
      <c r="A58" s="0" t="s">
        <v>81</v>
      </c>
      <c r="B58" s="0" t="s">
        <v>268</v>
      </c>
      <c r="C58" s="0" t="n">
        <v>93835.16</v>
      </c>
      <c r="D58" s="0" t="n">
        <v>137843.85</v>
      </c>
      <c r="E58" s="0" t="n">
        <v>0.674</v>
      </c>
      <c r="F58" s="0" t="n">
        <v>1.324</v>
      </c>
      <c r="G58" s="0" t="n">
        <v>67.68</v>
      </c>
      <c r="H58" s="0" t="n">
        <v>13.238</v>
      </c>
      <c r="I58" s="0" t="n">
        <v>8.748</v>
      </c>
      <c r="J58" s="0" t="n">
        <v>1.033</v>
      </c>
      <c r="K58" s="0" t="n">
        <v>3.276</v>
      </c>
      <c r="L58" s="0" t="n">
        <v>0.778</v>
      </c>
      <c r="M58" s="0" t="n">
        <v>0.912</v>
      </c>
      <c r="N58" s="0" t="n">
        <v>2.337</v>
      </c>
    </row>
    <row r="59" customFormat="false" ht="15" hidden="false" customHeight="false" outlineLevel="0" collapsed="false">
      <c r="A59" s="0" t="s">
        <v>82</v>
      </c>
      <c r="B59" s="0" t="s">
        <v>269</v>
      </c>
      <c r="C59" s="0" t="n">
        <v>135025.2</v>
      </c>
      <c r="D59" s="0" t="n">
        <v>181203.81</v>
      </c>
      <c r="E59" s="0" t="n">
        <v>0.231</v>
      </c>
      <c r="F59" s="0" t="n">
        <v>0.898</v>
      </c>
      <c r="G59" s="0" t="n">
        <v>77.321</v>
      </c>
      <c r="H59" s="0" t="n">
        <v>9.42</v>
      </c>
      <c r="I59" s="0" t="n">
        <v>6.01</v>
      </c>
      <c r="J59" s="0" t="n">
        <v>0.761</v>
      </c>
      <c r="K59" s="0" t="n">
        <v>2.32</v>
      </c>
      <c r="L59" s="0" t="n">
        <v>0.588</v>
      </c>
      <c r="M59" s="0" t="n">
        <v>0.705</v>
      </c>
      <c r="N59" s="0" t="n">
        <v>1.746</v>
      </c>
    </row>
    <row r="60" customFormat="false" ht="15" hidden="false" customHeight="false" outlineLevel="0" collapsed="false">
      <c r="A60" s="0" t="s">
        <v>83</v>
      </c>
      <c r="B60" s="0" t="s">
        <v>270</v>
      </c>
      <c r="C60" s="0" t="n">
        <v>62525.86</v>
      </c>
      <c r="D60" s="0" t="n">
        <v>81971.41</v>
      </c>
      <c r="E60" s="0" t="n">
        <v>0.117</v>
      </c>
      <c r="F60" s="0" t="n">
        <v>1.02</v>
      </c>
      <c r="G60" s="0" t="n">
        <v>75.73</v>
      </c>
      <c r="H60" s="0" t="n">
        <v>12.299</v>
      </c>
      <c r="I60" s="0" t="n">
        <v>6.199</v>
      </c>
      <c r="J60" s="0" t="n">
        <v>0.854</v>
      </c>
      <c r="K60" s="0" t="n">
        <v>2.076</v>
      </c>
      <c r="L60" s="0" t="n">
        <v>0.475</v>
      </c>
      <c r="M60" s="0" t="n">
        <v>0.54</v>
      </c>
      <c r="N60" s="0" t="n">
        <v>0.69</v>
      </c>
    </row>
    <row r="61" customFormat="false" ht="15" hidden="false" customHeight="false" outlineLevel="0" collapsed="false">
      <c r="A61" s="0" t="s">
        <v>84</v>
      </c>
      <c r="B61" s="0" t="s">
        <v>271</v>
      </c>
      <c r="C61" s="0" t="n">
        <v>66780.48</v>
      </c>
      <c r="D61" s="0" t="n">
        <v>93559.45</v>
      </c>
      <c r="E61" s="0" t="n">
        <v>0.534</v>
      </c>
      <c r="F61" s="0" t="n">
        <v>0.769</v>
      </c>
      <c r="G61" s="0" t="n">
        <v>70.478</v>
      </c>
      <c r="H61" s="0" t="n">
        <v>14.337</v>
      </c>
      <c r="I61" s="0" t="n">
        <v>7.781</v>
      </c>
      <c r="J61" s="0" t="n">
        <v>0.784</v>
      </c>
      <c r="K61" s="0" t="n">
        <v>2.504</v>
      </c>
      <c r="L61" s="0" t="n">
        <v>0.516</v>
      </c>
      <c r="M61" s="0" t="n">
        <v>0.772</v>
      </c>
      <c r="N61" s="0" t="n">
        <v>1.525</v>
      </c>
    </row>
    <row r="62" customFormat="false" ht="15" hidden="false" customHeight="false" outlineLevel="0" collapsed="false">
      <c r="A62" s="0" t="s">
        <v>85</v>
      </c>
      <c r="B62" s="0" t="s">
        <v>272</v>
      </c>
      <c r="C62" s="0" t="n">
        <v>399850.83</v>
      </c>
      <c r="D62" s="0" t="n">
        <v>554593.09</v>
      </c>
      <c r="E62" s="0" t="n">
        <v>0.092</v>
      </c>
      <c r="F62" s="0" t="n">
        <v>0.82</v>
      </c>
      <c r="G62" s="0" t="n">
        <v>73.125</v>
      </c>
      <c r="H62" s="0" t="n">
        <v>12.76</v>
      </c>
      <c r="I62" s="0" t="n">
        <v>6.744</v>
      </c>
      <c r="J62" s="0" t="n">
        <v>0.988</v>
      </c>
      <c r="K62" s="0" t="n">
        <v>2.458</v>
      </c>
      <c r="L62" s="0" t="n">
        <v>0.618</v>
      </c>
      <c r="M62" s="0" t="n">
        <v>0.766</v>
      </c>
      <c r="N62" s="0" t="n">
        <v>1.629</v>
      </c>
    </row>
    <row r="63" customFormat="false" ht="15" hidden="false" customHeight="false" outlineLevel="0" collapsed="false">
      <c r="A63" s="0" t="s">
        <v>273</v>
      </c>
      <c r="B63" s="0" t="s">
        <v>274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100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</row>
    <row r="64" customFormat="false" ht="15" hidden="false" customHeight="false" outlineLevel="0" collapsed="false">
      <c r="A64" s="0" t="s">
        <v>94</v>
      </c>
      <c r="B64" s="0" t="s">
        <v>275</v>
      </c>
      <c r="C64" s="0" t="n">
        <v>0</v>
      </c>
      <c r="D64" s="0" t="n">
        <v>0</v>
      </c>
      <c r="E64" s="0" t="n">
        <v>0.121</v>
      </c>
      <c r="F64" s="0" t="n">
        <v>0.673000000000001</v>
      </c>
      <c r="G64" s="0" t="n">
        <v>84.2049999999999</v>
      </c>
      <c r="H64" s="0" t="n">
        <v>7.61500000000001</v>
      </c>
      <c r="I64" s="0" t="n">
        <v>3.665</v>
      </c>
      <c r="J64" s="0" t="n">
        <v>0.5</v>
      </c>
      <c r="K64" s="0" t="n">
        <v>1.279</v>
      </c>
      <c r="L64" s="0" t="n">
        <v>0.353</v>
      </c>
      <c r="M64" s="0" t="n">
        <v>0.431</v>
      </c>
      <c r="N64" s="0" t="n">
        <v>1.158</v>
      </c>
    </row>
    <row r="65" customFormat="false" ht="15" hidden="false" customHeight="false" outlineLevel="0" collapsed="false">
      <c r="A65" s="0" t="s">
        <v>95</v>
      </c>
      <c r="B65" s="0" t="s">
        <v>276</v>
      </c>
      <c r="C65" s="0" t="n">
        <v>262167.15</v>
      </c>
      <c r="D65" s="0" t="n">
        <v>326398.1</v>
      </c>
      <c r="E65" s="0" t="n">
        <v>0.169</v>
      </c>
      <c r="F65" s="0" t="n">
        <v>1.369</v>
      </c>
      <c r="G65" s="0" t="n">
        <v>79.224</v>
      </c>
      <c r="H65" s="0" t="n">
        <v>10.904</v>
      </c>
      <c r="I65" s="0" t="n">
        <v>4.714</v>
      </c>
      <c r="J65" s="0" t="n">
        <v>0.747</v>
      </c>
      <c r="K65" s="0" t="n">
        <v>1.59</v>
      </c>
      <c r="L65" s="0" t="n">
        <v>0.395</v>
      </c>
      <c r="M65" s="0" t="n">
        <v>0.426</v>
      </c>
      <c r="N65" s="0" t="n">
        <v>0.462</v>
      </c>
    </row>
    <row r="66" customFormat="false" ht="15" hidden="false" customHeight="false" outlineLevel="0" collapsed="false">
      <c r="A66" s="0" t="s">
        <v>277</v>
      </c>
      <c r="B66" s="0" t="s">
        <v>278</v>
      </c>
      <c r="C66" s="0" t="n">
        <v>0</v>
      </c>
      <c r="D66" s="0" t="n">
        <v>0</v>
      </c>
      <c r="E66" s="0" t="n">
        <v>0.231</v>
      </c>
      <c r="F66" s="0" t="n">
        <v>0.898</v>
      </c>
      <c r="G66" s="0" t="n">
        <v>77.3209999999999</v>
      </c>
      <c r="H66" s="0" t="n">
        <v>9.41999999999999</v>
      </c>
      <c r="I66" s="0" t="n">
        <v>6.01</v>
      </c>
      <c r="J66" s="0" t="n">
        <v>0.760999999999999</v>
      </c>
      <c r="K66" s="0" t="n">
        <v>2.32</v>
      </c>
      <c r="L66" s="0" t="n">
        <v>0.588000000000001</v>
      </c>
      <c r="M66" s="0" t="n">
        <v>0.705</v>
      </c>
      <c r="N66" s="0" t="n">
        <v>1.746</v>
      </c>
    </row>
    <row r="67" customFormat="false" ht="15" hidden="false" customHeight="false" outlineLevel="0" collapsed="false">
      <c r="A67" s="0" t="s">
        <v>279</v>
      </c>
      <c r="B67" s="0" t="s">
        <v>280</v>
      </c>
      <c r="C67" s="0" t="n">
        <v>0</v>
      </c>
      <c r="D67" s="0" t="n">
        <v>0</v>
      </c>
      <c r="E67" s="0" t="n">
        <v>0.101</v>
      </c>
      <c r="F67" s="0" t="n">
        <v>0.827000000000001</v>
      </c>
      <c r="G67" s="0" t="n">
        <v>78.631</v>
      </c>
      <c r="H67" s="0" t="n">
        <v>11.052</v>
      </c>
      <c r="I67" s="0" t="n">
        <v>4.952</v>
      </c>
      <c r="J67" s="0" t="n">
        <v>0.774000000000001</v>
      </c>
      <c r="K67" s="0" t="n">
        <v>1.717</v>
      </c>
      <c r="L67" s="0" t="n">
        <v>0.462</v>
      </c>
      <c r="M67" s="0" t="n">
        <v>0.514</v>
      </c>
      <c r="N67" s="0" t="n">
        <v>0.969999999999999</v>
      </c>
    </row>
    <row r="68" customFormat="false" ht="15" hidden="false" customHeight="false" outlineLevel="0" collapsed="false">
      <c r="A68" s="0" t="s">
        <v>96</v>
      </c>
      <c r="B68" s="0" t="s">
        <v>281</v>
      </c>
      <c r="C68" s="0" t="n">
        <v>0</v>
      </c>
      <c r="D68" s="0" t="n">
        <v>0</v>
      </c>
      <c r="E68" s="0" t="n">
        <v>0.452</v>
      </c>
      <c r="F68" s="0" t="n">
        <v>1.557</v>
      </c>
      <c r="G68" s="0" t="n">
        <v>68.605</v>
      </c>
      <c r="H68" s="0" t="n">
        <v>13.605</v>
      </c>
      <c r="I68" s="0" t="n">
        <v>9.303</v>
      </c>
      <c r="J68" s="0" t="n">
        <v>1.09</v>
      </c>
      <c r="K68" s="0" t="n">
        <v>3.269</v>
      </c>
      <c r="L68" s="0" t="n">
        <v>0.677</v>
      </c>
      <c r="M68" s="0" t="n">
        <v>0.726</v>
      </c>
      <c r="N68" s="0" t="n">
        <v>0.716</v>
      </c>
    </row>
    <row r="69" customFormat="false" ht="15" hidden="false" customHeight="false" outlineLevel="0" collapsed="false">
      <c r="A69" s="0" t="s">
        <v>97</v>
      </c>
      <c r="B69" s="0" t="s">
        <v>282</v>
      </c>
      <c r="C69" s="0" t="n">
        <v>0</v>
      </c>
      <c r="D69" s="0" t="n">
        <v>0</v>
      </c>
      <c r="E69" s="0" t="n">
        <v>0.386</v>
      </c>
      <c r="F69" s="0" t="n">
        <v>1.243</v>
      </c>
      <c r="G69" s="0" t="n">
        <v>66.9960000000001</v>
      </c>
      <c r="H69" s="0" t="n">
        <v>12.796</v>
      </c>
      <c r="I69" s="0" t="n">
        <v>9.02100000000001</v>
      </c>
      <c r="J69" s="0" t="n">
        <v>1.124</v>
      </c>
      <c r="K69" s="0" t="n">
        <v>3.668</v>
      </c>
      <c r="L69" s="0" t="n">
        <v>0.902</v>
      </c>
      <c r="M69" s="0" t="n">
        <v>1.16</v>
      </c>
      <c r="N69" s="0" t="n">
        <v>2.704</v>
      </c>
    </row>
    <row r="70" customFormat="false" ht="15" hidden="false" customHeight="false" outlineLevel="0" collapsed="false">
      <c r="A70" s="0" t="s">
        <v>101</v>
      </c>
      <c r="B70" s="0" t="s">
        <v>283</v>
      </c>
      <c r="C70" s="0" t="n">
        <v>0</v>
      </c>
      <c r="D70" s="0" t="n">
        <v>0</v>
      </c>
      <c r="E70" s="0" t="n">
        <v>0.67</v>
      </c>
      <c r="F70" s="0" t="n">
        <v>1.207</v>
      </c>
      <c r="G70" s="0" t="n">
        <v>69.703</v>
      </c>
      <c r="H70" s="0" t="n">
        <v>13.688</v>
      </c>
      <c r="I70" s="0" t="n">
        <v>8.957</v>
      </c>
      <c r="J70" s="0" t="n">
        <v>0.956</v>
      </c>
      <c r="K70" s="0" t="n">
        <v>2.885</v>
      </c>
      <c r="L70" s="0" t="n">
        <v>0.548</v>
      </c>
      <c r="M70" s="0" t="n">
        <v>0.611000000000001</v>
      </c>
      <c r="N70" s="0" t="n">
        <v>0.775</v>
      </c>
    </row>
    <row r="71" customFormat="false" ht="15" hidden="false" customHeight="false" outlineLevel="0" collapsed="false">
      <c r="A71" s="0" t="s">
        <v>99</v>
      </c>
      <c r="B71" s="0" t="s">
        <v>284</v>
      </c>
      <c r="C71" s="0" t="n">
        <v>0</v>
      </c>
      <c r="D71" s="0" t="n">
        <v>0</v>
      </c>
      <c r="E71" s="0" t="n">
        <v>0.674</v>
      </c>
      <c r="F71" s="0" t="n">
        <v>1.324</v>
      </c>
      <c r="G71" s="0" t="n">
        <v>67.68</v>
      </c>
      <c r="H71" s="0" t="n">
        <v>13.238</v>
      </c>
      <c r="I71" s="0" t="n">
        <v>8.748</v>
      </c>
      <c r="J71" s="0" t="n">
        <v>1.033</v>
      </c>
      <c r="K71" s="0" t="n">
        <v>3.276</v>
      </c>
      <c r="L71" s="0" t="n">
        <v>0.778</v>
      </c>
      <c r="M71" s="0" t="n">
        <v>0.912</v>
      </c>
      <c r="N71" s="0" t="n">
        <v>2.337</v>
      </c>
    </row>
    <row r="72" customFormat="false" ht="15" hidden="false" customHeight="false" outlineLevel="0" collapsed="false">
      <c r="A72" s="0" t="s">
        <v>88</v>
      </c>
      <c r="B72" s="0" t="s">
        <v>285</v>
      </c>
      <c r="C72" s="0" t="n">
        <v>243134.31</v>
      </c>
      <c r="D72" s="0" t="n">
        <v>312670.72</v>
      </c>
      <c r="E72" s="0" t="n">
        <v>0.135</v>
      </c>
      <c r="F72" s="0" t="n">
        <v>0.866</v>
      </c>
      <c r="G72" s="0" t="n">
        <v>78.175</v>
      </c>
      <c r="H72" s="0" t="n">
        <v>11.344</v>
      </c>
      <c r="I72" s="0" t="n">
        <v>5.072</v>
      </c>
      <c r="J72" s="0" t="n">
        <v>0.771</v>
      </c>
      <c r="K72" s="0" t="n">
        <v>1.767</v>
      </c>
      <c r="L72" s="0" t="n">
        <v>0.506</v>
      </c>
      <c r="M72" s="0" t="n">
        <v>0.536</v>
      </c>
      <c r="N72" s="0" t="n">
        <v>0.828</v>
      </c>
    </row>
    <row r="73" customFormat="false" ht="15" hidden="false" customHeight="false" outlineLevel="0" collapsed="false">
      <c r="A73" s="0" t="s">
        <v>286</v>
      </c>
      <c r="B73" s="0" t="s">
        <v>287</v>
      </c>
      <c r="C73" s="0" t="n">
        <v>0</v>
      </c>
      <c r="D73" s="0" t="n">
        <v>0</v>
      </c>
      <c r="E73" s="0" t="n">
        <v>0.0920000000000001</v>
      </c>
      <c r="F73" s="0" t="n">
        <v>0.82</v>
      </c>
      <c r="G73" s="0" t="n">
        <v>73.125</v>
      </c>
      <c r="H73" s="0" t="n">
        <v>12.76</v>
      </c>
      <c r="I73" s="0" t="n">
        <v>6.744</v>
      </c>
      <c r="J73" s="0" t="n">
        <v>0.988</v>
      </c>
      <c r="K73" s="0" t="n">
        <v>2.458</v>
      </c>
      <c r="L73" s="0" t="n">
        <v>0.618</v>
      </c>
      <c r="M73" s="0" t="n">
        <v>0.765999999999999</v>
      </c>
      <c r="N73" s="0" t="n">
        <v>1.629</v>
      </c>
    </row>
    <row r="74" customFormat="false" ht="15" hidden="false" customHeight="false" outlineLevel="0" collapsed="false">
      <c r="A74" s="0" t="s">
        <v>98</v>
      </c>
      <c r="B74" s="0" t="s">
        <v>288</v>
      </c>
      <c r="C74" s="0" t="n">
        <v>4616.41</v>
      </c>
      <c r="D74" s="0" t="n">
        <v>5756.66</v>
      </c>
      <c r="E74" s="0" t="n">
        <v>0.125</v>
      </c>
      <c r="F74" s="0" t="n">
        <v>0.582</v>
      </c>
      <c r="G74" s="0" t="n">
        <v>81.076</v>
      </c>
      <c r="H74" s="0" t="n">
        <v>10.555</v>
      </c>
      <c r="I74" s="0" t="n">
        <v>4.037</v>
      </c>
      <c r="J74" s="0" t="n">
        <v>0.705</v>
      </c>
      <c r="K74" s="0" t="n">
        <v>1.318</v>
      </c>
      <c r="L74" s="0" t="n">
        <v>0.372</v>
      </c>
      <c r="M74" s="0" t="n">
        <v>0.396</v>
      </c>
      <c r="N74" s="0" t="n">
        <v>0.834</v>
      </c>
    </row>
    <row r="75" customFormat="false" ht="15" hidden="false" customHeight="false" outlineLevel="0" collapsed="false">
      <c r="A75" s="0" t="s">
        <v>89</v>
      </c>
      <c r="B75" s="0" t="s">
        <v>289</v>
      </c>
      <c r="C75" s="0" t="n">
        <v>76284.56</v>
      </c>
      <c r="D75" s="0" t="n">
        <v>98178.22</v>
      </c>
      <c r="E75" s="0" t="n">
        <v>0.112</v>
      </c>
      <c r="F75" s="0" t="n">
        <v>0.9</v>
      </c>
      <c r="G75" s="0" t="n">
        <v>77.819</v>
      </c>
      <c r="H75" s="0" t="n">
        <v>11.063</v>
      </c>
      <c r="I75" s="0" t="n">
        <v>5.419</v>
      </c>
      <c r="J75" s="0" t="n">
        <v>0.984</v>
      </c>
      <c r="K75" s="0" t="n">
        <v>2.135</v>
      </c>
      <c r="L75" s="0" t="n">
        <v>0.61</v>
      </c>
      <c r="M75" s="0" t="n">
        <v>0.603</v>
      </c>
      <c r="N75" s="0" t="n">
        <v>0.355</v>
      </c>
    </row>
    <row r="76" customFormat="false" ht="15" hidden="false" customHeight="false" outlineLevel="0" collapsed="false">
      <c r="A76" s="0" t="s">
        <v>90</v>
      </c>
      <c r="B76" s="0" t="s">
        <v>290</v>
      </c>
      <c r="C76" s="0" t="n">
        <v>198846.02</v>
      </c>
      <c r="D76" s="0" t="n">
        <v>247563.3</v>
      </c>
      <c r="E76" s="0" t="n">
        <v>0.169</v>
      </c>
      <c r="F76" s="0" t="n">
        <v>1.369</v>
      </c>
      <c r="G76" s="0" t="n">
        <v>79.224</v>
      </c>
      <c r="H76" s="0" t="n">
        <v>10.904</v>
      </c>
      <c r="I76" s="0" t="n">
        <v>4.714</v>
      </c>
      <c r="J76" s="0" t="n">
        <v>0.747</v>
      </c>
      <c r="K76" s="0" t="n">
        <v>1.59</v>
      </c>
      <c r="L76" s="0" t="n">
        <v>0.395</v>
      </c>
      <c r="M76" s="0" t="n">
        <v>0.426</v>
      </c>
      <c r="N76" s="0" t="n">
        <v>0.462</v>
      </c>
    </row>
    <row r="77" customFormat="false" ht="15" hidden="false" customHeight="false" outlineLevel="0" collapsed="false">
      <c r="A77" s="0" t="s">
        <v>91</v>
      </c>
      <c r="B77" s="0" t="s">
        <v>291</v>
      </c>
      <c r="C77" s="0" t="n">
        <v>172222.81</v>
      </c>
      <c r="D77" s="0" t="n">
        <v>221478.54</v>
      </c>
      <c r="E77" s="0" t="n">
        <v>0.165</v>
      </c>
      <c r="F77" s="0" t="n">
        <v>0.914</v>
      </c>
      <c r="G77" s="0" t="n">
        <v>77.476</v>
      </c>
      <c r="H77" s="0" t="n">
        <v>11.587</v>
      </c>
      <c r="I77" s="0" t="n">
        <v>5.416</v>
      </c>
      <c r="J77" s="0" t="n">
        <v>0.908</v>
      </c>
      <c r="K77" s="0" t="n">
        <v>2.013</v>
      </c>
      <c r="L77" s="0" t="n">
        <v>0.514</v>
      </c>
      <c r="M77" s="0" t="n">
        <v>0.569</v>
      </c>
      <c r="N77" s="0" t="n">
        <v>0.438</v>
      </c>
    </row>
    <row r="78" customFormat="false" ht="15" hidden="false" customHeight="false" outlineLevel="0" collapsed="false">
      <c r="A78" s="0" t="s">
        <v>92</v>
      </c>
      <c r="B78" s="0" t="s">
        <v>292</v>
      </c>
      <c r="C78" s="0" t="n">
        <v>152794.15</v>
      </c>
      <c r="D78" s="0" t="n">
        <v>197868.43</v>
      </c>
      <c r="E78" s="0" t="n">
        <v>0.176</v>
      </c>
      <c r="F78" s="0" t="n">
        <v>1.239</v>
      </c>
      <c r="G78" s="0" t="n">
        <v>77.009</v>
      </c>
      <c r="H78" s="0" t="n">
        <v>11.315</v>
      </c>
      <c r="I78" s="0" t="n">
        <v>5.509</v>
      </c>
      <c r="J78" s="0" t="n">
        <v>0.852</v>
      </c>
      <c r="K78" s="0" t="n">
        <v>1.99</v>
      </c>
      <c r="L78" s="0" t="n">
        <v>0.53</v>
      </c>
      <c r="M78" s="0" t="n">
        <v>0.602</v>
      </c>
      <c r="N78" s="0" t="n">
        <v>0.778</v>
      </c>
    </row>
    <row r="79" customFormat="false" ht="15" hidden="false" customHeight="false" outlineLevel="0" collapsed="false">
      <c r="A79" s="0" t="s">
        <v>93</v>
      </c>
      <c r="B79" s="0" t="s">
        <v>293</v>
      </c>
      <c r="C79" s="0" t="n">
        <v>0</v>
      </c>
      <c r="D79" s="0" t="n">
        <v>0</v>
      </c>
      <c r="E79" s="0" t="n">
        <v>0.714</v>
      </c>
      <c r="F79" s="0" t="n">
        <v>1.323</v>
      </c>
      <c r="G79" s="0" t="n">
        <v>71.66</v>
      </c>
      <c r="H79" s="0" t="n">
        <v>12.662</v>
      </c>
      <c r="I79" s="0" t="n">
        <v>8.25299999999999</v>
      </c>
      <c r="J79" s="0" t="n">
        <v>0.986000000000001</v>
      </c>
      <c r="K79" s="0" t="n">
        <v>2.889</v>
      </c>
      <c r="L79" s="0" t="n">
        <v>0.538</v>
      </c>
      <c r="M79" s="0" t="n">
        <v>0.574</v>
      </c>
      <c r="N79" s="0" t="n">
        <v>0.401</v>
      </c>
    </row>
    <row r="80" customFormat="false" ht="15" hidden="false" customHeight="false" outlineLevel="0" collapsed="false">
      <c r="A80" s="0" t="s">
        <v>100</v>
      </c>
      <c r="B80" s="0" t="s">
        <v>294</v>
      </c>
      <c r="C80" s="0" t="n">
        <v>19998.06</v>
      </c>
      <c r="D80" s="0" t="n">
        <v>24537.62</v>
      </c>
      <c r="E80" s="0" t="n">
        <v>0.052</v>
      </c>
      <c r="F80" s="0" t="n">
        <v>0.586</v>
      </c>
      <c r="G80" s="0" t="n">
        <v>80.843</v>
      </c>
      <c r="H80" s="0" t="n">
        <v>11.222</v>
      </c>
      <c r="I80" s="0" t="n">
        <v>4.513</v>
      </c>
      <c r="J80" s="0" t="n">
        <v>0.709</v>
      </c>
      <c r="K80" s="0" t="n">
        <v>1.339</v>
      </c>
      <c r="L80" s="0" t="n">
        <v>0.285</v>
      </c>
      <c r="M80" s="0" t="n">
        <v>0.286</v>
      </c>
      <c r="N80" s="0" t="n">
        <v>0.165</v>
      </c>
    </row>
    <row r="81" customFormat="false" ht="15" hidden="false" customHeight="false" outlineLevel="0" collapsed="false">
      <c r="A81" s="0" t="s">
        <v>163</v>
      </c>
      <c r="B81" s="0" t="s">
        <v>295</v>
      </c>
      <c r="C81" s="0" t="n">
        <v>0</v>
      </c>
      <c r="D81" s="0" t="n">
        <v>0</v>
      </c>
      <c r="E81" s="0" t="n">
        <v>0</v>
      </c>
      <c r="F81" s="0" t="n">
        <v>1</v>
      </c>
      <c r="G81" s="0" t="n">
        <v>96</v>
      </c>
      <c r="H81" s="0" t="n">
        <v>3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</row>
    <row r="82" customFormat="false" ht="15" hidden="false" customHeight="false" outlineLevel="0" collapsed="false">
      <c r="A82" s="0" t="s">
        <v>134</v>
      </c>
      <c r="B82" s="0" t="s">
        <v>296</v>
      </c>
      <c r="C82" s="0" t="n">
        <v>11319.04</v>
      </c>
      <c r="D82" s="0" t="n">
        <v>11851.04</v>
      </c>
      <c r="E82" s="0" t="n">
        <v>0.173</v>
      </c>
      <c r="F82" s="0" t="n">
        <v>1.672</v>
      </c>
      <c r="G82" s="0" t="n">
        <v>90.977</v>
      </c>
      <c r="H82" s="0" t="n">
        <v>6.867</v>
      </c>
      <c r="I82" s="0" t="n">
        <v>0.311</v>
      </c>
      <c r="N82" s="0" t="n">
        <v>0</v>
      </c>
    </row>
    <row r="83" customFormat="false" ht="15" hidden="false" customHeight="false" outlineLevel="0" collapsed="false">
      <c r="A83" s="0" t="s">
        <v>118</v>
      </c>
      <c r="B83" s="0" t="s">
        <v>297</v>
      </c>
      <c r="C83" s="0" t="n">
        <v>8457.51</v>
      </c>
      <c r="D83" s="0" t="n">
        <v>10757.95</v>
      </c>
      <c r="E83" s="0" t="n">
        <v>0.098</v>
      </c>
      <c r="F83" s="0" t="n">
        <v>1.188</v>
      </c>
      <c r="G83" s="0" t="n">
        <v>78.317</v>
      </c>
      <c r="H83" s="0" t="n">
        <v>10.966</v>
      </c>
      <c r="I83" s="0" t="n">
        <v>5.032</v>
      </c>
      <c r="J83" s="0" t="n">
        <v>0.888</v>
      </c>
      <c r="K83" s="0" t="n">
        <v>1.936</v>
      </c>
      <c r="L83" s="0" t="n">
        <v>0.561</v>
      </c>
      <c r="M83" s="0" t="n">
        <v>0.58</v>
      </c>
      <c r="N83" s="0" t="n">
        <v>0.434</v>
      </c>
    </row>
    <row r="84" customFormat="false" ht="15" hidden="false" customHeight="false" outlineLevel="0" collapsed="false">
      <c r="A84" s="0" t="s">
        <v>135</v>
      </c>
      <c r="B84" s="0" t="s">
        <v>298</v>
      </c>
      <c r="C84" s="0" t="n">
        <v>216704.95</v>
      </c>
      <c r="D84" s="0" t="n">
        <v>218005.18</v>
      </c>
      <c r="F84" s="0" t="n">
        <v>1.262</v>
      </c>
      <c r="G84" s="0" t="n">
        <v>97.633</v>
      </c>
      <c r="H84" s="0" t="n">
        <v>0.961</v>
      </c>
      <c r="I84" s="0" t="n">
        <v>0.122</v>
      </c>
      <c r="J84" s="0" t="n">
        <v>0.009</v>
      </c>
      <c r="K84" s="0" t="n">
        <v>0.013</v>
      </c>
      <c r="N84" s="0" t="n">
        <v>0</v>
      </c>
    </row>
    <row r="85" customFormat="false" ht="15" hidden="false" customHeight="false" outlineLevel="0" collapsed="false">
      <c r="A85" s="0" t="s">
        <v>136</v>
      </c>
      <c r="B85" s="0" t="s">
        <v>299</v>
      </c>
      <c r="C85" s="0" t="n">
        <v>42390.88</v>
      </c>
      <c r="D85" s="0" t="n">
        <v>44425.64</v>
      </c>
      <c r="E85" s="0" t="n">
        <v>0.17</v>
      </c>
      <c r="F85" s="0" t="n">
        <v>1.625</v>
      </c>
      <c r="G85" s="0" t="n">
        <v>91.001</v>
      </c>
      <c r="H85" s="0" t="n">
        <v>6.877</v>
      </c>
      <c r="I85" s="0" t="n">
        <v>0.327</v>
      </c>
      <c r="N85" s="0" t="n">
        <v>0</v>
      </c>
    </row>
    <row r="86" customFormat="false" ht="15" hidden="false" customHeight="false" outlineLevel="0" collapsed="false">
      <c r="A86" s="0" t="s">
        <v>129</v>
      </c>
      <c r="B86" s="0" t="s">
        <v>300</v>
      </c>
      <c r="C86" s="0" t="n">
        <v>28805.14</v>
      </c>
      <c r="D86" s="0" t="n">
        <v>36006.43</v>
      </c>
      <c r="E86" s="0" t="n">
        <v>0.125</v>
      </c>
      <c r="F86" s="0" t="n">
        <v>0.594</v>
      </c>
      <c r="G86" s="0" t="n">
        <v>80.708</v>
      </c>
      <c r="H86" s="0" t="n">
        <v>10.699</v>
      </c>
      <c r="I86" s="0" t="n">
        <v>4.223</v>
      </c>
      <c r="J86" s="0" t="n">
        <v>0.728</v>
      </c>
      <c r="K86" s="0" t="n">
        <v>1.381</v>
      </c>
      <c r="L86" s="0" t="n">
        <v>0.387</v>
      </c>
      <c r="M86" s="0" t="n">
        <v>0.416</v>
      </c>
      <c r="N86" s="0" t="n">
        <v>0.739</v>
      </c>
    </row>
    <row r="87" customFormat="false" ht="15" hidden="false" customHeight="false" outlineLevel="0" collapsed="false">
      <c r="A87" s="0" t="s">
        <v>119</v>
      </c>
      <c r="B87" s="0" t="s">
        <v>301</v>
      </c>
      <c r="C87" s="0" t="n">
        <v>19006.73</v>
      </c>
      <c r="D87" s="0" t="n">
        <v>24062.52</v>
      </c>
      <c r="E87" s="0" t="n">
        <v>0.172</v>
      </c>
      <c r="F87" s="0" t="n">
        <v>0.803</v>
      </c>
      <c r="G87" s="0" t="n">
        <v>78.701</v>
      </c>
      <c r="H87" s="0" t="n">
        <v>11.447</v>
      </c>
      <c r="I87" s="0" t="n">
        <v>5.059</v>
      </c>
      <c r="J87" s="0" t="n">
        <v>0.769</v>
      </c>
      <c r="K87" s="0" t="n">
        <v>1.687</v>
      </c>
      <c r="L87" s="0" t="n">
        <v>0.402</v>
      </c>
      <c r="M87" s="0" t="n">
        <v>0.452</v>
      </c>
      <c r="N87" s="0" t="n">
        <v>0.508</v>
      </c>
    </row>
    <row r="88" customFormat="false" ht="15" hidden="false" customHeight="false" outlineLevel="0" collapsed="false">
      <c r="A88" s="0" t="s">
        <v>120</v>
      </c>
      <c r="B88" s="0" t="s">
        <v>302</v>
      </c>
      <c r="C88" s="0" t="n">
        <v>0</v>
      </c>
      <c r="D88" s="0" t="n">
        <v>0</v>
      </c>
      <c r="E88" s="0" t="n">
        <v>0.089</v>
      </c>
      <c r="F88" s="0" t="n">
        <v>0.754</v>
      </c>
      <c r="G88" s="0" t="n">
        <v>81.445</v>
      </c>
      <c r="H88" s="0" t="n">
        <v>10.582</v>
      </c>
      <c r="I88" s="0" t="n">
        <v>3.952</v>
      </c>
      <c r="J88" s="0" t="n">
        <v>0.612</v>
      </c>
      <c r="K88" s="0" t="n">
        <v>1.202</v>
      </c>
      <c r="L88" s="0" t="n">
        <v>0.318</v>
      </c>
      <c r="M88" s="0" t="n">
        <v>0.355</v>
      </c>
      <c r="N88" s="0" t="n">
        <v>0.691</v>
      </c>
    </row>
    <row r="89" customFormat="false" ht="15" hidden="false" customHeight="false" outlineLevel="0" collapsed="false">
      <c r="A89" s="0" t="s">
        <v>121</v>
      </c>
      <c r="B89" s="0" t="s">
        <v>303</v>
      </c>
      <c r="C89" s="0" t="n">
        <v>4687.64</v>
      </c>
      <c r="D89" s="0" t="n">
        <v>5770.49</v>
      </c>
      <c r="E89" s="0" t="n">
        <v>0.089</v>
      </c>
      <c r="F89" s="0" t="n">
        <v>0.754</v>
      </c>
      <c r="G89" s="0" t="n">
        <v>81.445</v>
      </c>
      <c r="H89" s="0" t="n">
        <v>10.582</v>
      </c>
      <c r="I89" s="0" t="n">
        <v>3.952</v>
      </c>
      <c r="J89" s="0" t="n">
        <v>0.612</v>
      </c>
      <c r="K89" s="0" t="n">
        <v>1.202</v>
      </c>
      <c r="L89" s="0" t="n">
        <v>0.318</v>
      </c>
      <c r="M89" s="0" t="n">
        <v>0.355</v>
      </c>
      <c r="N89" s="0" t="n">
        <v>0.691</v>
      </c>
    </row>
    <row r="90" customFormat="false" ht="15" hidden="false" customHeight="false" outlineLevel="0" collapsed="false">
      <c r="A90" s="0" t="s">
        <v>122</v>
      </c>
      <c r="B90" s="0" t="s">
        <v>304</v>
      </c>
      <c r="C90" s="0" t="n">
        <v>17944.11</v>
      </c>
      <c r="D90" s="0" t="n">
        <v>23165.84</v>
      </c>
      <c r="E90" s="0" t="n">
        <v>0.239</v>
      </c>
      <c r="F90" s="0" t="n">
        <v>1.021</v>
      </c>
      <c r="G90" s="0" t="n">
        <v>77.21</v>
      </c>
      <c r="H90" s="0" t="n">
        <v>11.301</v>
      </c>
      <c r="I90" s="0" t="n">
        <v>5.667</v>
      </c>
      <c r="J90" s="0" t="n">
        <v>0.891</v>
      </c>
      <c r="K90" s="0" t="n">
        <v>2.046</v>
      </c>
      <c r="L90" s="0" t="n">
        <v>0.493</v>
      </c>
      <c r="M90" s="0" t="n">
        <v>0.537</v>
      </c>
      <c r="N90" s="0" t="n">
        <v>0.595</v>
      </c>
    </row>
    <row r="91" customFormat="false" ht="15" hidden="false" customHeight="false" outlineLevel="0" collapsed="false">
      <c r="A91" s="0" t="s">
        <v>123</v>
      </c>
      <c r="B91" s="0" t="s">
        <v>305</v>
      </c>
      <c r="C91" s="0" t="n">
        <v>24688.41</v>
      </c>
      <c r="D91" s="0" t="n">
        <v>31132.08</v>
      </c>
      <c r="E91" s="0" t="n">
        <v>0.164</v>
      </c>
      <c r="F91" s="0" t="n">
        <v>0.839</v>
      </c>
      <c r="G91" s="0" t="n">
        <v>78.305</v>
      </c>
      <c r="H91" s="0" t="n">
        <v>11.796</v>
      </c>
      <c r="I91" s="0" t="n">
        <v>5.3</v>
      </c>
      <c r="J91" s="0" t="n">
        <v>0.812</v>
      </c>
      <c r="K91" s="0" t="n">
        <v>1.743</v>
      </c>
      <c r="L91" s="0" t="n">
        <v>0.386</v>
      </c>
      <c r="M91" s="0" t="n">
        <v>0.4</v>
      </c>
      <c r="N91" s="0" t="n">
        <v>0.255</v>
      </c>
    </row>
    <row r="92" customFormat="false" ht="15" hidden="false" customHeight="false" outlineLevel="0" collapsed="false">
      <c r="A92" s="0" t="s">
        <v>124</v>
      </c>
      <c r="B92" s="0" t="s">
        <v>306</v>
      </c>
      <c r="C92" s="0" t="n">
        <v>19289.82</v>
      </c>
      <c r="D92" s="0" t="n">
        <v>25694.05</v>
      </c>
      <c r="E92" s="0" t="n">
        <v>0.435</v>
      </c>
      <c r="F92" s="0" t="n">
        <v>1.102</v>
      </c>
      <c r="G92" s="0" t="n">
        <v>72.548</v>
      </c>
      <c r="H92" s="0" t="n">
        <v>12.995</v>
      </c>
      <c r="I92" s="0" t="n">
        <v>8.37</v>
      </c>
      <c r="J92" s="0" t="n">
        <v>0.903</v>
      </c>
      <c r="K92" s="0" t="n">
        <v>2.665</v>
      </c>
      <c r="L92" s="0" t="n">
        <v>0.423</v>
      </c>
      <c r="M92" s="0" t="n">
        <v>0.408</v>
      </c>
      <c r="N92" s="0" t="n">
        <v>0.151</v>
      </c>
    </row>
    <row r="93" customFormat="false" ht="15" hidden="false" customHeight="false" outlineLevel="0" collapsed="false">
      <c r="A93" s="0" t="s">
        <v>125</v>
      </c>
      <c r="B93" s="0" t="s">
        <v>307</v>
      </c>
      <c r="C93" s="0" t="n">
        <v>0</v>
      </c>
      <c r="D93" s="0" t="n">
        <v>0</v>
      </c>
      <c r="E93" s="0" t="n">
        <v>0.216999992728233</v>
      </c>
      <c r="F93" s="0" t="n">
        <v>0.533999979496002</v>
      </c>
      <c r="G93" s="0" t="n">
        <v>85.2399978637695</v>
      </c>
      <c r="H93" s="0" t="n">
        <v>7.75600004196167</v>
      </c>
      <c r="I93" s="0" t="n">
        <v>3.75300002098083</v>
      </c>
      <c r="J93" s="0" t="n">
        <v>0.503000020980835</v>
      </c>
      <c r="K93" s="0" t="n">
        <v>1.21899998188019</v>
      </c>
      <c r="L93" s="0" t="n">
        <v>0.275999993085861</v>
      </c>
      <c r="M93" s="0" t="n">
        <v>0.296000003814697</v>
      </c>
      <c r="N93" s="0" t="n">
        <v>0.206000000238419</v>
      </c>
    </row>
    <row r="94" customFormat="false" ht="15" hidden="false" customHeight="false" outlineLevel="0" collapsed="false">
      <c r="A94" s="0" t="s">
        <v>126</v>
      </c>
      <c r="B94" s="0" t="s">
        <v>308</v>
      </c>
      <c r="C94" s="0" t="n">
        <v>3684.48</v>
      </c>
      <c r="D94" s="0" t="n">
        <v>4454.54</v>
      </c>
      <c r="E94" s="0" t="n">
        <v>0.318</v>
      </c>
      <c r="F94" s="0" t="n">
        <v>0.55</v>
      </c>
      <c r="G94" s="0" t="n">
        <v>84.27</v>
      </c>
      <c r="H94" s="0" t="n">
        <v>7.86</v>
      </c>
      <c r="I94" s="0" t="n">
        <v>3.738</v>
      </c>
      <c r="J94" s="0" t="n">
        <v>0.516</v>
      </c>
      <c r="K94" s="0" t="n">
        <v>1.299</v>
      </c>
      <c r="L94" s="0" t="n">
        <v>0.349</v>
      </c>
      <c r="M94" s="0" t="n">
        <v>0.422</v>
      </c>
      <c r="N94" s="0" t="n">
        <v>0.678</v>
      </c>
    </row>
    <row r="95" customFormat="false" ht="15" hidden="false" customHeight="false" outlineLevel="0" collapsed="false">
      <c r="A95" s="0" t="s">
        <v>127</v>
      </c>
      <c r="B95" s="0" t="s">
        <v>309</v>
      </c>
      <c r="C95" s="0" t="n">
        <v>25831.73</v>
      </c>
      <c r="D95" s="0" t="n">
        <v>29964.8</v>
      </c>
      <c r="E95" s="0" t="n">
        <v>0.168</v>
      </c>
      <c r="F95" s="0" t="n">
        <v>2.117</v>
      </c>
      <c r="G95" s="0" t="n">
        <v>81.79</v>
      </c>
      <c r="H95" s="0" t="n">
        <v>10.687</v>
      </c>
      <c r="I95" s="0" t="n">
        <v>3.797</v>
      </c>
      <c r="J95" s="0" t="n">
        <v>0.438</v>
      </c>
      <c r="K95" s="0" t="n">
        <v>0.766</v>
      </c>
      <c r="L95" s="0" t="n">
        <v>0.103</v>
      </c>
      <c r="M95" s="0" t="n">
        <v>0.09</v>
      </c>
      <c r="N95" s="0" t="n">
        <v>0.044</v>
      </c>
    </row>
    <row r="96" customFormat="false" ht="15" hidden="false" customHeight="false" outlineLevel="0" collapsed="false">
      <c r="A96" s="0" t="s">
        <v>117</v>
      </c>
      <c r="B96" s="0" t="s">
        <v>310</v>
      </c>
      <c r="C96" s="0" t="n">
        <v>15274.83</v>
      </c>
      <c r="D96" s="0" t="n">
        <v>19337.93</v>
      </c>
      <c r="E96" s="0" t="n">
        <v>0.121</v>
      </c>
      <c r="F96" s="0" t="n">
        <v>0.839</v>
      </c>
      <c r="G96" s="0" t="n">
        <v>79.667</v>
      </c>
      <c r="H96" s="0" t="n">
        <v>10.619</v>
      </c>
      <c r="I96" s="0" t="n">
        <v>4.586</v>
      </c>
      <c r="J96" s="0" t="n">
        <v>0.744</v>
      </c>
      <c r="K96" s="0" t="n">
        <v>1.639</v>
      </c>
      <c r="L96" s="0" t="n">
        <v>0.501</v>
      </c>
      <c r="M96" s="0" t="n">
        <v>0.572</v>
      </c>
      <c r="N96" s="0" t="n">
        <v>0.712</v>
      </c>
    </row>
    <row r="97" customFormat="false" ht="15" hidden="false" customHeight="false" outlineLevel="0" collapsed="false">
      <c r="A97" s="0" t="s">
        <v>130</v>
      </c>
      <c r="B97" s="0" t="s">
        <v>311</v>
      </c>
      <c r="C97" s="0" t="n">
        <v>31266.74</v>
      </c>
      <c r="D97" s="0" t="n">
        <v>39396.09</v>
      </c>
      <c r="E97" s="0" t="n">
        <v>0.157</v>
      </c>
      <c r="F97" s="0" t="n">
        <v>0.886</v>
      </c>
      <c r="G97" s="0" t="n">
        <v>78.052</v>
      </c>
      <c r="H97" s="0" t="n">
        <v>12.031</v>
      </c>
      <c r="I97" s="0" t="n">
        <v>5.447</v>
      </c>
      <c r="J97" s="0" t="n">
        <v>0.791</v>
      </c>
      <c r="K97" s="0" t="n">
        <v>1.704</v>
      </c>
      <c r="L97" s="0" t="n">
        <v>0.35</v>
      </c>
      <c r="M97" s="0" t="n">
        <v>0.356</v>
      </c>
      <c r="N97" s="0" t="n">
        <v>0.226</v>
      </c>
    </row>
    <row r="98" customFormat="false" ht="15" hidden="false" customHeight="false" outlineLevel="0" collapsed="false">
      <c r="A98" s="0" t="s">
        <v>138</v>
      </c>
      <c r="B98" s="0" t="s">
        <v>312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100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</row>
    <row r="99" customFormat="false" ht="15" hidden="false" customHeight="false" outlineLevel="0" collapsed="false">
      <c r="A99" s="0" t="s">
        <v>132</v>
      </c>
      <c r="B99" s="0" t="s">
        <v>313</v>
      </c>
      <c r="C99" s="0" t="n">
        <v>14056.53</v>
      </c>
      <c r="D99" s="0" t="n">
        <v>14112.76</v>
      </c>
      <c r="F99" s="0" t="n">
        <v>1.099</v>
      </c>
      <c r="G99" s="0" t="n">
        <v>98.081</v>
      </c>
      <c r="H99" s="0" t="n">
        <v>0.775</v>
      </c>
      <c r="I99" s="0" t="n">
        <v>0.045</v>
      </c>
      <c r="N99" s="0" t="n">
        <v>0</v>
      </c>
    </row>
    <row r="100" customFormat="false" ht="15" hidden="false" customHeight="false" outlineLevel="0" collapsed="false">
      <c r="A100" s="0" t="s">
        <v>133</v>
      </c>
      <c r="B100" s="0" t="s">
        <v>314</v>
      </c>
      <c r="C100" s="0" t="n">
        <v>9614.86</v>
      </c>
      <c r="D100" s="0" t="n">
        <v>9720.62</v>
      </c>
      <c r="F100" s="0" t="n">
        <v>1.095</v>
      </c>
      <c r="G100" s="0" t="n">
        <v>97.438</v>
      </c>
      <c r="H100" s="0" t="n">
        <v>1.242</v>
      </c>
      <c r="I100" s="0" t="n">
        <v>0.189</v>
      </c>
      <c r="J100" s="0" t="n">
        <v>0.014</v>
      </c>
      <c r="K100" s="0" t="n">
        <v>0.022</v>
      </c>
      <c r="N100" s="0" t="n">
        <v>0</v>
      </c>
    </row>
    <row r="101" customFormat="false" ht="15" hidden="false" customHeight="false" outlineLevel="0" collapsed="false">
      <c r="A101" s="0" t="s">
        <v>128</v>
      </c>
      <c r="B101" s="0" t="s">
        <v>315</v>
      </c>
      <c r="C101" s="0" t="n">
        <v>4752.29</v>
      </c>
      <c r="D101" s="0" t="n">
        <v>6406.08</v>
      </c>
      <c r="E101" s="0" t="n">
        <v>0.268</v>
      </c>
      <c r="F101" s="0" t="n">
        <v>1.416</v>
      </c>
      <c r="G101" s="0" t="n">
        <v>71.766</v>
      </c>
      <c r="H101" s="0" t="n">
        <v>12.868</v>
      </c>
      <c r="I101" s="0" t="n">
        <v>8.665</v>
      </c>
      <c r="J101" s="0" t="n">
        <v>0.95</v>
      </c>
      <c r="K101" s="0" t="n">
        <v>2.81</v>
      </c>
      <c r="L101" s="0" t="n">
        <v>0.469</v>
      </c>
      <c r="M101" s="0" t="n">
        <v>0.513</v>
      </c>
      <c r="N101" s="0" t="n">
        <v>0.275</v>
      </c>
    </row>
    <row r="102" customFormat="false" ht="15" hidden="false" customHeight="false" outlineLevel="0" collapsed="false">
      <c r="A102" s="0" t="s">
        <v>316</v>
      </c>
      <c r="B102" s="0" t="s">
        <v>317</v>
      </c>
      <c r="C102" s="0" t="n">
        <v>508596.82</v>
      </c>
      <c r="D102" s="0" t="n">
        <v>635746.02</v>
      </c>
      <c r="E102" s="0" t="n">
        <v>0.125</v>
      </c>
      <c r="F102" s="0" t="n">
        <v>0.594</v>
      </c>
      <c r="G102" s="0" t="n">
        <v>80.708</v>
      </c>
      <c r="H102" s="0" t="n">
        <v>10.699</v>
      </c>
      <c r="I102" s="0" t="n">
        <v>4.223</v>
      </c>
      <c r="J102" s="0" t="n">
        <v>0.728</v>
      </c>
      <c r="K102" s="0" t="n">
        <v>1.381</v>
      </c>
      <c r="L102" s="0" t="n">
        <v>0.387</v>
      </c>
      <c r="M102" s="0" t="n">
        <v>0.416</v>
      </c>
      <c r="N102" s="0" t="n">
        <v>0.739</v>
      </c>
    </row>
    <row r="103" customFormat="false" ht="15" hidden="false" customHeight="false" outlineLevel="0" collapsed="false">
      <c r="A103" s="0" t="s">
        <v>318</v>
      </c>
      <c r="B103" s="0" t="s">
        <v>319</v>
      </c>
      <c r="C103" s="0" t="n">
        <v>4432232.3</v>
      </c>
      <c r="D103" s="0" t="n">
        <v>5543868.05</v>
      </c>
      <c r="E103" s="0" t="n">
        <v>0.329638958154139</v>
      </c>
      <c r="F103" s="0" t="n">
        <v>0.841558039433176</v>
      </c>
      <c r="G103" s="0" t="n">
        <v>79.5929339418582</v>
      </c>
      <c r="H103" s="0" t="n">
        <v>10.750317162005</v>
      </c>
      <c r="I103" s="0" t="n">
        <v>5.14618593314819</v>
      </c>
      <c r="J103" s="0" t="n">
        <v>0.728508519339993</v>
      </c>
      <c r="K103" s="0" t="n">
        <v>1.59334016987004</v>
      </c>
      <c r="L103" s="0" t="n">
        <v>0.36395880375585</v>
      </c>
      <c r="M103" s="0" t="n">
        <v>0.363610980329868</v>
      </c>
      <c r="N103" s="0" t="n">
        <v>0.289947742830589</v>
      </c>
    </row>
    <row r="104" customFormat="false" ht="15" hidden="false" customHeight="false" outlineLevel="0" collapsed="false">
      <c r="A104" s="0" t="s">
        <v>320</v>
      </c>
      <c r="B104" s="0" t="s">
        <v>321</v>
      </c>
      <c r="C104" s="0" t="n">
        <v>4628199.94</v>
      </c>
      <c r="D104" s="0" t="n">
        <v>5788022.33</v>
      </c>
      <c r="E104" s="0" t="n">
        <v>0.326322250540276</v>
      </c>
      <c r="F104" s="0" t="n">
        <v>0.842299317490597</v>
      </c>
      <c r="G104" s="0" t="n">
        <v>79.5521447705737</v>
      </c>
      <c r="H104" s="0" t="n">
        <v>10.8407623589501</v>
      </c>
      <c r="I104" s="0" t="n">
        <v>5.10902262659626</v>
      </c>
      <c r="J104" s="0" t="n">
        <v>0.728704163415184</v>
      </c>
      <c r="K104" s="0" t="n">
        <v>1.59857756877488</v>
      </c>
      <c r="L104" s="0" t="n">
        <v>0.361830392854062</v>
      </c>
      <c r="M104" s="0" t="n">
        <v>0.354905976255753</v>
      </c>
      <c r="N104" s="0" t="n">
        <v>0.285430471164863</v>
      </c>
    </row>
    <row r="105" customFormat="false" ht="15" hidden="false" customHeight="false" outlineLevel="0" collapsed="false">
      <c r="A105" s="0" t="s">
        <v>322</v>
      </c>
      <c r="B105" s="0" t="s">
        <v>323</v>
      </c>
      <c r="C105" s="0" t="n">
        <v>0</v>
      </c>
      <c r="D105" s="0" t="n">
        <v>0</v>
      </c>
      <c r="E105" s="0" t="n">
        <v>0</v>
      </c>
      <c r="F105" s="0" t="n">
        <v>0</v>
      </c>
      <c r="G105" s="0" t="n">
        <v>100</v>
      </c>
      <c r="H105" s="0" t="n">
        <v>0</v>
      </c>
      <c r="I105" s="0" t="n">
        <v>0</v>
      </c>
      <c r="J105" s="0" t="n">
        <v>0</v>
      </c>
      <c r="K105" s="0" t="n">
        <v>0</v>
      </c>
      <c r="L105" s="0" t="n">
        <v>0</v>
      </c>
      <c r="M105" s="0" t="n">
        <v>0</v>
      </c>
      <c r="N105" s="0" t="n">
        <v>0</v>
      </c>
    </row>
    <row r="106" customFormat="false" ht="15" hidden="false" customHeight="false" outlineLevel="0" collapsed="false">
      <c r="A106" s="0" t="s">
        <v>324</v>
      </c>
      <c r="B106" s="0" t="s">
        <v>325</v>
      </c>
      <c r="C106" s="0" t="n">
        <v>126287.86</v>
      </c>
      <c r="D106" s="0" t="n">
        <v>185516.87</v>
      </c>
      <c r="E106" s="0" t="n">
        <v>0.105</v>
      </c>
      <c r="F106" s="0" t="n">
        <v>0.712</v>
      </c>
      <c r="G106" s="0" t="n">
        <v>66.654</v>
      </c>
      <c r="H106" s="0" t="n">
        <v>13.38</v>
      </c>
      <c r="I106" s="0" t="n">
        <v>11.984</v>
      </c>
      <c r="J106" s="0" t="n">
        <v>1.662</v>
      </c>
      <c r="K106" s="0" t="n">
        <v>3.55</v>
      </c>
      <c r="L106" s="0" t="n">
        <v>0.715</v>
      </c>
      <c r="M106" s="0" t="n">
        <v>0.703</v>
      </c>
      <c r="N106" s="0" t="n">
        <v>0.535</v>
      </c>
    </row>
    <row r="107" customFormat="false" ht="15" hidden="false" customHeight="false" outlineLevel="0" collapsed="false">
      <c r="A107" s="0" t="s">
        <v>326</v>
      </c>
      <c r="B107" s="0" t="s">
        <v>327</v>
      </c>
      <c r="C107" s="0" t="n">
        <v>77194.55</v>
      </c>
      <c r="D107" s="0" t="n">
        <v>94100.16</v>
      </c>
      <c r="E107" s="0" t="n">
        <v>0.097</v>
      </c>
      <c r="F107" s="0" t="n">
        <v>0.852</v>
      </c>
      <c r="G107" s="0" t="n">
        <v>81.583</v>
      </c>
      <c r="H107" s="0" t="n">
        <v>10.665</v>
      </c>
      <c r="I107" s="0" t="n">
        <v>3.944</v>
      </c>
      <c r="J107" s="0" t="n">
        <v>0.632</v>
      </c>
      <c r="K107" s="0" t="n">
        <v>1.129</v>
      </c>
      <c r="L107" s="0" t="n">
        <v>0.308</v>
      </c>
      <c r="M107" s="0" t="n">
        <v>0.317</v>
      </c>
      <c r="N107" s="0" t="n">
        <v>0.473</v>
      </c>
    </row>
    <row r="108" customFormat="false" ht="15" hidden="false" customHeight="false" outlineLevel="0" collapsed="false">
      <c r="A108" s="0" t="s">
        <v>328</v>
      </c>
      <c r="B108" s="0" t="s">
        <v>329</v>
      </c>
      <c r="C108" s="0" t="n">
        <v>699206.19</v>
      </c>
      <c r="D108" s="0" t="n">
        <v>869113.29</v>
      </c>
      <c r="E108" s="0" t="n">
        <v>0.33</v>
      </c>
      <c r="F108" s="0" t="n">
        <v>0.995</v>
      </c>
      <c r="G108" s="0" t="n">
        <v>79.627</v>
      </c>
      <c r="H108" s="0" t="n">
        <v>10.917</v>
      </c>
      <c r="I108" s="0" t="n">
        <v>4.757</v>
      </c>
      <c r="J108" s="0" t="n">
        <v>0.662</v>
      </c>
      <c r="K108" s="0" t="n">
        <v>1.447</v>
      </c>
      <c r="L108" s="0" t="n">
        <v>0.339</v>
      </c>
      <c r="M108" s="0" t="n">
        <v>0.365</v>
      </c>
      <c r="N108" s="0" t="n">
        <v>0.561</v>
      </c>
    </row>
    <row r="109" customFormat="false" ht="15" hidden="false" customHeight="false" outlineLevel="0" collapsed="false">
      <c r="A109" s="0" t="s">
        <v>330</v>
      </c>
      <c r="B109" s="0" t="s">
        <v>331</v>
      </c>
      <c r="C109" s="0" t="n">
        <v>0</v>
      </c>
      <c r="D109" s="0" t="n">
        <v>0</v>
      </c>
      <c r="E109" s="0" t="n">
        <v>0.263</v>
      </c>
      <c r="F109" s="0" t="n">
        <v>0.657</v>
      </c>
      <c r="G109" s="0" t="n">
        <v>84.248</v>
      </c>
      <c r="H109" s="0" t="n">
        <v>8.16999999999999</v>
      </c>
      <c r="I109" s="0" t="n">
        <v>4.034</v>
      </c>
      <c r="J109" s="0" t="n">
        <v>0.485</v>
      </c>
      <c r="K109" s="0" t="n">
        <v>1.223</v>
      </c>
      <c r="L109" s="0" t="n">
        <v>0.293</v>
      </c>
      <c r="M109" s="0" t="n">
        <v>0.334</v>
      </c>
      <c r="N109" s="0" t="n">
        <v>0.293</v>
      </c>
    </row>
    <row r="110" customFormat="false" ht="15" hidden="false" customHeight="false" outlineLevel="0" collapsed="false">
      <c r="A110" s="0" t="s">
        <v>332</v>
      </c>
      <c r="B110" s="0" t="s">
        <v>333</v>
      </c>
      <c r="C110" s="0" t="n">
        <v>482919.68</v>
      </c>
      <c r="D110" s="0" t="n">
        <v>601235</v>
      </c>
      <c r="E110" s="0" t="n">
        <v>0.169</v>
      </c>
      <c r="F110" s="0" t="n">
        <v>1.369</v>
      </c>
      <c r="G110" s="0" t="n">
        <v>79.224</v>
      </c>
      <c r="H110" s="0" t="n">
        <v>10.904</v>
      </c>
      <c r="I110" s="0" t="n">
        <v>4.714</v>
      </c>
      <c r="J110" s="0" t="n">
        <v>0.747</v>
      </c>
      <c r="K110" s="0" t="n">
        <v>1.59</v>
      </c>
      <c r="L110" s="0" t="n">
        <v>0.395</v>
      </c>
      <c r="M110" s="0" t="n">
        <v>0.426</v>
      </c>
      <c r="N110" s="0" t="n">
        <v>0.462</v>
      </c>
    </row>
    <row r="111" customFormat="false" ht="15" hidden="false" customHeight="false" outlineLevel="0" collapsed="false">
      <c r="A111" s="0" t="s">
        <v>334</v>
      </c>
      <c r="B111" s="0" t="s">
        <v>335</v>
      </c>
      <c r="C111" s="0" t="n">
        <v>841995.11</v>
      </c>
      <c r="D111" s="0" t="n">
        <v>1082805.71</v>
      </c>
      <c r="E111" s="0" t="n">
        <v>0.135</v>
      </c>
      <c r="F111" s="0" t="n">
        <v>0.866</v>
      </c>
      <c r="G111" s="0" t="n">
        <v>78.175</v>
      </c>
      <c r="H111" s="0" t="n">
        <v>11.344</v>
      </c>
      <c r="I111" s="0" t="n">
        <v>5.072</v>
      </c>
      <c r="J111" s="0" t="n">
        <v>0.771</v>
      </c>
      <c r="K111" s="0" t="n">
        <v>1.767</v>
      </c>
      <c r="L111" s="0" t="n">
        <v>0.506</v>
      </c>
      <c r="M111" s="0" t="n">
        <v>0.536</v>
      </c>
      <c r="N111" s="0" t="n">
        <v>0.828</v>
      </c>
    </row>
    <row r="112" customFormat="false" ht="15" hidden="false" customHeight="false" outlineLevel="0" collapsed="false">
      <c r="A112" s="0" t="s">
        <v>336</v>
      </c>
      <c r="B112" s="0" t="s">
        <v>337</v>
      </c>
      <c r="C112" s="0" t="n">
        <v>59928.46</v>
      </c>
      <c r="D112" s="0" t="n">
        <v>71374.8</v>
      </c>
      <c r="E112" s="0" t="n">
        <v>0.201</v>
      </c>
      <c r="F112" s="0" t="n">
        <v>0.621</v>
      </c>
      <c r="G112" s="0" t="n">
        <v>85.197</v>
      </c>
      <c r="H112" s="0" t="n">
        <v>7.579</v>
      </c>
      <c r="I112" s="0" t="n">
        <v>3.581</v>
      </c>
      <c r="J112" s="0" t="n">
        <v>0.474</v>
      </c>
      <c r="K112" s="0" t="n">
        <v>1.188</v>
      </c>
      <c r="L112" s="0" t="n">
        <v>0.297</v>
      </c>
      <c r="M112" s="0" t="n">
        <v>0.35</v>
      </c>
      <c r="N112" s="0" t="n">
        <v>0.512</v>
      </c>
    </row>
    <row r="113" customFormat="false" ht="15" hidden="false" customHeight="false" outlineLevel="0" collapsed="false">
      <c r="A113" s="0" t="s">
        <v>338</v>
      </c>
      <c r="B113" s="0" t="s">
        <v>339</v>
      </c>
      <c r="C113" s="0" t="n">
        <v>513413.14</v>
      </c>
      <c r="D113" s="0" t="n">
        <v>677191.93</v>
      </c>
      <c r="E113" s="0" t="n">
        <v>0.431</v>
      </c>
      <c r="F113" s="0" t="n">
        <v>1.382</v>
      </c>
      <c r="G113" s="0" t="n">
        <v>73.796</v>
      </c>
      <c r="H113" s="0" t="n">
        <v>11.963</v>
      </c>
      <c r="I113" s="0" t="n">
        <v>7.671</v>
      </c>
      <c r="J113" s="0" t="n">
        <v>0.864</v>
      </c>
      <c r="K113" s="0" t="n">
        <v>2.603</v>
      </c>
      <c r="L113" s="571" t="n">
        <v>0.483</v>
      </c>
      <c r="M113" s="571" t="n">
        <v>0.509</v>
      </c>
      <c r="N113" s="571" t="n">
        <v>0.298</v>
      </c>
    </row>
    <row r="114" customFormat="false" ht="15" hidden="false" customHeight="false" outlineLevel="0" collapsed="false">
      <c r="A114" s="0" t="s">
        <v>180</v>
      </c>
      <c r="B114" s="0" t="s">
        <v>340</v>
      </c>
      <c r="C114" s="0" t="n">
        <v>3465332.31</v>
      </c>
      <c r="D114" s="0" t="n">
        <v>3565243.69</v>
      </c>
      <c r="E114" s="0" t="n">
        <v>0.0272778527518202</v>
      </c>
      <c r="F114" s="0" t="n">
        <v>1.02086752714395</v>
      </c>
      <c r="G114" s="0" t="n">
        <v>95.7473787792474</v>
      </c>
      <c r="H114" s="0" t="n">
        <v>3.1264529322299</v>
      </c>
      <c r="I114" s="0" t="n">
        <v>0.0772557662189315</v>
      </c>
      <c r="J114" s="0" t="n">
        <v>0.000436208878247077</v>
      </c>
      <c r="K114" s="0" t="n">
        <v>0.000429226524226098</v>
      </c>
      <c r="L114" s="0" t="n">
        <v>0</v>
      </c>
      <c r="M114" s="0" t="n">
        <v>0</v>
      </c>
      <c r="N114" s="571" t="n">
        <v>6.39666306380367E-007</v>
      </c>
    </row>
    <row r="115" customFormat="false" ht="15" hidden="false" customHeight="false" outlineLevel="0" collapsed="false">
      <c r="A115" s="0" t="s">
        <v>341</v>
      </c>
      <c r="B115" s="0" t="s">
        <v>342</v>
      </c>
      <c r="C115" s="0" t="n">
        <v>459586.51</v>
      </c>
      <c r="D115" s="0" t="n">
        <v>581836.52</v>
      </c>
      <c r="E115" s="0" t="n">
        <v>0.121</v>
      </c>
      <c r="F115" s="0" t="n">
        <v>0.839</v>
      </c>
      <c r="G115" s="0" t="n">
        <v>79.667</v>
      </c>
      <c r="H115" s="0" t="n">
        <v>10.619</v>
      </c>
      <c r="I115" s="0" t="n">
        <v>4.586</v>
      </c>
      <c r="J115" s="0" t="n">
        <v>0.744</v>
      </c>
      <c r="K115" s="0" t="n">
        <v>1.639</v>
      </c>
      <c r="L115" s="0" t="n">
        <v>0.501</v>
      </c>
      <c r="M115" s="0" t="n">
        <v>0.572</v>
      </c>
      <c r="N115" s="0" t="n">
        <v>0.712</v>
      </c>
    </row>
    <row r="116" customFormat="false" ht="15" hidden="false" customHeight="false" outlineLevel="0" collapsed="false">
      <c r="A116" s="0" t="s">
        <v>343</v>
      </c>
      <c r="B116" s="0" t="s">
        <v>344</v>
      </c>
      <c r="C116" s="0" t="n">
        <v>473825.25</v>
      </c>
      <c r="D116" s="0" t="n">
        <v>580435.93</v>
      </c>
      <c r="E116" s="0" t="n">
        <v>0.115</v>
      </c>
      <c r="F116" s="0" t="n">
        <v>0.897</v>
      </c>
      <c r="G116" s="0" t="n">
        <v>81.139</v>
      </c>
      <c r="H116" s="0" t="n">
        <v>10.651</v>
      </c>
      <c r="I116" s="0" t="n">
        <v>4.127</v>
      </c>
      <c r="J116" s="0" t="n">
        <v>0.689</v>
      </c>
      <c r="K116" s="0" t="n">
        <v>1.286</v>
      </c>
      <c r="L116" s="0" t="n">
        <v>0.334</v>
      </c>
      <c r="M116" s="0" t="n">
        <v>0.349</v>
      </c>
      <c r="N116" s="0" t="n">
        <v>0.413</v>
      </c>
    </row>
    <row r="117" customFormat="false" ht="15" hidden="false" customHeight="false" outlineLevel="0" collapsed="false">
      <c r="A117" s="0" t="s">
        <v>345</v>
      </c>
      <c r="B117" s="0" t="s">
        <v>346</v>
      </c>
      <c r="C117" s="0" t="n">
        <v>984114.18</v>
      </c>
      <c r="D117" s="0" t="n">
        <v>1268523.17</v>
      </c>
      <c r="E117" s="0" t="n">
        <v>0.146</v>
      </c>
      <c r="F117" s="0" t="n">
        <v>0.927</v>
      </c>
      <c r="G117" s="0" t="n">
        <v>77.414</v>
      </c>
      <c r="H117" s="0" t="n">
        <v>11.691</v>
      </c>
      <c r="I117" s="0" t="n">
        <v>5.467</v>
      </c>
      <c r="J117" s="0" t="n">
        <v>0.797</v>
      </c>
      <c r="K117" s="0" t="n">
        <v>1.866</v>
      </c>
      <c r="L117" s="0" t="n">
        <v>0.491</v>
      </c>
      <c r="M117" s="0" t="n">
        <v>0.583</v>
      </c>
      <c r="N117" s="0" t="n">
        <v>0.618</v>
      </c>
    </row>
    <row r="118" customFormat="false" ht="15" hidden="false" customHeight="false" outlineLevel="0" collapsed="false">
      <c r="A118" s="0" t="s">
        <v>347</v>
      </c>
      <c r="B118" s="0" t="s">
        <v>348</v>
      </c>
      <c r="C118" s="0" t="n">
        <v>39085.07</v>
      </c>
      <c r="D118" s="0" t="n">
        <v>51670.46</v>
      </c>
      <c r="E118" s="0" t="n">
        <v>0.308</v>
      </c>
      <c r="F118" s="0" t="n">
        <v>1.393</v>
      </c>
      <c r="G118" s="0" t="n">
        <v>72.849</v>
      </c>
      <c r="H118" s="0" t="n">
        <v>12.96</v>
      </c>
      <c r="I118" s="0" t="n">
        <v>8.257</v>
      </c>
      <c r="J118" s="0" t="n">
        <v>0.836</v>
      </c>
      <c r="K118" s="0" t="n">
        <v>2.421</v>
      </c>
      <c r="L118" s="571" t="n">
        <v>0.377</v>
      </c>
      <c r="M118" s="571" t="n">
        <v>0.353</v>
      </c>
      <c r="N118" s="571" t="n">
        <v>0.246</v>
      </c>
    </row>
    <row r="119" customFormat="false" ht="15" hidden="false" customHeight="false" outlineLevel="0" collapsed="false">
      <c r="A119" s="0" t="s">
        <v>181</v>
      </c>
      <c r="B119" s="0" t="s">
        <v>349</v>
      </c>
      <c r="C119" s="0" t="n">
        <v>3811549.47</v>
      </c>
      <c r="D119" s="0" t="n">
        <v>3937855.59</v>
      </c>
      <c r="E119" s="0" t="n">
        <v>0.0479830404687859</v>
      </c>
      <c r="F119" s="0" t="n">
        <v>1.01775534871719</v>
      </c>
      <c r="G119" s="0" t="n">
        <v>95.1666524238812</v>
      </c>
      <c r="H119" s="0" t="n">
        <v>3.6684882196625</v>
      </c>
      <c r="I119" s="0" t="n">
        <v>0.0978667168075088</v>
      </c>
      <c r="J119" s="0" t="n">
        <v>0.000669719154865331</v>
      </c>
      <c r="K119" s="0" t="n">
        <v>0.000583326904079348</v>
      </c>
      <c r="L119" s="571" t="n">
        <v>7.48022352751502E-007</v>
      </c>
      <c r="M119" s="571" t="n">
        <v>2.99208924779664E-007</v>
      </c>
      <c r="N119" s="0" t="n">
        <v>0</v>
      </c>
    </row>
    <row r="120" customFormat="false" ht="15" hidden="false" customHeight="false" outlineLevel="0" collapsed="false">
      <c r="A120" s="0" t="s">
        <v>350</v>
      </c>
      <c r="B120" s="0" t="s">
        <v>351</v>
      </c>
      <c r="C120" s="0" t="n">
        <v>270625.57</v>
      </c>
      <c r="D120" s="0" t="n">
        <v>338281.96</v>
      </c>
      <c r="E120" s="0" t="n">
        <v>0.103</v>
      </c>
      <c r="F120" s="0" t="n">
        <v>1.094</v>
      </c>
      <c r="G120" s="0" t="n">
        <v>79.774</v>
      </c>
      <c r="H120" s="0" t="n">
        <v>10.653</v>
      </c>
      <c r="I120" s="0" t="n">
        <v>4.645</v>
      </c>
      <c r="J120" s="0" t="n">
        <v>0.751</v>
      </c>
      <c r="K120" s="0" t="n">
        <v>1.563</v>
      </c>
      <c r="L120" s="0" t="n">
        <v>0.445</v>
      </c>
      <c r="M120" s="0" t="n">
        <v>0.456</v>
      </c>
      <c r="N120" s="0" t="n">
        <v>0.516</v>
      </c>
    </row>
    <row r="121" customFormat="false" ht="15" hidden="false" customHeight="false" outlineLevel="0" collapsed="false">
      <c r="A121" s="0" t="s">
        <v>352</v>
      </c>
      <c r="B121" s="0" t="s">
        <v>353</v>
      </c>
      <c r="C121" s="0" t="n">
        <v>-294086.26</v>
      </c>
      <c r="D121" s="0" t="n">
        <v>-298115.24</v>
      </c>
      <c r="E121" s="0" t="n">
        <v>0.171152460399211</v>
      </c>
      <c r="F121" s="0" t="n">
        <v>1.30153152472313</v>
      </c>
      <c r="G121" s="0" t="n">
        <v>96.6818840468448</v>
      </c>
      <c r="H121" s="0" t="n">
        <v>1.82459852439613</v>
      </c>
      <c r="I121" s="0" t="n">
        <v>0.149065920427107</v>
      </c>
      <c r="J121" s="0" t="n">
        <v>0.00920779990089266</v>
      </c>
      <c r="K121" s="0" t="n">
        <v>0.0133740398216068</v>
      </c>
      <c r="N121" s="0" t="n">
        <v>0</v>
      </c>
    </row>
    <row r="122" customFormat="false" ht="15" hidden="false" customHeight="false" outlineLevel="0" collapsed="false">
      <c r="A122" s="0" t="s">
        <v>354</v>
      </c>
      <c r="B122" s="0" t="s">
        <v>355</v>
      </c>
      <c r="C122" s="0" t="n">
        <v>14056.53</v>
      </c>
      <c r="D122" s="0" t="n">
        <v>14112.76</v>
      </c>
      <c r="E122" s="0" t="n">
        <v>0</v>
      </c>
      <c r="F122" s="0" t="n">
        <v>1.099</v>
      </c>
      <c r="G122" s="0" t="n">
        <v>98.081</v>
      </c>
      <c r="H122" s="0" t="n">
        <v>0.775</v>
      </c>
      <c r="I122" s="0" t="n">
        <v>0.045</v>
      </c>
      <c r="J122" s="0" t="n">
        <v>0</v>
      </c>
      <c r="K122" s="0" t="n">
        <v>0</v>
      </c>
      <c r="L122" s="0" t="n">
        <v>0</v>
      </c>
      <c r="M122" s="0" t="n">
        <v>0</v>
      </c>
      <c r="N122" s="0" t="n">
        <v>0</v>
      </c>
    </row>
    <row r="123" customFormat="false" ht="15" hidden="false" customHeight="false" outlineLevel="0" collapsed="false">
      <c r="A123" s="0" t="s">
        <v>356</v>
      </c>
      <c r="B123" s="0" t="s">
        <v>357</v>
      </c>
      <c r="C123" s="0" t="n">
        <v>280029.73</v>
      </c>
      <c r="D123" s="0" t="n">
        <v>284002.48</v>
      </c>
      <c r="E123" s="0" t="n">
        <v>0.181996885927643</v>
      </c>
      <c r="F123" s="0" t="n">
        <v>1.31436416546868</v>
      </c>
      <c r="G123" s="0" t="n">
        <v>96.5932343790326</v>
      </c>
      <c r="H123" s="0" t="n">
        <v>1.89110234798135</v>
      </c>
      <c r="I123" s="0" t="n">
        <v>0.155659662179268</v>
      </c>
      <c r="J123" s="0" t="n">
        <v>0.00979121716566949</v>
      </c>
      <c r="K123" s="0" t="n">
        <v>0.0142214350534451</v>
      </c>
      <c r="L123" s="0" t="n">
        <v>0</v>
      </c>
      <c r="M123" s="0" t="n">
        <v>0</v>
      </c>
      <c r="N12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35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R2" activeCellId="0" sqref="R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4"/>
    <col collapsed="false" customWidth="true" hidden="false" outlineLevel="0" max="2" min="2" style="0" width="38.57"/>
    <col collapsed="false" customWidth="true" hidden="false" outlineLevel="0" max="3" min="3" style="0" width="14.28"/>
    <col collapsed="false" customWidth="true" hidden="false" outlineLevel="0" max="4" min="4" style="0" width="9.43"/>
    <col collapsed="false" customWidth="true" hidden="false" outlineLevel="0" max="5" min="5" style="0" width="10.57"/>
    <col collapsed="false" customWidth="true" hidden="false" outlineLevel="0" max="6" min="6" style="0" width="13.28"/>
    <col collapsed="false" customWidth="true" hidden="false" outlineLevel="0" max="8" min="7" style="0" width="11.71"/>
    <col collapsed="false" customWidth="true" hidden="false" outlineLevel="0" max="13" min="9" style="0" width="10.71"/>
    <col collapsed="false" customWidth="true" hidden="false" outlineLevel="0" max="14" min="14" style="0" width="11.57"/>
    <col collapsed="false" customWidth="true" hidden="false" outlineLevel="0" max="15" min="15" style="0" width="10.57"/>
    <col collapsed="false" customWidth="true" hidden="false" outlineLevel="0" max="16" min="16" style="0" width="24"/>
    <col collapsed="false" customWidth="true" hidden="false" outlineLevel="0" max="17" min="17" style="0" width="34.71"/>
    <col collapsed="false" customWidth="true" hidden="false" outlineLevel="0" max="18" min="18" style="0" width="14.57"/>
    <col collapsed="false" customWidth="true" hidden="false" outlineLevel="0" max="19" min="19" style="0" width="13.28"/>
    <col collapsed="false" customWidth="true" hidden="false" outlineLevel="0" max="21" min="20" style="0" width="11.57"/>
    <col collapsed="false" customWidth="true" hidden="false" outlineLevel="0" max="22" min="22" style="0" width="10.57"/>
    <col collapsed="false" customWidth="true" hidden="false" outlineLevel="0" max="23" min="23" style="0" width="11.57"/>
    <col collapsed="false" customWidth="true" hidden="false" outlineLevel="0" max="25" min="24" style="0" width="10.57"/>
    <col collapsed="false" customWidth="true" hidden="false" outlineLevel="0" max="26" min="26" style="0" width="11.57"/>
    <col collapsed="false" customWidth="true" hidden="false" outlineLevel="0" max="27" min="27" style="0" width="10.57"/>
    <col collapsed="false" customWidth="true" hidden="false" outlineLevel="0" max="28" min="28" style="0" width="13.28"/>
  </cols>
  <sheetData>
    <row r="1" customFormat="false" ht="15" hidden="false" customHeight="false" outlineLevel="0" collapsed="false">
      <c r="B1" s="73"/>
      <c r="C1" s="74" t="s">
        <v>0</v>
      </c>
      <c r="D1" s="74" t="s">
        <v>1</v>
      </c>
      <c r="E1" s="74" t="s">
        <v>2</v>
      </c>
      <c r="F1" s="74" t="s">
        <v>3</v>
      </c>
      <c r="G1" s="74" t="s">
        <v>4</v>
      </c>
      <c r="H1" s="74" t="s">
        <v>5</v>
      </c>
      <c r="I1" s="74" t="s">
        <v>6</v>
      </c>
      <c r="J1" s="74" t="s">
        <v>7</v>
      </c>
      <c r="K1" s="74" t="s">
        <v>8</v>
      </c>
      <c r="L1" s="74" t="s">
        <v>9</v>
      </c>
      <c r="M1" s="74" t="s">
        <v>10</v>
      </c>
      <c r="N1" s="74" t="s">
        <v>11</v>
      </c>
      <c r="R1" s="74" t="s">
        <v>13</v>
      </c>
      <c r="S1" s="74" t="s">
        <v>3</v>
      </c>
      <c r="T1" s="74" t="s">
        <v>4</v>
      </c>
      <c r="U1" s="74" t="s">
        <v>5</v>
      </c>
      <c r="V1" s="74" t="s">
        <v>6</v>
      </c>
      <c r="W1" s="74" t="s">
        <v>7</v>
      </c>
      <c r="X1" s="74" t="s">
        <v>8</v>
      </c>
      <c r="Y1" s="74" t="s">
        <v>9</v>
      </c>
      <c r="Z1" s="74" t="s">
        <v>10</v>
      </c>
      <c r="AA1" s="74" t="s">
        <v>11</v>
      </c>
      <c r="AB1" s="74" t="s">
        <v>15</v>
      </c>
      <c r="AC1" s="74" t="s">
        <v>16</v>
      </c>
    </row>
    <row r="2" customFormat="false" ht="15" hidden="false" customHeight="false" outlineLevel="0" collapsed="false">
      <c r="B2" s="73" t="s">
        <v>86</v>
      </c>
      <c r="C2" s="15" t="e">
        <f aca="false">C22+C60+C76 +C101+C111</f>
        <v>#REF!</v>
      </c>
      <c r="D2" s="15" t="e">
        <f aca="false">D22+D60+D76 +D101+D111</f>
        <v>#REF!</v>
      </c>
      <c r="E2" s="15" t="n">
        <f aca="false">E22+E60+E76 +E101+E111</f>
        <v>92385.2820605133</v>
      </c>
      <c r="F2" s="15" t="n">
        <f aca="false">F22+F60+F76 +F101+F111</f>
        <v>8233649.1187616</v>
      </c>
      <c r="G2" s="15" t="n">
        <f aca="false">G22+G60+G76 +G101+G111</f>
        <v>1145480.90676845</v>
      </c>
      <c r="H2" s="15" t="n">
        <f aca="false">H22+H60+H76 +H101+H111</f>
        <v>464813.506901769</v>
      </c>
      <c r="I2" s="15" t="n">
        <f aca="false">I22+I60+I76 +I101+I111</f>
        <v>71172.6270867845</v>
      </c>
      <c r="J2" s="15" t="n">
        <f aca="false">J22+J60+J76 +J101+J111</f>
        <v>160327.85783931</v>
      </c>
      <c r="K2" s="15" t="n">
        <f aca="false">K22+K60+K76 +K101+K111</f>
        <v>43611.4264407055</v>
      </c>
      <c r="L2" s="15" t="n">
        <f aca="false">L22+L60+L76 +L101+L111</f>
        <v>47458.2773345236</v>
      </c>
      <c r="M2" s="15" t="n">
        <f aca="false">M22+M60+M76 +M101+M111</f>
        <v>69646.0590364589</v>
      </c>
      <c r="N2" s="15" t="e">
        <f aca="false">SUM(D2:M2)</f>
        <v>#REF!</v>
      </c>
      <c r="R2" s="15" t="n">
        <f aca="false">R22+R60+R76+R101+R111</f>
        <v>12950236.1574539</v>
      </c>
      <c r="S2" s="15" t="n">
        <f aca="false">S22+S60+S76+S101+S111</f>
        <v>8260577.54710368</v>
      </c>
      <c r="T2" s="15" t="n">
        <f aca="false">T22+T60+T76+T101+T111</f>
        <v>2031515.7059692</v>
      </c>
      <c r="U2" s="15" t="n">
        <f aca="false">U22+U60+U76+U101+U111</f>
        <v>1174715.67070831</v>
      </c>
      <c r="V2" s="15" t="n">
        <f aca="false">V22+V60+V76+V101+V111</f>
        <v>232520.137310756</v>
      </c>
      <c r="W2" s="15" t="n">
        <f aca="false">W22+W60+W76+W101+W111</f>
        <v>526017.417623313</v>
      </c>
      <c r="X2" s="15" t="n">
        <f aca="false">X22+X60+X76+X101+X111</f>
        <v>175280.946983484</v>
      </c>
      <c r="Y2" s="15" t="n">
        <f aca="false">Y22+Y60+Y76+Y101+Y111</f>
        <v>190651.506988724</v>
      </c>
      <c r="Z2" s="15" t="n">
        <f aca="false">Z22+Z60+Z76+Z101+Z111</f>
        <v>358957.224766457</v>
      </c>
      <c r="AA2" s="75" t="e">
        <f aca="false">R2/N2*1000</f>
        <v>#REF!</v>
      </c>
      <c r="AB2" s="15" t="n">
        <f aca="false">AB22+AB60+AB76+AB101+AB111</f>
        <v>12990813.2228173</v>
      </c>
      <c r="AC2" s="76" t="n">
        <f aca="false">IF(AB2=0,,R2/AB2)</f>
        <v>0.996876479965696</v>
      </c>
    </row>
    <row r="3" customFormat="false" ht="15" hidden="false" customHeight="false" outlineLevel="0" collapsed="false">
      <c r="C3" s="72"/>
      <c r="D3" s="40" t="e">
        <f aca="false">D2/$C2*100</f>
        <v>#REF!</v>
      </c>
      <c r="E3" s="40" t="e">
        <f aca="false">E2/$C2*100</f>
        <v>#REF!</v>
      </c>
      <c r="F3" s="40" t="e">
        <f aca="false">F2/$C2*100</f>
        <v>#REF!</v>
      </c>
      <c r="G3" s="40" t="e">
        <f aca="false">G2/$C2*100</f>
        <v>#REF!</v>
      </c>
      <c r="H3" s="40" t="e">
        <f aca="false">H2/$C2*100</f>
        <v>#REF!</v>
      </c>
      <c r="I3" s="40" t="e">
        <f aca="false">I2/$C2*100</f>
        <v>#REF!</v>
      </c>
      <c r="J3" s="40" t="e">
        <f aca="false">J2/$C2*100</f>
        <v>#REF!</v>
      </c>
      <c r="K3" s="40" t="e">
        <f aca="false">K2/$C2*100</f>
        <v>#REF!</v>
      </c>
      <c r="L3" s="40" t="e">
        <f aca="false">L2/$C2*100</f>
        <v>#REF!</v>
      </c>
      <c r="M3" s="40" t="e">
        <f aca="false">M2/$C2*100</f>
        <v>#REF!</v>
      </c>
      <c r="N3" s="40" t="e">
        <f aca="false">SUM(D3:M3)</f>
        <v>#REF!</v>
      </c>
    </row>
    <row r="4" customFormat="false" ht="15.75" hidden="false" customHeight="false" outlineLevel="0" collapsed="false">
      <c r="B4" s="18"/>
      <c r="N4" s="70"/>
    </row>
    <row r="5" customFormat="false" ht="15.75" hidden="false" customHeight="false" outlineLevel="0" collapsed="false">
      <c r="A5" s="43" t="s">
        <v>27</v>
      </c>
      <c r="B5" s="4" t="s">
        <v>28</v>
      </c>
      <c r="C5" s="44" t="s">
        <v>0</v>
      </c>
      <c r="D5" s="2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s="45" t="s">
        <v>11</v>
      </c>
      <c r="P5" s="77" t="s">
        <v>27</v>
      </c>
      <c r="Q5" s="78" t="s">
        <v>28</v>
      </c>
      <c r="R5" s="48" t="s">
        <v>13</v>
      </c>
      <c r="S5" s="49" t="s">
        <v>3</v>
      </c>
      <c r="T5" s="50" t="s">
        <v>4</v>
      </c>
      <c r="U5" s="50" t="s">
        <v>5</v>
      </c>
      <c r="V5" s="50" t="s">
        <v>6</v>
      </c>
      <c r="W5" s="50" t="s">
        <v>7</v>
      </c>
      <c r="X5" s="50" t="s">
        <v>8</v>
      </c>
      <c r="Y5" s="50" t="s">
        <v>9</v>
      </c>
      <c r="Z5" s="51" t="s">
        <v>10</v>
      </c>
      <c r="AA5" s="48" t="s">
        <v>14</v>
      </c>
      <c r="AB5" s="48" t="s">
        <v>15</v>
      </c>
      <c r="AC5" s="52" t="s">
        <v>16</v>
      </c>
    </row>
    <row r="6" customFormat="false" ht="15" hidden="false" customHeight="false" outlineLevel="0" collapsed="false">
      <c r="A6" s="79" t="s">
        <v>87</v>
      </c>
      <c r="B6" s="80"/>
      <c r="C6" s="81"/>
      <c r="D6" s="82"/>
      <c r="E6" s="83"/>
      <c r="F6" s="83"/>
      <c r="G6" s="83"/>
      <c r="H6" s="83"/>
      <c r="I6" s="83"/>
      <c r="J6" s="83"/>
      <c r="K6" s="83"/>
      <c r="L6" s="83"/>
      <c r="M6" s="83"/>
      <c r="N6" s="84"/>
      <c r="P6" s="79" t="s">
        <v>87</v>
      </c>
      <c r="Q6" s="80"/>
      <c r="R6" s="81"/>
      <c r="S6" s="82"/>
      <c r="T6" s="83"/>
      <c r="U6" s="83"/>
      <c r="V6" s="83"/>
      <c r="W6" s="83"/>
      <c r="X6" s="83"/>
      <c r="Y6" s="83"/>
      <c r="Z6" s="80"/>
      <c r="AA6" s="81"/>
      <c r="AB6" s="81"/>
      <c r="AC6" s="85"/>
    </row>
    <row r="7" customFormat="false" ht="15" hidden="false" customHeight="false" outlineLevel="0" collapsed="false">
      <c r="A7" s="53" t="s">
        <v>88</v>
      </c>
      <c r="B7" s="54" t="str">
        <f aca="false">IF(LEN($A7 )&lt;2,"",VLOOKUP($A7,All_Data,B$112,0))</f>
        <v>Welcome To Golden BuyBack</v>
      </c>
      <c r="C7" s="86" t="n">
        <f aca="false">IF(LEN($A7 )&lt;2,"",VLOOKUP($A7,All_Data,C$112,0))</f>
        <v>243134.31</v>
      </c>
      <c r="D7" s="14" t="n">
        <f aca="false">IF(LEN($A7 )&lt;2,"",VLOOKUP($A7,All_Data,D$112,0))</f>
        <v>328.2313185</v>
      </c>
      <c r="E7" s="15" t="n">
        <f aca="false">IF(LEN($A7 )&lt;2,"",VLOOKUP($A7,All_Data,E$112,0))</f>
        <v>2105.5431246</v>
      </c>
      <c r="F7" s="15" t="n">
        <f aca="false">IF(LEN($A7 )&lt;2,"",VLOOKUP($A7,All_Data,F$112,0))</f>
        <v>190070.2468425</v>
      </c>
      <c r="G7" s="15" t="n">
        <f aca="false">IF(LEN($A7 )&lt;2,"",VLOOKUP($A7,All_Data,G$112,0))</f>
        <v>27581.1561264</v>
      </c>
      <c r="H7" s="15" t="n">
        <f aca="false">IF(LEN($A7 )&lt;2,"",VLOOKUP($A7,All_Data,H$112,0))</f>
        <v>12331.7722032</v>
      </c>
      <c r="I7" s="15" t="n">
        <f aca="false">IF(LEN($A7 )&lt;2,"",VLOOKUP($A7,All_Data,I$112,0))</f>
        <v>1874.5655301</v>
      </c>
      <c r="J7" s="15" t="n">
        <f aca="false">IF(LEN($A7 )&lt;2,"",VLOOKUP($A7,All_Data,J$112,0))</f>
        <v>4296.1832577</v>
      </c>
      <c r="K7" s="15" t="n">
        <f aca="false">IF(LEN($A7 )&lt;2,"",VLOOKUP($A7,All_Data,K$112,0))</f>
        <v>1230.2596086</v>
      </c>
      <c r="L7" s="15" t="n">
        <f aca="false">IF(LEN($A7 )&lt;2,"",VLOOKUP($A7,All_Data,L$112,0))</f>
        <v>1303.1999016</v>
      </c>
      <c r="M7" s="15" t="n">
        <f aca="false">IF(LEN($A7 )&lt;2,"",VLOOKUP($A7,All_Data,M$112,0))</f>
        <v>2013.1520868</v>
      </c>
      <c r="N7" s="87" t="n">
        <f aca="false">SUM(D7:M7)</f>
        <v>243134.31</v>
      </c>
      <c r="P7" s="53" t="str">
        <f aca="false">IF(LEN($A7)&lt;2,"",A7)</f>
        <v>3.00.2</v>
      </c>
      <c r="Q7" s="54" t="str">
        <f aca="false">IF(LEN($A7 )&lt;2,"",VLOOKUP($A7,All_Data,Q$112,0))</f>
        <v>Welcome To Golden BuyBack</v>
      </c>
      <c r="R7" s="26" t="n">
        <f aca="false">SUM(S7:Z7)</f>
        <v>312594.882936576</v>
      </c>
      <c r="S7" s="14" t="n">
        <f aca="false">IF(LEN($A7 )&lt;2,"",VLOOKUP($A7,All_Data,S$112,0))</f>
        <v>192091.696153021</v>
      </c>
      <c r="T7" s="15" t="n">
        <f aca="false">IF(LEN($A7 )&lt;2,"",VLOOKUP($A7,All_Data,T$112,0))</f>
        <v>48844.0345908296</v>
      </c>
      <c r="U7" s="15" t="n">
        <f aca="false">IF(LEN($A7 )&lt;2,"",VLOOKUP($A7,All_Data,U$112,0))</f>
        <v>31048.3769872381</v>
      </c>
      <c r="V7" s="15" t="n">
        <f aca="false">IF(LEN($A7 )&lt;2,"",VLOOKUP($A7,All_Data,V$112,0))</f>
        <v>6099.92778551631</v>
      </c>
      <c r="W7" s="15" t="n">
        <f aca="false">IF(LEN($A7 )&lt;2,"",VLOOKUP($A7,All_Data,W$112,0))</f>
        <v>14024.8406485362</v>
      </c>
      <c r="X7" s="15" t="n">
        <f aca="false">IF(LEN($A7 )&lt;2,"",VLOOKUP($A7,All_Data,X$112,0))</f>
        <v>4925.45912094495</v>
      </c>
      <c r="Y7" s="15" t="n">
        <f aca="false">IF(LEN($A7 )&lt;2,"",VLOOKUP($A7,All_Data,Y$112,0))</f>
        <v>5227.68607031955</v>
      </c>
      <c r="Z7" s="16" t="n">
        <f aca="false">IF(LEN($A7 )&lt;2,"",VLOOKUP($A7,All_Data,Z$112,0))</f>
        <v>10332.8615801707</v>
      </c>
      <c r="AA7" s="25" t="n">
        <f aca="false">IF(N7=0,,R7/N7*1000)</f>
        <v>1285.68807477882</v>
      </c>
      <c r="AB7" s="26" t="n">
        <f aca="false">IF(LEN($A7 )&lt;2,,VLOOKUP($A7,All_Data,AB$112,0))</f>
        <v>312670.72</v>
      </c>
      <c r="AC7" s="27" t="n">
        <f aca="false">IF(AB7=0,,R7/AB7)</f>
        <v>0.999757453900948</v>
      </c>
    </row>
    <row r="8" customFormat="false" ht="15" hidden="false" customHeight="false" outlineLevel="0" collapsed="false">
      <c r="A8" s="53" t="s">
        <v>89</v>
      </c>
      <c r="B8" s="54" t="str">
        <f aca="false">IF(LEN($A8 )&lt;2,"",VLOOKUP($A8,All_Data,B$112,0))</f>
        <v>Pliny The Elder BuyBack</v>
      </c>
      <c r="C8" s="86" t="n">
        <f aca="false">IF(LEN($A8 )&lt;2,"",VLOOKUP($A8,All_Data,C$112,0))</f>
        <v>76284.56</v>
      </c>
      <c r="D8" s="14" t="n">
        <f aca="false">IF(LEN($A8 )&lt;2,"",VLOOKUP($A8,All_Data,D$112,0))</f>
        <v>85.4387072</v>
      </c>
      <c r="E8" s="15" t="n">
        <f aca="false">IF(LEN($A8 )&lt;2,"",VLOOKUP($A8,All_Data,E$112,0))</f>
        <v>686.56104</v>
      </c>
      <c r="F8" s="15" t="n">
        <f aca="false">IF(LEN($A8 )&lt;2,"",VLOOKUP($A8,All_Data,F$112,0))</f>
        <v>59363.8817464</v>
      </c>
      <c r="G8" s="15" t="n">
        <f aca="false">IF(LEN($A8 )&lt;2,"",VLOOKUP($A8,All_Data,G$112,0))</f>
        <v>8439.3608728</v>
      </c>
      <c r="H8" s="15" t="n">
        <f aca="false">IF(LEN($A8 )&lt;2,"",VLOOKUP($A8,All_Data,H$112,0))</f>
        <v>4133.8603064</v>
      </c>
      <c r="I8" s="15" t="n">
        <f aca="false">IF(LEN($A8 )&lt;2,"",VLOOKUP($A8,All_Data,I$112,0))</f>
        <v>750.6400704</v>
      </c>
      <c r="J8" s="15" t="n">
        <f aca="false">IF(LEN($A8 )&lt;2,"",VLOOKUP($A8,All_Data,J$112,0))</f>
        <v>1628.675356</v>
      </c>
      <c r="K8" s="15" t="n">
        <f aca="false">IF(LEN($A8 )&lt;2,"",VLOOKUP($A8,All_Data,K$112,0))</f>
        <v>465.335816</v>
      </c>
      <c r="L8" s="15" t="n">
        <f aca="false">IF(LEN($A8 )&lt;2,"",VLOOKUP($A8,All_Data,L$112,0))</f>
        <v>459.9958968</v>
      </c>
      <c r="M8" s="15" t="n">
        <f aca="false">IF(LEN($A8 )&lt;2,"",VLOOKUP($A8,All_Data,M$112,0))</f>
        <v>270.810188</v>
      </c>
      <c r="N8" s="87" t="n">
        <f aca="false">SUM(D8:M8)</f>
        <v>76284.56</v>
      </c>
      <c r="P8" s="53" t="str">
        <f aca="false">IF(LEN($A8)&lt;2,"",A8)</f>
        <v>3.00.5</v>
      </c>
      <c r="Q8" s="54" t="str">
        <f aca="false">IF(LEN($A8 )&lt;2,"",VLOOKUP($A8,All_Data,Q$112,0))</f>
        <v>Pliny The Elder BuyBack</v>
      </c>
      <c r="R8" s="26" t="n">
        <f aca="false">SUM(S8:Z8)</f>
        <v>98204.8819969131</v>
      </c>
      <c r="S8" s="14" t="n">
        <f aca="false">IF(LEN($A8 )&lt;2,"",VLOOKUP($A8,All_Data,S$112,0))</f>
        <v>59994.3285108329</v>
      </c>
      <c r="T8" s="15" t="n">
        <f aca="false">IF(LEN($A8 )&lt;2,"",VLOOKUP($A8,All_Data,T$112,0))</f>
        <v>14945.2118096402</v>
      </c>
      <c r="U8" s="15" t="n">
        <f aca="false">IF(LEN($A8 )&lt;2,"",VLOOKUP($A8,All_Data,U$112,0))</f>
        <v>10407.8891671581</v>
      </c>
      <c r="V8" s="15" t="n">
        <f aca="false">IF(LEN($A8 )&lt;2,"",VLOOKUP($A8,All_Data,V$112,0))</f>
        <v>2442.58262639569</v>
      </c>
      <c r="W8" s="15" t="n">
        <f aca="false">IF(LEN($A8 )&lt;2,"",VLOOKUP($A8,All_Data,W$112,0))</f>
        <v>5316.71174680646</v>
      </c>
      <c r="X8" s="15" t="n">
        <f aca="false">IF(LEN($A8 )&lt;2,"",VLOOKUP($A8,All_Data,X$112,0))</f>
        <v>1862.98726809164</v>
      </c>
      <c r="Y8" s="15" t="n">
        <f aca="false">IF(LEN($A8 )&lt;2,"",VLOOKUP($A8,All_Data,Y$112,0))</f>
        <v>1845.21030727262</v>
      </c>
      <c r="Z8" s="16" t="n">
        <f aca="false">IF(LEN($A8 )&lt;2,"",VLOOKUP($A8,All_Data,Z$112,0))</f>
        <v>1389.9605607155</v>
      </c>
      <c r="AA8" s="25" t="n">
        <f aca="false">IF(N8=0,,R8/N8*1000)</f>
        <v>1287.34939281177</v>
      </c>
      <c r="AB8" s="26" t="n">
        <f aca="false">IF(LEN($A8 )&lt;2,,VLOOKUP($A8,All_Data,AB$112,0))</f>
        <v>98178.22</v>
      </c>
      <c r="AC8" s="27" t="n">
        <f aca="false">IF(AB8=0,,R8/AB8)</f>
        <v>1.00027156732841</v>
      </c>
    </row>
    <row r="9" customFormat="false" ht="15" hidden="false" customHeight="false" outlineLevel="0" collapsed="false">
      <c r="A9" s="53" t="s">
        <v>90</v>
      </c>
      <c r="B9" s="54" t="str">
        <f aca="false">IF(LEN($A9 )&lt;2,"",VLOOKUP($A9,All_Data,B$112,0))</f>
        <v>Nailed It A BuyBack</v>
      </c>
      <c r="C9" s="86" t="n">
        <f aca="false">IF(LEN($A9 )&lt;2,"",VLOOKUP($A9,All_Data,C$112,0))</f>
        <v>198846.02</v>
      </c>
      <c r="D9" s="14" t="n">
        <f aca="false">IF(LEN($A9 )&lt;2,"",VLOOKUP($A9,All_Data,D$112,0))</f>
        <v>336.0497738</v>
      </c>
      <c r="E9" s="15" t="n">
        <f aca="false">IF(LEN($A9 )&lt;2,"",VLOOKUP($A9,All_Data,E$112,0))</f>
        <v>2722.2020138</v>
      </c>
      <c r="F9" s="15" t="n">
        <f aca="false">IF(LEN($A9 )&lt;2,"",VLOOKUP($A9,All_Data,F$112,0))</f>
        <v>157533.7708848</v>
      </c>
      <c r="G9" s="15" t="n">
        <f aca="false">IF(LEN($A9 )&lt;2,"",VLOOKUP($A9,All_Data,G$112,0))</f>
        <v>21682.1700208</v>
      </c>
      <c r="H9" s="15" t="n">
        <f aca="false">IF(LEN($A9 )&lt;2,"",VLOOKUP($A9,All_Data,H$112,0))</f>
        <v>9373.6013828</v>
      </c>
      <c r="I9" s="15" t="n">
        <f aca="false">IF(LEN($A9 )&lt;2,"",VLOOKUP($A9,All_Data,I$112,0))</f>
        <v>1485.3797694</v>
      </c>
      <c r="J9" s="15" t="n">
        <f aca="false">IF(LEN($A9 )&lt;2,"",VLOOKUP($A9,All_Data,J$112,0))</f>
        <v>3161.651718</v>
      </c>
      <c r="K9" s="15" t="n">
        <f aca="false">IF(LEN($A9 )&lt;2,"",VLOOKUP($A9,All_Data,K$112,0))</f>
        <v>785.441779</v>
      </c>
      <c r="L9" s="15" t="n">
        <f aca="false">IF(LEN($A9 )&lt;2,"",VLOOKUP($A9,All_Data,L$112,0))</f>
        <v>847.0840452</v>
      </c>
      <c r="M9" s="15" t="n">
        <f aca="false">IF(LEN($A9 )&lt;2,"",VLOOKUP($A9,All_Data,M$112,0))</f>
        <v>918.6686124</v>
      </c>
      <c r="N9" s="87" t="n">
        <f aca="false">SUM(D9:M9)</f>
        <v>198846.02</v>
      </c>
      <c r="P9" s="53" t="str">
        <f aca="false">IF(LEN($A9)&lt;2,"",A9)</f>
        <v>3.00.6</v>
      </c>
      <c r="Q9" s="54" t="str">
        <f aca="false">IF(LEN($A9 )&lt;2,"",VLOOKUP($A9,All_Data,Q$112,0))</f>
        <v>Nailed It A BuyBack</v>
      </c>
      <c r="R9" s="26" t="n">
        <f aca="false">SUM(S9:Z9)</f>
        <v>247548.391882796</v>
      </c>
      <c r="S9" s="14" t="n">
        <f aca="false">IF(LEN($A9 )&lt;2,"",VLOOKUP($A9,All_Data,S$112,0))</f>
        <v>159163.45362156</v>
      </c>
      <c r="T9" s="15" t="n">
        <f aca="false">IF(LEN($A9 )&lt;2,"",VLOOKUP($A9,All_Data,T$112,0))</f>
        <v>38386.3697101344</v>
      </c>
      <c r="U9" s="15" t="n">
        <f aca="false">IF(LEN($A9 )&lt;2,"",VLOOKUP($A9,All_Data,U$112,0))</f>
        <v>23593.6494755627</v>
      </c>
      <c r="V9" s="15" t="n">
        <f aca="false">IF(LEN($A9 )&lt;2,"",VLOOKUP($A9,All_Data,V$112,0))</f>
        <v>4832.10990971961</v>
      </c>
      <c r="W9" s="15" t="n">
        <f aca="false">IF(LEN($A9 )&lt;2,"",VLOOKUP($A9,All_Data,W$112,0))</f>
        <v>10318.2108175696</v>
      </c>
      <c r="X9" s="15" t="n">
        <f aca="false">IF(LEN($A9 )&lt;2,"",VLOOKUP($A9,All_Data,X$112,0))</f>
        <v>3143.68616965137</v>
      </c>
      <c r="Y9" s="15" t="n">
        <f aca="false">IF(LEN($A9 )&lt;2,"",VLOOKUP($A9,All_Data,Y$112,0))</f>
        <v>3397.03636362825</v>
      </c>
      <c r="Z9" s="16" t="n">
        <f aca="false">IF(LEN($A9 )&lt;2,"",VLOOKUP($A9,All_Data,Z$112,0))</f>
        <v>4713.87581497073</v>
      </c>
      <c r="AA9" s="25" t="n">
        <f aca="false">IF(N9=0,,R9/N9*1000)</f>
        <v>1244.92505247425</v>
      </c>
      <c r="AB9" s="26" t="n">
        <f aca="false">IF(LEN($A9 )&lt;2,,VLOOKUP($A9,All_Data,AB$112,0))</f>
        <v>247563.3</v>
      </c>
      <c r="AC9" s="27" t="n">
        <f aca="false">IF(AB9=0,,R9/AB9)</f>
        <v>0.999939780584587</v>
      </c>
    </row>
    <row r="10" customFormat="false" ht="15" hidden="false" customHeight="false" outlineLevel="0" collapsed="false">
      <c r="A10" s="53" t="s">
        <v>91</v>
      </c>
      <c r="B10" s="54" t="str">
        <f aca="false">IF(LEN($A10 )&lt;2,"",VLOOKUP($A10,All_Data,B$112,0))</f>
        <v>Money Graham BuyBack</v>
      </c>
      <c r="C10" s="86" t="n">
        <f aca="false">IF(LEN($A10 )&lt;2,"",VLOOKUP($A10,All_Data,C$112,0))</f>
        <v>172222.81</v>
      </c>
      <c r="D10" s="14" t="n">
        <f aca="false">IF(LEN($A10 )&lt;2,"",VLOOKUP($A10,All_Data,D$112,0))</f>
        <v>284.1676365</v>
      </c>
      <c r="E10" s="15" t="n">
        <f aca="false">IF(LEN($A10 )&lt;2,"",VLOOKUP($A10,All_Data,E$112,0))</f>
        <v>1574.1164834</v>
      </c>
      <c r="F10" s="15" t="n">
        <f aca="false">IF(LEN($A10 )&lt;2,"",VLOOKUP($A10,All_Data,F$112,0))</f>
        <v>133431.3442756</v>
      </c>
      <c r="G10" s="15" t="n">
        <f aca="false">IF(LEN($A10 )&lt;2,"",VLOOKUP($A10,All_Data,G$112,0))</f>
        <v>19955.4569947</v>
      </c>
      <c r="H10" s="15" t="n">
        <f aca="false">IF(LEN($A10 )&lt;2,"",VLOOKUP($A10,All_Data,H$112,0))</f>
        <v>9327.5873896</v>
      </c>
      <c r="I10" s="15" t="n">
        <f aca="false">IF(LEN($A10 )&lt;2,"",VLOOKUP($A10,All_Data,I$112,0))</f>
        <v>1563.7831148</v>
      </c>
      <c r="J10" s="15" t="n">
        <f aca="false">IF(LEN($A10 )&lt;2,"",VLOOKUP($A10,All_Data,J$112,0))</f>
        <v>3466.8451653</v>
      </c>
      <c r="K10" s="15" t="n">
        <f aca="false">IF(LEN($A10 )&lt;2,"",VLOOKUP($A10,All_Data,K$112,0))</f>
        <v>885.2252434</v>
      </c>
      <c r="L10" s="15" t="n">
        <f aca="false">IF(LEN($A10 )&lt;2,"",VLOOKUP($A10,All_Data,L$112,0))</f>
        <v>979.9477889</v>
      </c>
      <c r="M10" s="15" t="n">
        <f aca="false">IF(LEN($A10 )&lt;2,"",VLOOKUP($A10,All_Data,M$112,0))</f>
        <v>754.3359078</v>
      </c>
      <c r="N10" s="87" t="n">
        <f aca="false">SUM(D10:M10)</f>
        <v>172222.81</v>
      </c>
      <c r="P10" s="53" t="str">
        <f aca="false">IF(LEN($A10)&lt;2,"",A10)</f>
        <v>3.00.7</v>
      </c>
      <c r="Q10" s="54" t="str">
        <f aca="false">IF(LEN($A10 )&lt;2,"",VLOOKUP($A10,All_Data,Q$112,0))</f>
        <v>Money Graham BuyBack</v>
      </c>
      <c r="R10" s="26" t="n">
        <f aca="false">SUM(S10:Z10)</f>
        <v>221424.098348125</v>
      </c>
      <c r="S10" s="14" t="n">
        <f aca="false">IF(LEN($A10 )&lt;2,"",VLOOKUP($A10,All_Data,S$112,0))</f>
        <v>134848.375626017</v>
      </c>
      <c r="T10" s="15" t="n">
        <f aca="false">IF(LEN($A10 )&lt;2,"",VLOOKUP($A10,All_Data,T$112,0))</f>
        <v>35338.9911081495</v>
      </c>
      <c r="U10" s="15" t="n">
        <f aca="false">IF(LEN($A10 )&lt;2,"",VLOOKUP($A10,All_Data,U$112,0))</f>
        <v>23484.2200528261</v>
      </c>
      <c r="V10" s="15" t="n">
        <f aca="false">IF(LEN($A10 )&lt;2,"",VLOOKUP($A10,All_Data,V$112,0))</f>
        <v>5088.54935868576</v>
      </c>
      <c r="W10" s="15" t="n">
        <f aca="false">IF(LEN($A10 )&lt;2,"",VLOOKUP($A10,All_Data,W$112,0))</f>
        <v>11317.3041672966</v>
      </c>
      <c r="X10" s="15" t="n">
        <f aca="false">IF(LEN($A10 )&lt;2,"",VLOOKUP($A10,All_Data,X$112,0))</f>
        <v>3544.02803376325</v>
      </c>
      <c r="Y10" s="15" t="n">
        <f aca="false">IF(LEN($A10 )&lt;2,"",VLOOKUP($A10,All_Data,Y$112,0))</f>
        <v>3930.92541689506</v>
      </c>
      <c r="Z10" s="16" t="n">
        <f aca="false">IF(LEN($A10 )&lt;2,"",VLOOKUP($A10,All_Data,Z$112,0))</f>
        <v>3871.70458449169</v>
      </c>
      <c r="AA10" s="25" t="n">
        <f aca="false">IF(N10=0,,R10/N10*1000)</f>
        <v>1285.6839250743</v>
      </c>
      <c r="AB10" s="26" t="n">
        <f aca="false">IF(LEN($A10 )&lt;2,,VLOOKUP($A10,All_Data,AB$112,0))</f>
        <v>221478.54</v>
      </c>
      <c r="AC10" s="27" t="n">
        <f aca="false">IF(AB10=0,,R10/AB10)</f>
        <v>0.999754189946012</v>
      </c>
    </row>
    <row r="11" customFormat="false" ht="15" hidden="false" customHeight="false" outlineLevel="0" collapsed="false">
      <c r="A11" s="53" t="s">
        <v>92</v>
      </c>
      <c r="B11" s="54" t="str">
        <f aca="false">IF(LEN($A11 )&lt;2,"",VLOOKUP($A11,All_Data,B$112,0))</f>
        <v>Cypress BuyBack</v>
      </c>
      <c r="C11" s="86" t="n">
        <f aca="false">IF(LEN($A11 )&lt;2,"",VLOOKUP($A11,All_Data,C$112,0))</f>
        <v>152794.15</v>
      </c>
      <c r="D11" s="14" t="n">
        <f aca="false">IF(LEN($A11 )&lt;2,"",VLOOKUP($A11,All_Data,D$112,0))</f>
        <v>268.917704</v>
      </c>
      <c r="E11" s="15" t="n">
        <f aca="false">IF(LEN($A11 )&lt;2,"",VLOOKUP($A11,All_Data,E$112,0))</f>
        <v>1893.1195185</v>
      </c>
      <c r="F11" s="15" t="n">
        <f aca="false">IF(LEN($A11 )&lt;2,"",VLOOKUP($A11,All_Data,F$112,0))</f>
        <v>117665.2469735</v>
      </c>
      <c r="G11" s="15" t="n">
        <f aca="false">IF(LEN($A11 )&lt;2,"",VLOOKUP($A11,All_Data,G$112,0))</f>
        <v>17288.6580725</v>
      </c>
      <c r="H11" s="15" t="n">
        <f aca="false">IF(LEN($A11 )&lt;2,"",VLOOKUP($A11,All_Data,H$112,0))</f>
        <v>8417.4297235</v>
      </c>
      <c r="I11" s="15" t="n">
        <f aca="false">IF(LEN($A11 )&lt;2,"",VLOOKUP($A11,All_Data,I$112,0))</f>
        <v>1301.806158</v>
      </c>
      <c r="J11" s="15" t="n">
        <f aca="false">IF(LEN($A11 )&lt;2,"",VLOOKUP($A11,All_Data,J$112,0))</f>
        <v>3040.603585</v>
      </c>
      <c r="K11" s="15" t="n">
        <f aca="false">IF(LEN($A11 )&lt;2,"",VLOOKUP($A11,All_Data,K$112,0))</f>
        <v>809.808995</v>
      </c>
      <c r="L11" s="15" t="n">
        <f aca="false">IF(LEN($A11 )&lt;2,"",VLOOKUP($A11,All_Data,L$112,0))</f>
        <v>919.820783</v>
      </c>
      <c r="M11" s="15" t="n">
        <f aca="false">IF(LEN($A11 )&lt;2,"",VLOOKUP($A11,All_Data,M$112,0))</f>
        <v>1188.738487</v>
      </c>
      <c r="N11" s="87" t="n">
        <f aca="false">SUM(D11:M11)</f>
        <v>152794.15</v>
      </c>
      <c r="P11" s="53" t="str">
        <f aca="false">IF(LEN($A11)&lt;2,"",A11)</f>
        <v>3.00.8</v>
      </c>
      <c r="Q11" s="54" t="str">
        <f aca="false">IF(LEN($A11 )&lt;2,"",VLOOKUP($A11,All_Data,Q$112,0))</f>
        <v>Cypress BuyBack</v>
      </c>
      <c r="R11" s="26" t="n">
        <f aca="false">SUM(S11:Z11)</f>
        <v>197939.4613025</v>
      </c>
      <c r="S11" s="14" t="n">
        <f aca="false">IF(LEN($A11 )&lt;2,"",VLOOKUP($A11,All_Data,S$112,0))</f>
        <v>118927.131259099</v>
      </c>
      <c r="T11" s="15" t="n">
        <f aca="false">IF(LEN($A11 )&lt;2,"",VLOOKUP($A11,All_Data,T$112,0))</f>
        <v>30619.5376253256</v>
      </c>
      <c r="U11" s="15" t="n">
        <f aca="false">IF(LEN($A11 )&lt;2,"",VLOOKUP($A11,All_Data,U$112,0))</f>
        <v>21194.8910339738</v>
      </c>
      <c r="V11" s="15" t="n">
        <f aca="false">IF(LEN($A11 )&lt;2,"",VLOOKUP($A11,All_Data,V$112,0))</f>
        <v>4236.51421570234</v>
      </c>
      <c r="W11" s="15" t="n">
        <f aca="false">IF(LEN($A11 )&lt;2,"",VLOOKUP($A11,All_Data,W$112,0))</f>
        <v>9926.89024196365</v>
      </c>
      <c r="X11" s="15" t="n">
        <f aca="false">IF(LEN($A11 )&lt;2,"",VLOOKUP($A11,All_Data,X$112,0))</f>
        <v>3242.43164590755</v>
      </c>
      <c r="Y11" s="15" t="n">
        <f aca="false">IF(LEN($A11 )&lt;2,"",VLOOKUP($A11,All_Data,Y$112,0))</f>
        <v>3690.11549375841</v>
      </c>
      <c r="Z11" s="16" t="n">
        <f aca="false">IF(LEN($A11 )&lt;2,"",VLOOKUP($A11,All_Data,Z$112,0))</f>
        <v>6101.94978676975</v>
      </c>
      <c r="AA11" s="25" t="n">
        <f aca="false">IF(N11=0,,R11/N11*1000)</f>
        <v>1295.46491997567</v>
      </c>
      <c r="AB11" s="26" t="n">
        <f aca="false">IF(LEN($A11 )&lt;2,,VLOOKUP($A11,All_Data,AB$112,0))</f>
        <v>197868.43</v>
      </c>
      <c r="AC11" s="27" t="n">
        <f aca="false">IF(AB11=0,,R11/AB11)</f>
        <v>1.00035898249407</v>
      </c>
    </row>
    <row r="12" customFormat="false" ht="15" hidden="false" customHeight="false" outlineLevel="0" collapsed="false">
      <c r="A12" s="53" t="s">
        <v>93</v>
      </c>
      <c r="B12" s="54" t="str">
        <f aca="false">IF(LEN($A12 )&lt;2,"",VLOOKUP($A12,All_Data,B$112,0))</f>
        <v>Parker BuyBack</v>
      </c>
      <c r="C12" s="86" t="n">
        <f aca="false">IF(LEN($A12 )&lt;2,"",VLOOKUP($A12,All_Data,C$112,0))</f>
        <v>0</v>
      </c>
      <c r="D12" s="14" t="n">
        <f aca="false">IF(LEN($A12 )&lt;2,"",VLOOKUP($A12,All_Data,D$112,0))</f>
        <v>0</v>
      </c>
      <c r="E12" s="15" t="n">
        <f aca="false">IF(LEN($A12 )&lt;2,"",VLOOKUP($A12,All_Data,E$112,0))</f>
        <v>0</v>
      </c>
      <c r="F12" s="15" t="n">
        <f aca="false">IF(LEN($A12 )&lt;2,"",VLOOKUP($A12,All_Data,F$112,0))</f>
        <v>0</v>
      </c>
      <c r="G12" s="15" t="n">
        <f aca="false">IF(LEN($A12 )&lt;2,"",VLOOKUP($A12,All_Data,G$112,0))</f>
        <v>0</v>
      </c>
      <c r="H12" s="15" t="n">
        <f aca="false">IF(LEN($A12 )&lt;2,"",VLOOKUP($A12,All_Data,H$112,0))</f>
        <v>0</v>
      </c>
      <c r="I12" s="15" t="n">
        <f aca="false">IF(LEN($A12 )&lt;2,"",VLOOKUP($A12,All_Data,I$112,0))</f>
        <v>0</v>
      </c>
      <c r="J12" s="15" t="n">
        <f aca="false">IF(LEN($A12 )&lt;2,"",VLOOKUP($A12,All_Data,J$112,0))</f>
        <v>0</v>
      </c>
      <c r="K12" s="15" t="n">
        <f aca="false">IF(LEN($A12 )&lt;2,"",VLOOKUP($A12,All_Data,K$112,0))</f>
        <v>0</v>
      </c>
      <c r="L12" s="15" t="n">
        <f aca="false">IF(LEN($A12 )&lt;2,"",VLOOKUP($A12,All_Data,L$112,0))</f>
        <v>0</v>
      </c>
      <c r="M12" s="15" t="n">
        <f aca="false">IF(LEN($A12 )&lt;2,"",VLOOKUP($A12,All_Data,M$112,0))</f>
        <v>0</v>
      </c>
      <c r="N12" s="87" t="n">
        <f aca="false">SUM(D12:M12)</f>
        <v>0</v>
      </c>
      <c r="P12" s="53" t="str">
        <f aca="false">IF(LEN($A12)&lt;2,"",A12)</f>
        <v>3.00.9</v>
      </c>
      <c r="Q12" s="54" t="str">
        <f aca="false">IF(LEN($A12 )&lt;2,"",VLOOKUP($A12,All_Data,Q$112,0))</f>
        <v>Parker BuyBack</v>
      </c>
      <c r="R12" s="26" t="n">
        <f aca="false">SUM(S12:Z12)</f>
        <v>0</v>
      </c>
      <c r="S12" s="14" t="n">
        <f aca="false">IF(LEN($A12 )&lt;2,"",VLOOKUP($A12,All_Data,S$112,0))</f>
        <v>0</v>
      </c>
      <c r="T12" s="15" t="n">
        <f aca="false">IF(LEN($A12 )&lt;2,"",VLOOKUP($A12,All_Data,T$112,0))</f>
        <v>0</v>
      </c>
      <c r="U12" s="15" t="n">
        <f aca="false">IF(LEN($A12 )&lt;2,"",VLOOKUP($A12,All_Data,U$112,0))</f>
        <v>0</v>
      </c>
      <c r="V12" s="15" t="n">
        <f aca="false">IF(LEN($A12 )&lt;2,"",VLOOKUP($A12,All_Data,V$112,0))</f>
        <v>0</v>
      </c>
      <c r="W12" s="15" t="n">
        <f aca="false">IF(LEN($A12 )&lt;2,"",VLOOKUP($A12,All_Data,W$112,0))</f>
        <v>0</v>
      </c>
      <c r="X12" s="15" t="n">
        <f aca="false">IF(LEN($A12 )&lt;2,"",VLOOKUP($A12,All_Data,X$112,0))</f>
        <v>0</v>
      </c>
      <c r="Y12" s="15" t="n">
        <f aca="false">IF(LEN($A12 )&lt;2,"",VLOOKUP($A12,All_Data,Y$112,0))</f>
        <v>0</v>
      </c>
      <c r="Z12" s="16" t="n">
        <f aca="false">IF(LEN($A12 )&lt;2,"",VLOOKUP($A12,All_Data,Z$112,0))</f>
        <v>0</v>
      </c>
      <c r="AA12" s="25" t="n">
        <f aca="false">IF(N12=0,,R12/N12*1000)</f>
        <v>0</v>
      </c>
      <c r="AB12" s="26" t="n">
        <f aca="false">IF(LEN($A12 )&lt;2,,VLOOKUP($A12,All_Data,AB$112,0))</f>
        <v>0</v>
      </c>
      <c r="AC12" s="27" t="n">
        <f aca="false">IF(AB12=0,,R12/AB12)</f>
        <v>0</v>
      </c>
    </row>
    <row r="13" customFormat="false" ht="15" hidden="false" customHeight="false" outlineLevel="0" collapsed="false">
      <c r="A13" s="53" t="s">
        <v>94</v>
      </c>
      <c r="B13" s="54" t="str">
        <f aca="false">IF(LEN($A13 )&lt;2,"",VLOOKUP($A13,All_Data,B$112,0))</f>
        <v>Emma BuyBack</v>
      </c>
      <c r="C13" s="86" t="n">
        <f aca="false">IF(LEN($A13 )&lt;2,"",VLOOKUP($A13,All_Data,C$112,0))</f>
        <v>0</v>
      </c>
      <c r="D13" s="14" t="n">
        <f aca="false">IF(LEN($A13 )&lt;2,"",VLOOKUP($A13,All_Data,D$112,0))</f>
        <v>0</v>
      </c>
      <c r="E13" s="15" t="n">
        <f aca="false">IF(LEN($A13 )&lt;2,"",VLOOKUP($A13,All_Data,E$112,0))</f>
        <v>0</v>
      </c>
      <c r="F13" s="15" t="n">
        <f aca="false">IF(LEN($A13 )&lt;2,"",VLOOKUP($A13,All_Data,F$112,0))</f>
        <v>0</v>
      </c>
      <c r="G13" s="15" t="n">
        <f aca="false">IF(LEN($A13 )&lt;2,"",VLOOKUP($A13,All_Data,G$112,0))</f>
        <v>0</v>
      </c>
      <c r="H13" s="15" t="n">
        <f aca="false">IF(LEN($A13 )&lt;2,"",VLOOKUP($A13,All_Data,H$112,0))</f>
        <v>0</v>
      </c>
      <c r="I13" s="15" t="n">
        <f aca="false">IF(LEN($A13 )&lt;2,"",VLOOKUP($A13,All_Data,I$112,0))</f>
        <v>0</v>
      </c>
      <c r="J13" s="15" t="n">
        <f aca="false">IF(LEN($A13 )&lt;2,"",VLOOKUP($A13,All_Data,J$112,0))</f>
        <v>0</v>
      </c>
      <c r="K13" s="15" t="n">
        <f aca="false">IF(LEN($A13 )&lt;2,"",VLOOKUP($A13,All_Data,K$112,0))</f>
        <v>0</v>
      </c>
      <c r="L13" s="15" t="n">
        <f aca="false">IF(LEN($A13 )&lt;2,"",VLOOKUP($A13,All_Data,L$112,0))</f>
        <v>0</v>
      </c>
      <c r="M13" s="15" t="n">
        <f aca="false">IF(LEN($A13 )&lt;2,"",VLOOKUP($A13,All_Data,M$112,0))</f>
        <v>0</v>
      </c>
      <c r="N13" s="87" t="n">
        <f aca="false">SUM(D13:M13)</f>
        <v>0</v>
      </c>
      <c r="P13" s="53" t="str">
        <f aca="false">IF(LEN($A13)&lt;2,"",A13)</f>
        <v>3.00.11</v>
      </c>
      <c r="Q13" s="54" t="str">
        <f aca="false">IF(LEN($A13 )&lt;2,"",VLOOKUP($A13,All_Data,Q$112,0))</f>
        <v>Emma BuyBack</v>
      </c>
      <c r="R13" s="26" t="n">
        <f aca="false">SUM(S13:Z13)</f>
        <v>0</v>
      </c>
      <c r="S13" s="14" t="n">
        <f aca="false">IF(LEN($A13 )&lt;2,"",VLOOKUP($A13,All_Data,S$112,0))</f>
        <v>0</v>
      </c>
      <c r="T13" s="15" t="n">
        <f aca="false">IF(LEN($A13 )&lt;2,"",VLOOKUP($A13,All_Data,T$112,0))</f>
        <v>0</v>
      </c>
      <c r="U13" s="15" t="n">
        <f aca="false">IF(LEN($A13 )&lt;2,"",VLOOKUP($A13,All_Data,U$112,0))</f>
        <v>0</v>
      </c>
      <c r="V13" s="15" t="n">
        <f aca="false">IF(LEN($A13 )&lt;2,"",VLOOKUP($A13,All_Data,V$112,0))</f>
        <v>0</v>
      </c>
      <c r="W13" s="15" t="n">
        <f aca="false">IF(LEN($A13 )&lt;2,"",VLOOKUP($A13,All_Data,W$112,0))</f>
        <v>0</v>
      </c>
      <c r="X13" s="15" t="n">
        <f aca="false">IF(LEN($A13 )&lt;2,"",VLOOKUP($A13,All_Data,X$112,0))</f>
        <v>0</v>
      </c>
      <c r="Y13" s="15" t="n">
        <f aca="false">IF(LEN($A13 )&lt;2,"",VLOOKUP($A13,All_Data,Y$112,0))</f>
        <v>0</v>
      </c>
      <c r="Z13" s="16" t="n">
        <f aca="false">IF(LEN($A13 )&lt;2,"",VLOOKUP($A13,All_Data,Z$112,0))</f>
        <v>0</v>
      </c>
      <c r="AA13" s="25" t="n">
        <f aca="false">IF(N13=0,,R13/N13*1000)</f>
        <v>0</v>
      </c>
      <c r="AB13" s="26" t="n">
        <f aca="false">IF(LEN($A13 )&lt;2,,VLOOKUP($A13,All_Data,AB$112,0))</f>
        <v>0</v>
      </c>
      <c r="AC13" s="27" t="n">
        <f aca="false">IF(AB13=0,,R13/AB13)</f>
        <v>0</v>
      </c>
    </row>
    <row r="14" customFormat="false" ht="15" hidden="false" customHeight="false" outlineLevel="0" collapsed="false">
      <c r="A14" s="53" t="s">
        <v>95</v>
      </c>
      <c r="B14" s="54" t="str">
        <f aca="false">IF(LEN($A14 )&lt;2,"",VLOOKUP($A14,All_Data,B$112,0))</f>
        <v>Nailed It B BuyBack</v>
      </c>
      <c r="C14" s="86" t="n">
        <f aca="false">IF(LEN($A14 )&lt;2,"",VLOOKUP($A14,All_Data,C$112,0))</f>
        <v>262167.15</v>
      </c>
      <c r="D14" s="14" t="n">
        <f aca="false">IF(LEN($A14 )&lt;2,"",VLOOKUP($A14,All_Data,D$112,0))</f>
        <v>443.0624835</v>
      </c>
      <c r="E14" s="15" t="n">
        <f aca="false">IF(LEN($A14 )&lt;2,"",VLOOKUP($A14,All_Data,E$112,0))</f>
        <v>3589.0682835</v>
      </c>
      <c r="F14" s="15" t="n">
        <f aca="false">IF(LEN($A14 )&lt;2,"",VLOOKUP($A14,All_Data,F$112,0))</f>
        <v>207699.302916</v>
      </c>
      <c r="G14" s="15" t="n">
        <f aca="false">IF(LEN($A14 )&lt;2,"",VLOOKUP($A14,All_Data,G$112,0))</f>
        <v>28586.706036</v>
      </c>
      <c r="H14" s="15" t="n">
        <f aca="false">IF(LEN($A14 )&lt;2,"",VLOOKUP($A14,All_Data,H$112,0))</f>
        <v>12358.559451</v>
      </c>
      <c r="I14" s="15" t="n">
        <f aca="false">IF(LEN($A14 )&lt;2,"",VLOOKUP($A14,All_Data,I$112,0))</f>
        <v>1958.3886105</v>
      </c>
      <c r="J14" s="15" t="n">
        <f aca="false">IF(LEN($A14 )&lt;2,"",VLOOKUP($A14,All_Data,J$112,0))</f>
        <v>4168.457685</v>
      </c>
      <c r="K14" s="15" t="n">
        <f aca="false">IF(LEN($A14 )&lt;2,"",VLOOKUP($A14,All_Data,K$112,0))</f>
        <v>1035.5602425</v>
      </c>
      <c r="L14" s="15" t="n">
        <f aca="false">IF(LEN($A14 )&lt;2,"",VLOOKUP($A14,All_Data,L$112,0))</f>
        <v>1116.832059</v>
      </c>
      <c r="M14" s="15" t="n">
        <f aca="false">IF(LEN($A14 )&lt;2,"",VLOOKUP($A14,All_Data,M$112,0))</f>
        <v>1211.212233</v>
      </c>
      <c r="N14" s="87" t="n">
        <f aca="false">SUM(D14:M14)</f>
        <v>262167.15</v>
      </c>
      <c r="P14" s="53" t="str">
        <f aca="false">IF(LEN($A14)&lt;2,"",A14)</f>
        <v>3.00.12</v>
      </c>
      <c r="Q14" s="54" t="str">
        <f aca="false">IF(LEN($A14 )&lt;2,"",VLOOKUP($A14,All_Data,Q$112,0))</f>
        <v>Nailed It B BuyBack</v>
      </c>
      <c r="R14" s="26" t="n">
        <f aca="false">SUM(S14:Z14)</f>
        <v>326378.452970775</v>
      </c>
      <c r="S14" s="14" t="n">
        <f aca="false">IF(LEN($A14 )&lt;2,"",VLOOKUP($A14,All_Data,S$112,0))</f>
        <v>209847.946768668</v>
      </c>
      <c r="T14" s="15" t="n">
        <f aca="false">IF(LEN($A14 )&lt;2,"",VLOOKUP($A14,All_Data,T$112,0))</f>
        <v>50610.2417627079</v>
      </c>
      <c r="U14" s="15" t="n">
        <f aca="false">IF(LEN($A14 )&lt;2,"",VLOOKUP($A14,All_Data,U$112,0))</f>
        <v>31106.882808654</v>
      </c>
      <c r="V14" s="15" t="n">
        <f aca="false">IF(LEN($A14 )&lt;2,"",VLOOKUP($A14,All_Data,V$112,0))</f>
        <v>6370.86165223698</v>
      </c>
      <c r="W14" s="15" t="n">
        <f aca="false">IF(LEN($A14 )&lt;2,"",VLOOKUP($A14,All_Data,W$112,0))</f>
        <v>13603.9731805615</v>
      </c>
      <c r="X14" s="15" t="n">
        <f aca="false">IF(LEN($A14 )&lt;2,"",VLOOKUP($A14,All_Data,X$112,0))</f>
        <v>4144.77113291941</v>
      </c>
      <c r="Y14" s="15" t="n">
        <f aca="false">IF(LEN($A14 )&lt;2,"",VLOOKUP($A14,All_Data,Y$112,0))</f>
        <v>4478.79893144848</v>
      </c>
      <c r="Z14" s="16" t="n">
        <f aca="false">IF(LEN($A14 )&lt;2,"",VLOOKUP($A14,All_Data,Z$112,0))</f>
        <v>6214.97673357909</v>
      </c>
      <c r="AA14" s="25" t="n">
        <f aca="false">IF(N14=0,,R14/N14*1000)</f>
        <v>1244.92505247425</v>
      </c>
      <c r="AB14" s="26" t="n">
        <f aca="false">IF(LEN($A14 )&lt;2,,VLOOKUP($A14,All_Data,AB$112,0))</f>
        <v>326398.1</v>
      </c>
      <c r="AC14" s="27" t="n">
        <f aca="false">IF(AB14=0,,R14/AB14)</f>
        <v>0.999939806545367</v>
      </c>
    </row>
    <row r="15" customFormat="false" ht="15" hidden="false" customHeight="false" outlineLevel="0" collapsed="false">
      <c r="A15" s="53" t="s">
        <v>96</v>
      </c>
      <c r="B15" s="54" t="str">
        <f aca="false">IF(LEN($A15 )&lt;2,"",VLOOKUP($A15,All_Data,B$112,0))</f>
        <v>Jeff East BuyBack</v>
      </c>
      <c r="C15" s="86" t="n">
        <f aca="false">IF(LEN($A15 )&lt;2,"",VLOOKUP($A15,All_Data,C$112,0))</f>
        <v>0</v>
      </c>
      <c r="D15" s="14" t="n">
        <f aca="false">IF(LEN($A15 )&lt;2,"",VLOOKUP($A15,All_Data,D$112,0))</f>
        <v>0</v>
      </c>
      <c r="E15" s="15" t="n">
        <f aca="false">IF(LEN($A15 )&lt;2,"",VLOOKUP($A15,All_Data,E$112,0))</f>
        <v>0</v>
      </c>
      <c r="F15" s="15" t="n">
        <f aca="false">IF(LEN($A15 )&lt;2,"",VLOOKUP($A15,All_Data,F$112,0))</f>
        <v>0</v>
      </c>
      <c r="G15" s="15" t="n">
        <f aca="false">IF(LEN($A15 )&lt;2,"",VLOOKUP($A15,All_Data,G$112,0))</f>
        <v>0</v>
      </c>
      <c r="H15" s="15" t="n">
        <f aca="false">IF(LEN($A15 )&lt;2,"",VLOOKUP($A15,All_Data,H$112,0))</f>
        <v>0</v>
      </c>
      <c r="I15" s="15" t="n">
        <f aca="false">IF(LEN($A15 )&lt;2,"",VLOOKUP($A15,All_Data,I$112,0))</f>
        <v>0</v>
      </c>
      <c r="J15" s="15" t="n">
        <f aca="false">IF(LEN($A15 )&lt;2,"",VLOOKUP($A15,All_Data,J$112,0))</f>
        <v>0</v>
      </c>
      <c r="K15" s="15" t="n">
        <f aca="false">IF(LEN($A15 )&lt;2,"",VLOOKUP($A15,All_Data,K$112,0))</f>
        <v>0</v>
      </c>
      <c r="L15" s="15" t="n">
        <f aca="false">IF(LEN($A15 )&lt;2,"",VLOOKUP($A15,All_Data,L$112,0))</f>
        <v>0</v>
      </c>
      <c r="M15" s="15" t="n">
        <f aca="false">IF(LEN($A15 )&lt;2,"",VLOOKUP($A15,All_Data,M$112,0))</f>
        <v>0</v>
      </c>
      <c r="N15" s="87" t="n">
        <f aca="false">SUM(D15:M15)</f>
        <v>0</v>
      </c>
      <c r="P15" s="53" t="str">
        <f aca="false">IF(LEN($A15)&lt;2,"",A15)</f>
        <v>3.00.15</v>
      </c>
      <c r="Q15" s="54" t="str">
        <f aca="false">IF(LEN($A15 )&lt;2,"",VLOOKUP($A15,All_Data,Q$112,0))</f>
        <v>Jeff East BuyBack</v>
      </c>
      <c r="R15" s="26" t="n">
        <f aca="false">SUM(S15:Z15)</f>
        <v>0</v>
      </c>
      <c r="S15" s="14" t="n">
        <f aca="false">IF(LEN($A15 )&lt;2,"",VLOOKUP($A15,All_Data,S$112,0))</f>
        <v>0</v>
      </c>
      <c r="T15" s="15" t="n">
        <f aca="false">IF(LEN($A15 )&lt;2,"",VLOOKUP($A15,All_Data,T$112,0))</f>
        <v>0</v>
      </c>
      <c r="U15" s="15" t="n">
        <f aca="false">IF(LEN($A15 )&lt;2,"",VLOOKUP($A15,All_Data,U$112,0))</f>
        <v>0</v>
      </c>
      <c r="V15" s="15" t="n">
        <f aca="false">IF(LEN($A15 )&lt;2,"",VLOOKUP($A15,All_Data,V$112,0))</f>
        <v>0</v>
      </c>
      <c r="W15" s="15" t="n">
        <f aca="false">IF(LEN($A15 )&lt;2,"",VLOOKUP($A15,All_Data,W$112,0))</f>
        <v>0</v>
      </c>
      <c r="X15" s="15" t="n">
        <f aca="false">IF(LEN($A15 )&lt;2,"",VLOOKUP($A15,All_Data,X$112,0))</f>
        <v>0</v>
      </c>
      <c r="Y15" s="15" t="n">
        <f aca="false">IF(LEN($A15 )&lt;2,"",VLOOKUP($A15,All_Data,Y$112,0))</f>
        <v>0</v>
      </c>
      <c r="Z15" s="16" t="n">
        <f aca="false">IF(LEN($A15 )&lt;2,"",VLOOKUP($A15,All_Data,Z$112,0))</f>
        <v>0</v>
      </c>
      <c r="AA15" s="25" t="n">
        <f aca="false">IF(N15=0,,R15/N15*1000)</f>
        <v>0</v>
      </c>
      <c r="AB15" s="26" t="n">
        <f aca="false">IF(LEN($A15 )&lt;2,,VLOOKUP($A15,All_Data,AB$112,0))</f>
        <v>0</v>
      </c>
      <c r="AC15" s="27" t="n">
        <f aca="false">IF(AB15=0,,R15/AB15)</f>
        <v>0</v>
      </c>
    </row>
    <row r="16" customFormat="false" ht="15" hidden="false" customHeight="false" outlineLevel="0" collapsed="false">
      <c r="A16" s="53" t="s">
        <v>97</v>
      </c>
      <c r="B16" s="54" t="str">
        <f aca="false">IF(LEN($A16 )&lt;2,"",VLOOKUP($A16,All_Data,B$112,0))</f>
        <v>Flat Head BuyBack</v>
      </c>
      <c r="C16" s="86" t="n">
        <f aca="false">IF(LEN($A16 )&lt;2,"",VLOOKUP($A16,All_Data,C$112,0))</f>
        <v>0</v>
      </c>
      <c r="D16" s="14" t="n">
        <f aca="false">IF(LEN($A16 )&lt;2,"",VLOOKUP($A16,All_Data,D$112,0))</f>
        <v>0</v>
      </c>
      <c r="E16" s="15" t="n">
        <f aca="false">IF(LEN($A16 )&lt;2,"",VLOOKUP($A16,All_Data,E$112,0))</f>
        <v>0</v>
      </c>
      <c r="F16" s="15" t="n">
        <f aca="false">IF(LEN($A16 )&lt;2,"",VLOOKUP($A16,All_Data,F$112,0))</f>
        <v>0</v>
      </c>
      <c r="G16" s="15" t="n">
        <f aca="false">IF(LEN($A16 )&lt;2,"",VLOOKUP($A16,All_Data,G$112,0))</f>
        <v>0</v>
      </c>
      <c r="H16" s="15" t="n">
        <f aca="false">IF(LEN($A16 )&lt;2,"",VLOOKUP($A16,All_Data,H$112,0))</f>
        <v>0</v>
      </c>
      <c r="I16" s="15" t="n">
        <f aca="false">IF(LEN($A16 )&lt;2,"",VLOOKUP($A16,All_Data,I$112,0))</f>
        <v>0</v>
      </c>
      <c r="J16" s="15" t="n">
        <f aca="false">IF(LEN($A16 )&lt;2,"",VLOOKUP($A16,All_Data,J$112,0))</f>
        <v>0</v>
      </c>
      <c r="K16" s="15" t="n">
        <f aca="false">IF(LEN($A16 )&lt;2,"",VLOOKUP($A16,All_Data,K$112,0))</f>
        <v>0</v>
      </c>
      <c r="L16" s="15" t="n">
        <f aca="false">IF(LEN($A16 )&lt;2,"",VLOOKUP($A16,All_Data,L$112,0))</f>
        <v>0</v>
      </c>
      <c r="M16" s="15" t="n">
        <f aca="false">IF(LEN($A16 )&lt;2,"",VLOOKUP($A16,All_Data,M$112,0))</f>
        <v>0</v>
      </c>
      <c r="N16" s="87" t="n">
        <f aca="false">SUM(D16:M16)</f>
        <v>0</v>
      </c>
      <c r="P16" s="53" t="str">
        <f aca="false">IF(LEN($A16)&lt;2,"",A16)</f>
        <v>3.00.16</v>
      </c>
      <c r="Q16" s="54" t="str">
        <f aca="false">IF(LEN($A16 )&lt;2,"",VLOOKUP($A16,All_Data,Q$112,0))</f>
        <v>Flat Head BuyBack</v>
      </c>
      <c r="R16" s="26" t="n">
        <f aca="false">SUM(S16:Z16)</f>
        <v>0</v>
      </c>
      <c r="S16" s="14" t="n">
        <f aca="false">IF(LEN($A16 )&lt;2,"",VLOOKUP($A16,All_Data,S$112,0))</f>
        <v>0</v>
      </c>
      <c r="T16" s="15" t="n">
        <f aca="false">IF(LEN($A16 )&lt;2,"",VLOOKUP($A16,All_Data,T$112,0))</f>
        <v>0</v>
      </c>
      <c r="U16" s="15" t="n">
        <f aca="false">IF(LEN($A16 )&lt;2,"",VLOOKUP($A16,All_Data,U$112,0))</f>
        <v>0</v>
      </c>
      <c r="V16" s="15" t="n">
        <f aca="false">IF(LEN($A16 )&lt;2,"",VLOOKUP($A16,All_Data,V$112,0))</f>
        <v>0</v>
      </c>
      <c r="W16" s="15" t="n">
        <f aca="false">IF(LEN($A16 )&lt;2,"",VLOOKUP($A16,All_Data,W$112,0))</f>
        <v>0</v>
      </c>
      <c r="X16" s="15" t="n">
        <f aca="false">IF(LEN($A16 )&lt;2,"",VLOOKUP($A16,All_Data,X$112,0))</f>
        <v>0</v>
      </c>
      <c r="Y16" s="15" t="n">
        <f aca="false">IF(LEN($A16 )&lt;2,"",VLOOKUP($A16,All_Data,Y$112,0))</f>
        <v>0</v>
      </c>
      <c r="Z16" s="16" t="n">
        <f aca="false">IF(LEN($A16 )&lt;2,"",VLOOKUP($A16,All_Data,Z$112,0))</f>
        <v>0</v>
      </c>
      <c r="AA16" s="25" t="n">
        <f aca="false">IF(N16=0,,R16/N16*1000)</f>
        <v>0</v>
      </c>
      <c r="AB16" s="26" t="n">
        <f aca="false">IF(LEN($A16 )&lt;2,,VLOOKUP($A16,All_Data,AB$112,0))</f>
        <v>0</v>
      </c>
      <c r="AC16" s="27" t="n">
        <f aca="false">IF(AB16=0,,R16/AB16)</f>
        <v>0</v>
      </c>
    </row>
    <row r="17" customFormat="false" ht="15" hidden="false" customHeight="false" outlineLevel="0" collapsed="false">
      <c r="A17" s="53" t="s">
        <v>98</v>
      </c>
      <c r="B17" s="54" t="str">
        <f aca="false">IF(LEN($A17 )&lt;2,"",VLOOKUP($A17,All_Data,B$112,0))</f>
        <v>Johnny Cash 2 BuyBack</v>
      </c>
      <c r="C17" s="86" t="n">
        <f aca="false">IF(LEN($A17 )&lt;2,"",VLOOKUP($A17,All_Data,C$112,0))</f>
        <v>4616.41</v>
      </c>
      <c r="D17" s="14" t="n">
        <f aca="false">IF(LEN($A17 )&lt;2,"",VLOOKUP($A17,All_Data,D$112,0))</f>
        <v>5.7705125</v>
      </c>
      <c r="E17" s="15" t="n">
        <f aca="false">IF(LEN($A17 )&lt;2,"",VLOOKUP($A17,All_Data,E$112,0))</f>
        <v>26.8675062</v>
      </c>
      <c r="F17" s="15" t="n">
        <f aca="false">IF(LEN($A17 )&lt;2,"",VLOOKUP($A17,All_Data,F$112,0))</f>
        <v>3742.8005716</v>
      </c>
      <c r="G17" s="15" t="n">
        <f aca="false">IF(LEN($A17 )&lt;2,"",VLOOKUP($A17,All_Data,G$112,0))</f>
        <v>487.2620755</v>
      </c>
      <c r="H17" s="15" t="n">
        <f aca="false">IF(LEN($A17 )&lt;2,"",VLOOKUP($A17,All_Data,H$112,0))</f>
        <v>186.3644717</v>
      </c>
      <c r="I17" s="15" t="n">
        <f aca="false">IF(LEN($A17 )&lt;2,"",VLOOKUP($A17,All_Data,I$112,0))</f>
        <v>32.5456905</v>
      </c>
      <c r="J17" s="15" t="n">
        <f aca="false">IF(LEN($A17 )&lt;2,"",VLOOKUP($A17,All_Data,J$112,0))</f>
        <v>60.8442838</v>
      </c>
      <c r="K17" s="15" t="n">
        <f aca="false">IF(LEN($A17 )&lt;2,"",VLOOKUP($A17,All_Data,K$112,0))</f>
        <v>17.1730452</v>
      </c>
      <c r="L17" s="15" t="n">
        <f aca="false">IF(LEN($A17 )&lt;2,"",VLOOKUP($A17,All_Data,L$112,0))</f>
        <v>18.2809836</v>
      </c>
      <c r="M17" s="15" t="n">
        <f aca="false">IF(LEN($A17 )&lt;2,"",VLOOKUP($A17,All_Data,M$112,0))</f>
        <v>38.5008594</v>
      </c>
      <c r="N17" s="87" t="n">
        <f aca="false">SUM(D17:M17)</f>
        <v>4616.41</v>
      </c>
      <c r="P17" s="53" t="str">
        <f aca="false">IF(LEN($A17)&lt;2,"",A17)</f>
        <v>3.00.4</v>
      </c>
      <c r="Q17" s="16" t="str">
        <f aca="false">IF(LEN($A17 )&lt;2,"",VLOOKUP($A17,All_Data,Q$112,0))</f>
        <v>Johnny Cash 2 BuyBack</v>
      </c>
      <c r="R17" s="26" t="n">
        <f aca="false">SUM(S17:Z17)</f>
        <v>5757.29647151547</v>
      </c>
      <c r="S17" s="14" t="n">
        <f aca="false">IF(LEN($A17 )&lt;2,"",VLOOKUP($A17,All_Data,S$112,0))</f>
        <v>3781.51457010205</v>
      </c>
      <c r="T17" s="15" t="n">
        <f aca="false">IF(LEN($A17 )&lt;2,"",VLOOKUP($A17,All_Data,T$112,0))</f>
        <v>862.653348765704</v>
      </c>
      <c r="U17" s="15" t="n">
        <f aca="false">IF(LEN($A17 )&lt;2,"",VLOOKUP($A17,All_Data,U$112,0))</f>
        <v>469.084594339807</v>
      </c>
      <c r="V17" s="15" t="n">
        <f aca="false">IF(LEN($A17 )&lt;2,"",VLOOKUP($A17,All_Data,V$112,0))</f>
        <v>105.87470059091</v>
      </c>
      <c r="W17" s="15" t="n">
        <f aca="false">IF(LEN($A17 )&lt;2,"",VLOOKUP($A17,All_Data,W$112,0))</f>
        <v>198.568135919167</v>
      </c>
      <c r="X17" s="15" t="n">
        <f aca="false">IF(LEN($A17 )&lt;2,"",VLOOKUP($A17,All_Data,X$112,0))</f>
        <v>68.7340452753796</v>
      </c>
      <c r="Y17" s="15" t="n">
        <f aca="false">IF(LEN($A17 )&lt;2,"",VLOOKUP($A17,All_Data,Y$112,0))</f>
        <v>73.3115933551863</v>
      </c>
      <c r="Z17" s="16" t="n">
        <f aca="false">IF(LEN($A17 )&lt;2,"",VLOOKUP($A17,All_Data,Z$112,0))</f>
        <v>197.555483167265</v>
      </c>
      <c r="AA17" s="25" t="n">
        <f aca="false">IF(N17=0,,R17/N17*1000)</f>
        <v>1247.1371631886</v>
      </c>
      <c r="AB17" s="26" t="n">
        <f aca="false">IF(LEN($A17 )&lt;2,,VLOOKUP($A17,All_Data,AB$112,0))</f>
        <v>5756.66</v>
      </c>
      <c r="AC17" s="27" t="n">
        <f aca="false">IF(AB17=0,,R17/AB17)</f>
        <v>1.00011056263797</v>
      </c>
    </row>
    <row r="18" customFormat="false" ht="15" hidden="false" customHeight="false" outlineLevel="0" collapsed="false">
      <c r="A18" s="53" t="s">
        <v>99</v>
      </c>
      <c r="B18" s="54" t="str">
        <f aca="false">IF(LEN($A18 )&lt;2,"",VLOOKUP($A18,All_Data,B$112,0))</f>
        <v>Yellowtail BuyBack</v>
      </c>
      <c r="C18" s="86" t="n">
        <f aca="false">IF(LEN($A18 )&lt;2,"",VLOOKUP($A18,All_Data,C$112,0))</f>
        <v>0</v>
      </c>
      <c r="D18" s="14" t="n">
        <f aca="false">IF(LEN($A18 )&lt;2,"",VLOOKUP($A18,All_Data,D$112,0))</f>
        <v>0</v>
      </c>
      <c r="E18" s="15" t="n">
        <f aca="false">IF(LEN($A18 )&lt;2,"",VLOOKUP($A18,All_Data,E$112,0))</f>
        <v>0</v>
      </c>
      <c r="F18" s="15" t="n">
        <f aca="false">IF(LEN($A18 )&lt;2,"",VLOOKUP($A18,All_Data,F$112,0))</f>
        <v>0</v>
      </c>
      <c r="G18" s="15" t="n">
        <f aca="false">IF(LEN($A18 )&lt;2,"",VLOOKUP($A18,All_Data,G$112,0))</f>
        <v>0</v>
      </c>
      <c r="H18" s="15" t="n">
        <f aca="false">IF(LEN($A18 )&lt;2,"",VLOOKUP($A18,All_Data,H$112,0))</f>
        <v>0</v>
      </c>
      <c r="I18" s="15" t="n">
        <f aca="false">IF(LEN($A18 )&lt;2,"",VLOOKUP($A18,All_Data,I$112,0))</f>
        <v>0</v>
      </c>
      <c r="J18" s="15" t="n">
        <f aca="false">IF(LEN($A18 )&lt;2,"",VLOOKUP($A18,All_Data,J$112,0))</f>
        <v>0</v>
      </c>
      <c r="K18" s="15" t="n">
        <f aca="false">IF(LEN($A18 )&lt;2,"",VLOOKUP($A18,All_Data,K$112,0))</f>
        <v>0</v>
      </c>
      <c r="L18" s="15" t="n">
        <f aca="false">IF(LEN($A18 )&lt;2,"",VLOOKUP($A18,All_Data,L$112,0))</f>
        <v>0</v>
      </c>
      <c r="M18" s="15" t="n">
        <f aca="false">IF(LEN($A18 )&lt;2,"",VLOOKUP($A18,All_Data,M$112,0))</f>
        <v>0</v>
      </c>
      <c r="N18" s="87" t="n">
        <f aca="false">SUM(D18:M18)</f>
        <v>0</v>
      </c>
      <c r="P18" s="53" t="str">
        <f aca="false">IF(LEN($A18)&lt;2,"",A18)</f>
        <v>3.00.19</v>
      </c>
      <c r="Q18" s="54" t="str">
        <f aca="false">IF(LEN($A18 )&lt;2,"",VLOOKUP($A18,All_Data,Q$112,0))</f>
        <v>Yellowtail BuyBack</v>
      </c>
      <c r="R18" s="26" t="n">
        <f aca="false">SUM(S18:Z18)</f>
        <v>0</v>
      </c>
      <c r="S18" s="14" t="n">
        <f aca="false">IF(LEN($A18 )&lt;2,"",VLOOKUP($A18,All_Data,S$112,0))</f>
        <v>0</v>
      </c>
      <c r="T18" s="15" t="n">
        <f aca="false">IF(LEN($A18 )&lt;2,"",VLOOKUP($A18,All_Data,T$112,0))</f>
        <v>0</v>
      </c>
      <c r="U18" s="15" t="n">
        <f aca="false">IF(LEN($A18 )&lt;2,"",VLOOKUP($A18,All_Data,U$112,0))</f>
        <v>0</v>
      </c>
      <c r="V18" s="15" t="n">
        <f aca="false">IF(LEN($A18 )&lt;2,"",VLOOKUP($A18,All_Data,V$112,0))</f>
        <v>0</v>
      </c>
      <c r="W18" s="15" t="n">
        <f aca="false">IF(LEN($A18 )&lt;2,"",VLOOKUP($A18,All_Data,W$112,0))</f>
        <v>0</v>
      </c>
      <c r="X18" s="15" t="n">
        <f aca="false">IF(LEN($A18 )&lt;2,"",VLOOKUP($A18,All_Data,X$112,0))</f>
        <v>0</v>
      </c>
      <c r="Y18" s="15" t="n">
        <f aca="false">IF(LEN($A18 )&lt;2,"",VLOOKUP($A18,All_Data,Y$112,0))</f>
        <v>0</v>
      </c>
      <c r="Z18" s="16" t="n">
        <f aca="false">IF(LEN($A18 )&lt;2,"",VLOOKUP($A18,All_Data,Z$112,0))</f>
        <v>0</v>
      </c>
      <c r="AA18" s="25" t="n">
        <f aca="false">IF(N18=0,,R18/N18*1000)</f>
        <v>0</v>
      </c>
      <c r="AB18" s="26" t="n">
        <f aca="false">IF(LEN($A18 )&lt;2,,VLOOKUP($A18,All_Data,AB$112,0))</f>
        <v>0</v>
      </c>
      <c r="AC18" s="27" t="n">
        <f aca="false">IF(AB18=0,,R18/AB18)</f>
        <v>0</v>
      </c>
    </row>
    <row r="19" customFormat="false" ht="15" hidden="false" customHeight="false" outlineLevel="0" collapsed="false">
      <c r="A19" s="53" t="s">
        <v>100</v>
      </c>
      <c r="B19" s="54" t="str">
        <f aca="false">IF(LEN($A19 )&lt;2,"",VLOOKUP($A19,All_Data,B$112,0))</f>
        <v>Atlantic Master BuyBack</v>
      </c>
      <c r="C19" s="86" t="n">
        <f aca="false">IF(LEN($A19 )&lt;2,"",VLOOKUP($A19,All_Data,C$112,0))</f>
        <v>19998.06</v>
      </c>
      <c r="D19" s="14" t="n">
        <f aca="false">IF(LEN($A19 )&lt;2,"",VLOOKUP($A19,All_Data,D$112,0))</f>
        <v>10.3989912</v>
      </c>
      <c r="E19" s="15" t="n">
        <f aca="false">IF(LEN($A19 )&lt;2,"",VLOOKUP($A19,All_Data,E$112,0))</f>
        <v>117.1886316</v>
      </c>
      <c r="F19" s="15" t="n">
        <f aca="false">IF(LEN($A19 )&lt;2,"",VLOOKUP($A19,All_Data,F$112,0))</f>
        <v>16167.0316458</v>
      </c>
      <c r="G19" s="15" t="n">
        <f aca="false">IF(LEN($A19 )&lt;2,"",VLOOKUP($A19,All_Data,G$112,0))</f>
        <v>2244.1822932</v>
      </c>
      <c r="H19" s="15" t="n">
        <f aca="false">IF(LEN($A19 )&lt;2,"",VLOOKUP($A19,All_Data,H$112,0))</f>
        <v>902.5124478</v>
      </c>
      <c r="I19" s="15" t="n">
        <f aca="false">IF(LEN($A19 )&lt;2,"",VLOOKUP($A19,All_Data,I$112,0))</f>
        <v>141.7862454</v>
      </c>
      <c r="J19" s="15" t="n">
        <f aca="false">IF(LEN($A19 )&lt;2,"",VLOOKUP($A19,All_Data,J$112,0))</f>
        <v>267.7740234</v>
      </c>
      <c r="K19" s="15" t="n">
        <f aca="false">IF(LEN($A19 )&lt;2,"",VLOOKUP($A19,All_Data,K$112,0))</f>
        <v>56.994471</v>
      </c>
      <c r="L19" s="15" t="n">
        <f aca="false">IF(LEN($A19 )&lt;2,"",VLOOKUP($A19,All_Data,L$112,0))</f>
        <v>57.1944516</v>
      </c>
      <c r="M19" s="15" t="n">
        <f aca="false">IF(LEN($A19 )&lt;2,"",VLOOKUP($A19,All_Data,M$112,0))</f>
        <v>32.996799</v>
      </c>
      <c r="N19" s="87" t="n">
        <f aca="false">SUM(D19:M19)</f>
        <v>19998.06</v>
      </c>
      <c r="P19" s="53" t="str">
        <f aca="false">IF(LEN($A19)&lt;2,"",A19)</f>
        <v>4.01.1</v>
      </c>
      <c r="Q19" s="54" t="str">
        <f aca="false">IF(LEN($A19 )&lt;2,"",VLOOKUP($A19,All_Data,Q$112,0))</f>
        <v>Atlantic Master BuyBack</v>
      </c>
      <c r="R19" s="26" t="n">
        <f aca="false">SUM(S19:Z19)</f>
        <v>24536.5524850038</v>
      </c>
      <c r="S19" s="14" t="n">
        <f aca="false">IF(LEN($A19 )&lt;2,"",VLOOKUP($A19,All_Data,S$112,0))</f>
        <v>16331.3223833859</v>
      </c>
      <c r="T19" s="15" t="n">
        <f aca="false">IF(LEN($A19 )&lt;2,"",VLOOKUP($A19,All_Data,T$112,0))</f>
        <v>3972.40761563486</v>
      </c>
      <c r="U19" s="15" t="n">
        <f aca="false">IF(LEN($A19 )&lt;2,"",VLOOKUP($A19,All_Data,U$112,0))</f>
        <v>2271.24100708363</v>
      </c>
      <c r="V19" s="15" t="n">
        <f aca="false">IF(LEN($A19 )&lt;2,"",VLOOKUP($A19,All_Data,V$112,0))</f>
        <v>461.163344223685</v>
      </c>
      <c r="W19" s="15" t="n">
        <f aca="false">IF(LEN($A19 )&lt;2,"",VLOOKUP($A19,All_Data,W$112,0))</f>
        <v>873.735923716322</v>
      </c>
      <c r="X19" s="15" t="n">
        <f aca="false">IF(LEN($A19 )&lt;2,"",VLOOKUP($A19,All_Data,X$112,0))</f>
        <v>228.075844339887</v>
      </c>
      <c r="Y19" s="15" t="n">
        <f aca="false">IF(LEN($A19 )&lt;2,"",VLOOKUP($A19,All_Data,Y$112,0))</f>
        <v>229.32371693455</v>
      </c>
      <c r="Z19" s="16" t="n">
        <f aca="false">IF(LEN($A19 )&lt;2,"",VLOOKUP($A19,All_Data,Z$112,0))</f>
        <v>169.282649684952</v>
      </c>
      <c r="AA19" s="25" t="n">
        <f aca="false">IF(N19=0,,R19/N19*1000)</f>
        <v>1226.94663807408</v>
      </c>
      <c r="AB19" s="26" t="n">
        <f aca="false">IF(LEN($A19 )&lt;2,,VLOOKUP($A19,All_Data,AB$112,0))</f>
        <v>24537.62</v>
      </c>
      <c r="AC19" s="27" t="n">
        <f aca="false">IF(AB19=0,,R19/AB19)</f>
        <v>0.999956494762075</v>
      </c>
    </row>
    <row r="20" customFormat="false" ht="15" hidden="false" customHeight="false" outlineLevel="0" collapsed="false">
      <c r="A20" s="53" t="s">
        <v>101</v>
      </c>
      <c r="B20" s="54" t="str">
        <f aca="false">IF(LEN($A20 )&lt;2,"",VLOOKUP($A20,All_Data,B$112,0))</f>
        <v>Gillette BuyBack</v>
      </c>
      <c r="C20" s="26" t="n">
        <f aca="false">IF(LEN($A20 )&lt;2,"",VLOOKUP($A20,All_Data,C$112,0))</f>
        <v>0</v>
      </c>
      <c r="D20" s="14" t="n">
        <f aca="false">IF(LEN($A20 )&lt;2,"",VLOOKUP($A20,All_Data,D$112,0))</f>
        <v>0</v>
      </c>
      <c r="E20" s="15" t="n">
        <f aca="false">IF(LEN($A20 )&lt;2,"",VLOOKUP($A20,All_Data,E$112,0))</f>
        <v>0</v>
      </c>
      <c r="F20" s="15" t="n">
        <f aca="false">IF(LEN($A20 )&lt;2,"",VLOOKUP($A20,All_Data,F$112,0))</f>
        <v>0</v>
      </c>
      <c r="G20" s="15" t="n">
        <f aca="false">IF(LEN($A20 )&lt;2,"",VLOOKUP($A20,All_Data,G$112,0))</f>
        <v>0</v>
      </c>
      <c r="H20" s="15" t="n">
        <f aca="false">IF(LEN($A20 )&lt;2,"",VLOOKUP($A20,All_Data,H$112,0))</f>
        <v>0</v>
      </c>
      <c r="I20" s="15" t="n">
        <f aca="false">IF(LEN($A20 )&lt;2,"",VLOOKUP($A20,All_Data,I$112,0))</f>
        <v>0</v>
      </c>
      <c r="J20" s="15" t="n">
        <f aca="false">IF(LEN($A20 )&lt;2,"",VLOOKUP($A20,All_Data,J$112,0))</f>
        <v>0</v>
      </c>
      <c r="K20" s="15" t="n">
        <f aca="false">IF(LEN($A20 )&lt;2,"",VLOOKUP($A20,All_Data,K$112,0))</f>
        <v>0</v>
      </c>
      <c r="L20" s="15" t="n">
        <f aca="false">IF(LEN($A20 )&lt;2,"",VLOOKUP($A20,All_Data,L$112,0))</f>
        <v>0</v>
      </c>
      <c r="M20" s="15" t="n">
        <f aca="false">IF(LEN($A20 )&lt;2,"",VLOOKUP($A20,All_Data,M$112,0))</f>
        <v>0</v>
      </c>
      <c r="N20" s="87" t="n">
        <f aca="false">SUM(D20:M20)</f>
        <v>0</v>
      </c>
      <c r="P20" s="53" t="str">
        <f aca="false">IF(LEN($A20)&lt;2,"",A20)</f>
        <v>3.00.17</v>
      </c>
      <c r="Q20" s="54" t="str">
        <f aca="false">IF(LEN($A20 )&lt;2,"",VLOOKUP($A20,All_Data,Q$112,0))</f>
        <v>Gillette BuyBack</v>
      </c>
      <c r="R20" s="26" t="n">
        <f aca="false">SUM(S20:Z20)</f>
        <v>0</v>
      </c>
      <c r="S20" s="14" t="n">
        <f aca="false">IF(LEN($A20 )&lt;2,"",VLOOKUP($A20,All_Data,S$112,0))</f>
        <v>0</v>
      </c>
      <c r="T20" s="15" t="n">
        <f aca="false">IF(LEN($A20 )&lt;2,"",VLOOKUP($A20,All_Data,T$112,0))</f>
        <v>0</v>
      </c>
      <c r="U20" s="15" t="n">
        <f aca="false">IF(LEN($A20 )&lt;2,"",VLOOKUP($A20,All_Data,U$112,0))</f>
        <v>0</v>
      </c>
      <c r="V20" s="15" t="n">
        <f aca="false">IF(LEN($A20 )&lt;2,"",VLOOKUP($A20,All_Data,V$112,0))</f>
        <v>0</v>
      </c>
      <c r="W20" s="15" t="n">
        <f aca="false">IF(LEN($A20 )&lt;2,"",VLOOKUP($A20,All_Data,W$112,0))</f>
        <v>0</v>
      </c>
      <c r="X20" s="15" t="n">
        <f aca="false">IF(LEN($A20 )&lt;2,"",VLOOKUP($A20,All_Data,X$112,0))</f>
        <v>0</v>
      </c>
      <c r="Y20" s="15" t="n">
        <f aca="false">IF(LEN($A20 )&lt;2,"",VLOOKUP($A20,All_Data,Y$112,0))</f>
        <v>0</v>
      </c>
      <c r="Z20" s="16" t="n">
        <f aca="false">IF(LEN($A20 )&lt;2,"",VLOOKUP($A20,All_Data,Z$112,0))</f>
        <v>0</v>
      </c>
      <c r="AA20" s="25" t="n">
        <f aca="false">IF(N20=0,,R20/N20*1000)</f>
        <v>0</v>
      </c>
      <c r="AB20" s="26" t="n">
        <f aca="false">IF(LEN($A20 )&lt;2,,VLOOKUP($A20,All_Data,AB$112,0))</f>
        <v>0</v>
      </c>
      <c r="AC20" s="27" t="n">
        <f aca="false">IF(AB20=0,,R20/AB20)</f>
        <v>0</v>
      </c>
    </row>
    <row r="21" customFormat="false" ht="15" hidden="false" customHeight="false" outlineLevel="0" collapsed="false">
      <c r="A21" s="53"/>
      <c r="B21" s="54" t="str">
        <f aca="false">IF(LEN($A21 )&lt;2,"",VLOOKUP($A21,All_Data,B$112,0))</f>
        <v/>
      </c>
      <c r="C21" s="26" t="str">
        <f aca="false">IF(LEN($A21 )&lt;2,"",VLOOKUP($A21,All_Data,C$112,0))</f>
        <v/>
      </c>
      <c r="D21" s="14" t="str">
        <f aca="false">IF(LEN($A21 )&lt;2,"",VLOOKUP($A21,All_Data,D$112,0))</f>
        <v/>
      </c>
      <c r="E21" s="15" t="str">
        <f aca="false">IF(LEN($A21 )&lt;2,"",VLOOKUP($A21,All_Data,E$112,0))</f>
        <v/>
      </c>
      <c r="F21" s="15" t="str">
        <f aca="false">IF(LEN($A21 )&lt;2,"",VLOOKUP($A21,All_Data,F$112,0))</f>
        <v/>
      </c>
      <c r="G21" s="15" t="str">
        <f aca="false">IF(LEN($A21 )&lt;2,"",VLOOKUP($A21,All_Data,G$112,0))</f>
        <v/>
      </c>
      <c r="H21" s="15" t="str">
        <f aca="false">IF(LEN($A21 )&lt;2,"",VLOOKUP($A21,All_Data,H$112,0))</f>
        <v/>
      </c>
      <c r="I21" s="15" t="str">
        <f aca="false">IF(LEN($A21 )&lt;2,"",VLOOKUP($A21,All_Data,I$112,0))</f>
        <v/>
      </c>
      <c r="J21" s="15" t="str">
        <f aca="false">IF(LEN($A21 )&lt;2,"",VLOOKUP($A21,All_Data,J$112,0))</f>
        <v/>
      </c>
      <c r="K21" s="15" t="str">
        <f aca="false">IF(LEN($A21 )&lt;2,"",VLOOKUP($A21,All_Data,K$112,0))</f>
        <v/>
      </c>
      <c r="L21" s="15" t="str">
        <f aca="false">IF(LEN($A21 )&lt;2,"",VLOOKUP($A21,All_Data,L$112,0))</f>
        <v/>
      </c>
      <c r="M21" s="15" t="str">
        <f aca="false">IF(LEN($A21 )&lt;2,"",VLOOKUP($A21,All_Data,M$112,0))</f>
        <v/>
      </c>
      <c r="N21" s="88" t="n">
        <f aca="false">SUM(D21:M21)</f>
        <v>0</v>
      </c>
      <c r="P21" s="53" t="str">
        <f aca="false">IF(LEN($A21)&lt;2,"",A21)</f>
        <v/>
      </c>
      <c r="Q21" s="54" t="str">
        <f aca="false">IF(LEN($A21 )&lt;2,"",VLOOKUP($A21,All_Data,Q$112,0))</f>
        <v/>
      </c>
      <c r="R21" s="26" t="n">
        <f aca="false">SUM(S21:Z21)</f>
        <v>0</v>
      </c>
      <c r="S21" s="14" t="str">
        <f aca="false">IF(LEN($A21 )&lt;2,"",VLOOKUP($A21,All_Data,S$112,0))</f>
        <v/>
      </c>
      <c r="T21" s="15" t="str">
        <f aca="false">IF(LEN($A21 )&lt;2,"",VLOOKUP($A21,All_Data,T$112,0))</f>
        <v/>
      </c>
      <c r="U21" s="15" t="str">
        <f aca="false">IF(LEN($A21 )&lt;2,"",VLOOKUP($A21,All_Data,U$112,0))</f>
        <v/>
      </c>
      <c r="V21" s="15" t="str">
        <f aca="false">IF(LEN($A21 )&lt;2,"",VLOOKUP($A21,All_Data,V$112,0))</f>
        <v/>
      </c>
      <c r="W21" s="15" t="str">
        <f aca="false">IF(LEN($A21 )&lt;2,"",VLOOKUP($A21,All_Data,W$112,0))</f>
        <v/>
      </c>
      <c r="X21" s="15" t="str">
        <f aca="false">IF(LEN($A21 )&lt;2,"",VLOOKUP($A21,All_Data,X$112,0))</f>
        <v/>
      </c>
      <c r="Y21" s="15" t="str">
        <f aca="false">IF(LEN($A21 )&lt;2,"",VLOOKUP($A21,All_Data,Y$112,0))</f>
        <v/>
      </c>
      <c r="Z21" s="16" t="str">
        <f aca="false">IF(LEN($A21 )&lt;2,"",VLOOKUP($A21,All_Data,Z$112,0))</f>
        <v/>
      </c>
      <c r="AA21" s="25" t="n">
        <f aca="false">IF(N21=0,,R21/N21*1000)</f>
        <v>0</v>
      </c>
      <c r="AB21" s="26" t="n">
        <f aca="false">IF(LEN($A21 )&lt;2,,VLOOKUP($A21,All_Data,AB$112,0))</f>
        <v>0</v>
      </c>
      <c r="AC21" s="27" t="n">
        <f aca="false">IF(AB21=0,,R21/AB21)</f>
        <v>0</v>
      </c>
    </row>
    <row r="22" customFormat="false" ht="15" hidden="false" customHeight="false" outlineLevel="0" collapsed="false">
      <c r="A22" s="89"/>
      <c r="B22" s="90"/>
      <c r="C22" s="91" t="n">
        <f aca="false">SUM(C7:C21)</f>
        <v>1130063.47</v>
      </c>
      <c r="D22" s="92" t="n">
        <f aca="false">SUM(D7:D21)</f>
        <v>1762.0371272</v>
      </c>
      <c r="E22" s="93" t="n">
        <f aca="false">SUM(E7:E21)</f>
        <v>12714.6666016</v>
      </c>
      <c r="F22" s="93" t="n">
        <f aca="false">SUM(F7:F21)</f>
        <v>885673.6258562</v>
      </c>
      <c r="G22" s="93" t="n">
        <f aca="false">SUM(G7:G21)</f>
        <v>126264.9524919</v>
      </c>
      <c r="H22" s="93" t="n">
        <f aca="false">SUM(H7:H21)</f>
        <v>57031.687376</v>
      </c>
      <c r="I22" s="93" t="n">
        <f aca="false">SUM(I7:I21)</f>
        <v>9108.8951891</v>
      </c>
      <c r="J22" s="93" t="n">
        <f aca="false">SUM(J7:J21)</f>
        <v>20091.0350742</v>
      </c>
      <c r="K22" s="93" t="n">
        <f aca="false">SUM(K7:K21)</f>
        <v>5285.7992007</v>
      </c>
      <c r="L22" s="93" t="n">
        <f aca="false">SUM(L7:L21)</f>
        <v>5702.3559097</v>
      </c>
      <c r="M22" s="93" t="n">
        <f aca="false">SUM(M7:M21)</f>
        <v>6428.4151734</v>
      </c>
      <c r="N22" s="94" t="n">
        <f aca="false">SUM(N7:N21)</f>
        <v>1130063.47</v>
      </c>
      <c r="P22" s="89"/>
      <c r="Q22" s="90"/>
      <c r="R22" s="91" t="n">
        <f aca="false">SUM(R7:R21)</f>
        <v>1434384.01839421</v>
      </c>
      <c r="S22" s="92" t="n">
        <f aca="false">SUM(S7:S21)</f>
        <v>894985.768892686</v>
      </c>
      <c r="T22" s="93" t="n">
        <f aca="false">SUM(T7:T21)</f>
        <v>223579.447571188</v>
      </c>
      <c r="U22" s="93" t="n">
        <f aca="false">SUM(U7:U21)</f>
        <v>143576.235126836</v>
      </c>
      <c r="V22" s="93" t="n">
        <f aca="false">SUM(V7:V21)</f>
        <v>29637.5835930713</v>
      </c>
      <c r="W22" s="93" t="n">
        <f aca="false">SUM(W7:W21)</f>
        <v>65580.2348623696</v>
      </c>
      <c r="X22" s="93" t="n">
        <f aca="false">SUM(X7:X21)</f>
        <v>21160.1732608934</v>
      </c>
      <c r="Y22" s="93" t="n">
        <f aca="false">SUM(Y7:Y21)</f>
        <v>22872.4078936121</v>
      </c>
      <c r="Z22" s="95" t="n">
        <f aca="false">SUM(Z7:Z21)</f>
        <v>32992.1671935497</v>
      </c>
      <c r="AA22" s="96" t="n">
        <f aca="false">SUM(AA7:AA21)</f>
        <v>10118.1202188517</v>
      </c>
      <c r="AB22" s="91" t="n">
        <f aca="false">SUM(AB7:AB21)</f>
        <v>1434451.59</v>
      </c>
      <c r="AC22" s="97" t="n">
        <f aca="false">IF(AB22=0,,R22/AB22)</f>
        <v>0.999952893770508</v>
      </c>
    </row>
    <row r="23" customFormat="false" ht="15" hidden="false" customHeight="false" outlineLevel="0" collapsed="false">
      <c r="A23" s="79" t="s">
        <v>102</v>
      </c>
      <c r="B23" s="80"/>
      <c r="C23" s="98"/>
      <c r="D23" s="99"/>
      <c r="E23" s="100"/>
      <c r="F23" s="100"/>
      <c r="G23" s="100"/>
      <c r="H23" s="100"/>
      <c r="I23" s="100"/>
      <c r="J23" s="100"/>
      <c r="K23" s="100"/>
      <c r="L23" s="100"/>
      <c r="M23" s="100"/>
      <c r="N23" s="84"/>
      <c r="P23" s="79" t="s">
        <v>103</v>
      </c>
      <c r="Q23" s="80"/>
      <c r="R23" s="98"/>
      <c r="S23" s="99"/>
      <c r="T23" s="100"/>
      <c r="U23" s="100"/>
      <c r="V23" s="100"/>
      <c r="W23" s="100"/>
      <c r="X23" s="100"/>
      <c r="Y23" s="100"/>
      <c r="Z23" s="101"/>
      <c r="AA23" s="102"/>
      <c r="AB23" s="98"/>
      <c r="AC23" s="103"/>
    </row>
    <row r="24" customFormat="false" ht="15" hidden="false" customHeight="false" outlineLevel="0" collapsed="false">
      <c r="A24" s="53" t="s">
        <v>104</v>
      </c>
      <c r="B24" s="54" t="str">
        <f aca="false">IF(LEN($A24 )&lt;2,"",VLOOKUP($A24,All_Data,B$112,0))</f>
        <v>Pliny the Elder launcher receiver</v>
      </c>
      <c r="C24" s="86" t="n">
        <f aca="false">IF(LEN($A24 )&lt;2,"",VLOOKUP($A24,All_Data,C$112,0))</f>
        <v>31.49</v>
      </c>
      <c r="D24" s="14" t="n">
        <f aca="false">IF(LEN($A24 )&lt;2,"",VLOOKUP($A24,All_Data,D$112,0))</f>
        <v>0.0324347</v>
      </c>
      <c r="E24" s="15" t="n">
        <f aca="false">IF(LEN($A24 )&lt;2,"",VLOOKUP($A24,All_Data,E$112,0))</f>
        <v>0.3445006</v>
      </c>
      <c r="F24" s="15" t="n">
        <f aca="false">IF(LEN($A24 )&lt;2,"",VLOOKUP($A24,All_Data,F$112,0))</f>
        <v>25.1208326</v>
      </c>
      <c r="G24" s="15" t="n">
        <f aca="false">IF(LEN($A24 )&lt;2,"",VLOOKUP($A24,All_Data,G$112,0))</f>
        <v>3.3546297</v>
      </c>
      <c r="H24" s="15" t="n">
        <f aca="false">IF(LEN($A24 )&lt;2,"",VLOOKUP($A24,All_Data,H$112,0))</f>
        <v>1.4627105</v>
      </c>
      <c r="I24" s="15" t="n">
        <f aca="false">IF(LEN($A24 )&lt;2,"",VLOOKUP($A24,All_Data,I$112,0))</f>
        <v>0.2364899</v>
      </c>
      <c r="J24" s="15" t="n">
        <f aca="false">IF(LEN($A24 )&lt;2,"",VLOOKUP($A24,All_Data,J$112,0))</f>
        <v>0.4921887</v>
      </c>
      <c r="K24" s="15" t="n">
        <f aca="false">IF(LEN($A24 )&lt;2,"",VLOOKUP($A24,All_Data,K$112,0))</f>
        <v>0.1401305</v>
      </c>
      <c r="L24" s="15" t="n">
        <f aca="false">IF(LEN($A24 )&lt;2,"",VLOOKUP($A24,All_Data,L$112,0))</f>
        <v>0.1435944</v>
      </c>
      <c r="M24" s="15" t="n">
        <f aca="false">IF(LEN($A24 )&lt;2,"",VLOOKUP($A24,All_Data,M$112,0))</f>
        <v>0.1624884</v>
      </c>
      <c r="N24" s="88" t="n">
        <f aca="false">SUM(D24:M24)</f>
        <v>31.49</v>
      </c>
      <c r="P24" s="53" t="str">
        <f aca="false">IF(LEN($A24)&lt;2,"",A24)</f>
        <v>BD7</v>
      </c>
      <c r="Q24" s="54" t="str">
        <f aca="false">IF(LEN($A24 )&lt;2,"",VLOOKUP($A24,All_Data,Q$112,0))</f>
        <v>Pliny the Elder launcher receiver</v>
      </c>
      <c r="R24" s="26" t="n">
        <f aca="false">SUM(S24:Z24)</f>
        <v>39.3482380298675</v>
      </c>
      <c r="S24" s="14" t="n">
        <f aca="false">IF(LEN($A24 )&lt;2,"",VLOOKUP($A24,All_Data,S$112,0))</f>
        <v>25.3811439137311</v>
      </c>
      <c r="T24" s="15" t="n">
        <f aca="false">IF(LEN($A24 )&lt;2,"",VLOOKUP($A24,All_Data,T$112,0))</f>
        <v>5.9391782621289</v>
      </c>
      <c r="U24" s="15" t="n">
        <f aca="false">IF(LEN($A24 )&lt;2,"",VLOOKUP($A24,All_Data,U$112,0))</f>
        <v>3.68175171449448</v>
      </c>
      <c r="V24" s="15" t="n">
        <f aca="false">IF(LEN($A24 )&lt;2,"",VLOOKUP($A24,All_Data,V$112,0))</f>
        <v>0.769341879126493</v>
      </c>
      <c r="W24" s="15" t="n">
        <f aca="false">IF(LEN($A24 )&lt;2,"",VLOOKUP($A24,All_Data,W$112,0))</f>
        <v>1.60631045223171</v>
      </c>
      <c r="X24" s="15" t="n">
        <f aca="false">IF(LEN($A24 )&lt;2,"",VLOOKUP($A24,All_Data,X$112,0))</f>
        <v>0.560874033875022</v>
      </c>
      <c r="Y24" s="15" t="n">
        <f aca="false">IF(LEN($A24 )&lt;2,"",VLOOKUP($A24,All_Data,Y$112,0))</f>
        <v>0.575862335188981</v>
      </c>
      <c r="Z24" s="16" t="n">
        <f aca="false">IF(LEN($A24 )&lt;2,"",VLOOKUP($A24,All_Data,Z$112,0))</f>
        <v>0.8337754390908</v>
      </c>
      <c r="AA24" s="25" t="n">
        <f aca="false">IF(N24=0,,R24/N24*1000)</f>
        <v>1249.54709526413</v>
      </c>
      <c r="AB24" s="26" t="n">
        <f aca="false">IF(LEN($A24 )&lt;2,,VLOOKUP($A24,All_Data,AB$112,0))</f>
        <v>39.3624997090999</v>
      </c>
      <c r="AC24" s="27" t="n">
        <f aca="false">IF(AB24=0,,R24/AB24)</f>
        <v>0.999637683598913</v>
      </c>
    </row>
    <row r="25" customFormat="false" ht="15" hidden="false" customHeight="false" outlineLevel="0" collapsed="false">
      <c r="A25" s="53" t="s">
        <v>105</v>
      </c>
      <c r="B25" s="54" t="str">
        <f aca="false">IF(LEN($A25 )&lt;2,"",VLOOKUP($A25,All_Data,B$112,0))</f>
        <v>Pliny Compressor</v>
      </c>
      <c r="C25" s="86" t="n">
        <f aca="false">IF(LEN($A25 )&lt;2,"",VLOOKUP($A25,All_Data,C$112,0))</f>
        <v>176.68</v>
      </c>
      <c r="D25" s="14" t="n">
        <f aca="false">IF(LEN($A25 )&lt;2,"",VLOOKUP($A25,All_Data,D$112,0))</f>
        <v>0.1819804</v>
      </c>
      <c r="E25" s="15" t="n">
        <f aca="false">IF(LEN($A25 )&lt;2,"",VLOOKUP($A25,All_Data,E$112,0))</f>
        <v>1.9328792</v>
      </c>
      <c r="F25" s="15" t="n">
        <f aca="false">IF(LEN($A25 )&lt;2,"",VLOOKUP($A25,All_Data,F$112,0))</f>
        <v>140.9447032</v>
      </c>
      <c r="G25" s="15" t="n">
        <f aca="false">IF(LEN($A25 )&lt;2,"",VLOOKUP($A25,All_Data,G$112,0))</f>
        <v>18.8217204</v>
      </c>
      <c r="H25" s="15" t="n">
        <f aca="false">IF(LEN($A25 )&lt;2,"",VLOOKUP($A25,All_Data,H$112,0))</f>
        <v>8.206786</v>
      </c>
      <c r="I25" s="15" t="n">
        <f aca="false">IF(LEN($A25 )&lt;2,"",VLOOKUP($A25,All_Data,I$112,0))</f>
        <v>1.3268668</v>
      </c>
      <c r="J25" s="15" t="n">
        <f aca="false">IF(LEN($A25 )&lt;2,"",VLOOKUP($A25,All_Data,J$112,0))</f>
        <v>2.7615084</v>
      </c>
      <c r="K25" s="15" t="n">
        <f aca="false">IF(LEN($A25 )&lt;2,"",VLOOKUP($A25,All_Data,K$112,0))</f>
        <v>0.786226</v>
      </c>
      <c r="L25" s="15" t="n">
        <f aca="false">IF(LEN($A25 )&lt;2,"",VLOOKUP($A25,All_Data,L$112,0))</f>
        <v>0.8056608</v>
      </c>
      <c r="M25" s="15" t="n">
        <f aca="false">IF(LEN($A25 )&lt;2,"",VLOOKUP($A25,All_Data,M$112,0))</f>
        <v>0.9116688</v>
      </c>
      <c r="N25" s="88" t="n">
        <f aca="false">SUM(D25:M25)</f>
        <v>176.68</v>
      </c>
      <c r="P25" s="53" t="str">
        <f aca="false">IF(LEN($A25)&lt;2,"",A25)</f>
        <v>BD8</v>
      </c>
      <c r="Q25" s="54" t="str">
        <f aca="false">IF(LEN($A25 )&lt;2,"",VLOOKUP($A25,All_Data,Q$112,0))</f>
        <v>Pliny Compressor</v>
      </c>
      <c r="R25" s="26" t="n">
        <f aca="false">SUM(S25:Z25)</f>
        <v>220.769980791267</v>
      </c>
      <c r="S25" s="14" t="n">
        <f aca="false">IF(LEN($A25 )&lt;2,"",VLOOKUP($A25,All_Data,S$112,0))</f>
        <v>142.405224092665</v>
      </c>
      <c r="T25" s="15" t="n">
        <f aca="false">IF(LEN($A25 )&lt;2,"",VLOOKUP($A25,All_Data,T$112,0))</f>
        <v>33.3227696206076</v>
      </c>
      <c r="U25" s="15" t="n">
        <f aca="false">IF(LEN($A25 )&lt;2,"",VLOOKUP($A25,All_Data,U$112,0))</f>
        <v>20.6570940907236</v>
      </c>
      <c r="V25" s="15" t="n">
        <f aca="false">IF(LEN($A25 )&lt;2,"",VLOOKUP($A25,All_Data,V$112,0))</f>
        <v>4.31652344249186</v>
      </c>
      <c r="W25" s="15" t="n">
        <f aca="false">IF(LEN($A25 )&lt;2,"",VLOOKUP($A25,All_Data,W$112,0))</f>
        <v>9.01247795174021</v>
      </c>
      <c r="X25" s="15" t="n">
        <f aca="false">IF(LEN($A25 )&lt;2,"",VLOOKUP($A25,All_Data,X$112,0))</f>
        <v>3.14687914592057</v>
      </c>
      <c r="Y25" s="15" t="n">
        <f aca="false">IF(LEN($A25 )&lt;2,"",VLOOKUP($A25,All_Data,Y$112,0))</f>
        <v>3.23097355926292</v>
      </c>
      <c r="Z25" s="16" t="n">
        <f aca="false">IF(LEN($A25 )&lt;2,"",VLOOKUP($A25,All_Data,Z$112,0))</f>
        <v>4.67803888785527</v>
      </c>
      <c r="AA25" s="25" t="n">
        <f aca="false">IF(N25=0,,R25/N25*1000)</f>
        <v>1249.54709526413</v>
      </c>
      <c r="AB25" s="26" t="n">
        <f aca="false">IF(LEN($A25 )&lt;2,,VLOOKUP($A25,All_Data,AB$112,0))</f>
        <v>220.849998367856</v>
      </c>
      <c r="AC25" s="27" t="n">
        <f aca="false">IF(AB25=0,,R25/AB25)</f>
        <v>0.999637683598913</v>
      </c>
    </row>
    <row r="26" customFormat="false" ht="15" hidden="false" customHeight="false" outlineLevel="0" collapsed="false">
      <c r="A26" s="53" t="s">
        <v>106</v>
      </c>
      <c r="B26" s="54" t="str">
        <f aca="false">IF(LEN($A26 )&lt;2,"",VLOOKUP($A26,All_Data,B$112,0))</f>
        <v>Red Bluff launcher receiver</v>
      </c>
      <c r="C26" s="86" t="n">
        <f aca="false">IF(LEN($A26 )&lt;2,"",VLOOKUP($A26,All_Data,C$112,0))</f>
        <v>695.8</v>
      </c>
      <c r="D26" s="14" t="n">
        <f aca="false">IF(LEN($A26 )&lt;2,"",VLOOKUP($A26,All_Data,D$112,0))</f>
        <v>0.716674</v>
      </c>
      <c r="E26" s="15" t="n">
        <f aca="false">IF(LEN($A26 )&lt;2,"",VLOOKUP($A26,All_Data,E$112,0))</f>
        <v>7.612052</v>
      </c>
      <c r="F26" s="15" t="n">
        <f aca="false">IF(LEN($A26 )&lt;2,"",VLOOKUP($A26,All_Data,F$112,0))</f>
        <v>555.067492</v>
      </c>
      <c r="G26" s="15" t="n">
        <f aca="false">IF(LEN($A26 )&lt;2,"",VLOOKUP($A26,All_Data,G$112,0))</f>
        <v>74.123574</v>
      </c>
      <c r="H26" s="15" t="n">
        <f aca="false">IF(LEN($A26 )&lt;2,"",VLOOKUP($A26,All_Data,H$112,0))</f>
        <v>32.31991</v>
      </c>
      <c r="I26" s="15" t="n">
        <f aca="false">IF(LEN($A26 )&lt;2,"",VLOOKUP($A26,All_Data,I$112,0))</f>
        <v>5.225458</v>
      </c>
      <c r="J26" s="15" t="n">
        <f aca="false">IF(LEN($A26 )&lt;2,"",VLOOKUP($A26,All_Data,J$112,0))</f>
        <v>10.875354</v>
      </c>
      <c r="K26" s="15" t="n">
        <f aca="false">IF(LEN($A26 )&lt;2,"",VLOOKUP($A26,All_Data,K$112,0))</f>
        <v>3.09631</v>
      </c>
      <c r="L26" s="15" t="n">
        <f aca="false">IF(LEN($A26 )&lt;2,"",VLOOKUP($A26,All_Data,L$112,0))</f>
        <v>3.172848</v>
      </c>
      <c r="M26" s="15" t="n">
        <f aca="false">IF(LEN($A26 )&lt;2,"",VLOOKUP($A26,All_Data,M$112,0))</f>
        <v>3.590328</v>
      </c>
      <c r="N26" s="88" t="n">
        <f aca="false">SUM(D26:M26)</f>
        <v>695.8</v>
      </c>
      <c r="P26" s="53" t="str">
        <f aca="false">IF(LEN($A26)&lt;2,"",A26)</f>
        <v>BD31</v>
      </c>
      <c r="Q26" s="54" t="str">
        <f aca="false">IF(LEN($A26 )&lt;2,"",VLOOKUP($A26,All_Data,Q$112,0))</f>
        <v>Red Bluff launcher receiver</v>
      </c>
      <c r="R26" s="26" t="n">
        <f aca="false">SUM(S26:Z26)</f>
        <v>869.434868884783</v>
      </c>
      <c r="S26" s="14" t="n">
        <f aca="false">IF(LEN($A26 )&lt;2,"",VLOOKUP($A26,All_Data,S$112,0))</f>
        <v>560.819305658118</v>
      </c>
      <c r="T26" s="15" t="n">
        <f aca="false">IF(LEN($A26 )&lt;2,"",VLOOKUP($A26,All_Data,T$112,0))</f>
        <v>131.231509520143</v>
      </c>
      <c r="U26" s="15" t="n">
        <f aca="false">IF(LEN($A26 )&lt;2,"",VLOOKUP($A26,All_Data,U$112,0))</f>
        <v>81.3516304523741</v>
      </c>
      <c r="V26" s="15" t="n">
        <f aca="false">IF(LEN($A26 )&lt;2,"",VLOOKUP($A26,All_Data,V$112,0))</f>
        <v>16.9993038900036</v>
      </c>
      <c r="W26" s="15" t="n">
        <f aca="false">IF(LEN($A26 )&lt;2,"",VLOOKUP($A26,All_Data,W$112,0))</f>
        <v>35.4928806815759</v>
      </c>
      <c r="X26" s="15" t="n">
        <f aca="false">IF(LEN($A26 )&lt;2,"",VLOOKUP($A26,All_Data,X$112,0))</f>
        <v>12.3930185065176</v>
      </c>
      <c r="Y26" s="15" t="n">
        <f aca="false">IF(LEN($A26 )&lt;2,"",VLOOKUP($A26,All_Data,Y$112,0))</f>
        <v>12.7241985654015</v>
      </c>
      <c r="Z26" s="16" t="n">
        <f aca="false">IF(LEN($A26 )&lt;2,"",VLOOKUP($A26,All_Data,Z$112,0))</f>
        <v>18.4230216106503</v>
      </c>
      <c r="AA26" s="25" t="n">
        <f aca="false">IF(N26=0,,R26/N26*1000)</f>
        <v>1249.54709526413</v>
      </c>
      <c r="AB26" s="26" t="n">
        <f aca="false">IF(LEN($A26 )&lt;2,,VLOOKUP($A26,All_Data,AB$112,0))</f>
        <v>869.7499935723</v>
      </c>
      <c r="AC26" s="27" t="n">
        <f aca="false">IF(AB26=0,,R26/AB26)</f>
        <v>0.999637683598913</v>
      </c>
    </row>
    <row r="27" customFormat="false" ht="15" hidden="false" customHeight="false" outlineLevel="0" collapsed="false">
      <c r="A27" s="53" t="s">
        <v>107</v>
      </c>
      <c r="B27" s="54" t="str">
        <f aca="false">IF(LEN($A27 )&lt;2,"",VLOOKUP($A27,All_Data,B$112,0))</f>
        <v>Cypress launcher receiver</v>
      </c>
      <c r="C27" s="86" t="n">
        <f aca="false">IF(LEN($A27 )&lt;2,"",VLOOKUP($A27,All_Data,C$112,0))</f>
        <v>47.2</v>
      </c>
      <c r="D27" s="14" t="n">
        <f aca="false">IF(LEN($A27 )&lt;2,"",VLOOKUP($A27,All_Data,D$112,0))</f>
        <v>0.057112</v>
      </c>
      <c r="E27" s="15" t="n">
        <f aca="false">IF(LEN($A27 )&lt;2,"",VLOOKUP($A27,All_Data,E$112,0))</f>
        <v>0.396008</v>
      </c>
      <c r="F27" s="15" t="n">
        <f aca="false">IF(LEN($A27 )&lt;2,"",VLOOKUP($A27,All_Data,F$112,0))</f>
        <v>37.602824</v>
      </c>
      <c r="G27" s="15" t="n">
        <f aca="false">IF(LEN($A27 )&lt;2,"",VLOOKUP($A27,All_Data,G$112,0))</f>
        <v>5.012168</v>
      </c>
      <c r="H27" s="15" t="n">
        <f aca="false">IF(LEN($A27 )&lt;2,"",VLOOKUP($A27,All_Data,H$112,0))</f>
        <v>2.164592</v>
      </c>
      <c r="I27" s="15" t="n">
        <f aca="false">IF(LEN($A27 )&lt;2,"",VLOOKUP($A27,All_Data,I$112,0))</f>
        <v>0.351168</v>
      </c>
      <c r="J27" s="15" t="n">
        <f aca="false">IF(LEN($A27 )&lt;2,"",VLOOKUP($A27,All_Data,J$112,0))</f>
        <v>0.773608</v>
      </c>
      <c r="K27" s="15" t="n">
        <f aca="false">IF(LEN($A27 )&lt;2,"",VLOOKUP($A27,All_Data,K$112,0))</f>
        <v>0.236472</v>
      </c>
      <c r="L27" s="15" t="n">
        <f aca="false">IF(LEN($A27 )&lt;2,"",VLOOKUP($A27,All_Data,L$112,0))</f>
        <v>0.269984</v>
      </c>
      <c r="M27" s="15" t="n">
        <f aca="false">IF(LEN($A27 )&lt;2,"",VLOOKUP($A27,All_Data,M$112,0))</f>
        <v>0.336064</v>
      </c>
      <c r="N27" s="88" t="n">
        <f aca="false">SUM(D27:M27)</f>
        <v>47.2</v>
      </c>
      <c r="P27" s="53" t="str">
        <f aca="false">IF(LEN($A27)&lt;2,"",A27)</f>
        <v>BD11</v>
      </c>
      <c r="Q27" s="54" t="str">
        <f aca="false">IF(LEN($A27 )&lt;2,"",VLOOKUP($A27,All_Data,Q$112,0))</f>
        <v>Cypress launcher receiver</v>
      </c>
      <c r="R27" s="26" t="n">
        <f aca="false">SUM(S27:Z27)</f>
        <v>59.7425128854757</v>
      </c>
      <c r="S27" s="14" t="n">
        <f aca="false">IF(LEN($A27 )&lt;2,"",VLOOKUP($A27,All_Data,S$112,0))</f>
        <v>37.9969473257324</v>
      </c>
      <c r="T27" s="15" t="n">
        <f aca="false">IF(LEN($A27 )&lt;2,"",VLOOKUP($A27,All_Data,T$112,0))</f>
        <v>8.87479796500838</v>
      </c>
      <c r="U27" s="15" t="n">
        <f aca="false">IF(LEN($A27 )&lt;2,"",VLOOKUP($A27,All_Data,U$112,0))</f>
        <v>5.44908083419652</v>
      </c>
      <c r="V27" s="15" t="n">
        <f aca="false">IF(LEN($A27 )&lt;2,"",VLOOKUP($A27,All_Data,V$112,0))</f>
        <v>1.142543629431</v>
      </c>
      <c r="W27" s="15" t="n">
        <f aca="false">IF(LEN($A27 )&lt;2,"",VLOOKUP($A27,All_Data,W$112,0))</f>
        <v>2.52504941444739</v>
      </c>
      <c r="X27" s="15" t="n">
        <f aca="false">IF(LEN($A27 )&lt;2,"",VLOOKUP($A27,All_Data,X$112,0))</f>
        <v>0.946593395516505</v>
      </c>
      <c r="Y27" s="15" t="n">
        <f aca="false">IF(LEN($A27 )&lt;2,"",VLOOKUP($A27,All_Data,Y$112,0))</f>
        <v>1.08285493677036</v>
      </c>
      <c r="Z27" s="16" t="n">
        <f aca="false">IF(LEN($A27 )&lt;2,"",VLOOKUP($A27,All_Data,Z$112,0))</f>
        <v>1.72464538437314</v>
      </c>
      <c r="AA27" s="25" t="n">
        <f aca="false">IF(N27=0,,R27/N27*1000)</f>
        <v>1265.73120520076</v>
      </c>
      <c r="AB27" s="26" t="n">
        <f aca="false">IF(LEN($A27 )&lt;2,,VLOOKUP($A27,All_Data,AB$112,0))</f>
        <v>59.7551998295163</v>
      </c>
      <c r="AC27" s="27" t="n">
        <f aca="false">IF(AB27=0,,R27/AB27)</f>
        <v>0.999787684685571</v>
      </c>
    </row>
    <row r="28" customFormat="false" ht="15" hidden="false" customHeight="false" outlineLevel="0" collapsed="false">
      <c r="A28" s="53" t="s">
        <v>108</v>
      </c>
      <c r="B28" s="54" t="str">
        <f aca="false">IF(LEN($A28 )&lt;2,"",VLOOKUP($A28,All_Data,B$112,0))</f>
        <v>Money Graham launcher receiver</v>
      </c>
      <c r="C28" s="86" t="n">
        <f aca="false">IF(LEN($A28 )&lt;2,"",VLOOKUP($A28,All_Data,C$112,0))</f>
        <v>0</v>
      </c>
      <c r="D28" s="14" t="n">
        <f aca="false">IF(LEN($A28 )&lt;2,"",VLOOKUP($A28,All_Data,D$112,0))</f>
        <v>0</v>
      </c>
      <c r="E28" s="15" t="n">
        <f aca="false">IF(LEN($A28 )&lt;2,"",VLOOKUP($A28,All_Data,E$112,0))</f>
        <v>0</v>
      </c>
      <c r="F28" s="15" t="n">
        <f aca="false">IF(LEN($A28 )&lt;2,"",VLOOKUP($A28,All_Data,F$112,0))</f>
        <v>0</v>
      </c>
      <c r="G28" s="15" t="n">
        <f aca="false">IF(LEN($A28 )&lt;2,"",VLOOKUP($A28,All_Data,G$112,0))</f>
        <v>0</v>
      </c>
      <c r="H28" s="15" t="n">
        <f aca="false">IF(LEN($A28 )&lt;2,"",VLOOKUP($A28,All_Data,H$112,0))</f>
        <v>0</v>
      </c>
      <c r="I28" s="15" t="n">
        <f aca="false">IF(LEN($A28 )&lt;2,"",VLOOKUP($A28,All_Data,I$112,0))</f>
        <v>0</v>
      </c>
      <c r="J28" s="15" t="n">
        <f aca="false">IF(LEN($A28 )&lt;2,"",VLOOKUP($A28,All_Data,J$112,0))</f>
        <v>0</v>
      </c>
      <c r="K28" s="15" t="n">
        <f aca="false">IF(LEN($A28 )&lt;2,"",VLOOKUP($A28,All_Data,K$112,0))</f>
        <v>0</v>
      </c>
      <c r="L28" s="15" t="n">
        <f aca="false">IF(LEN($A28 )&lt;2,"",VLOOKUP($A28,All_Data,L$112,0))</f>
        <v>0</v>
      </c>
      <c r="M28" s="15" t="n">
        <f aca="false">IF(LEN($A28 )&lt;2,"",VLOOKUP($A28,All_Data,M$112,0))</f>
        <v>0</v>
      </c>
      <c r="N28" s="88" t="n">
        <f aca="false">SUM(D28:M28)</f>
        <v>0</v>
      </c>
      <c r="P28" s="53" t="str">
        <f aca="false">IF(LEN($A28)&lt;2,"",A28)</f>
        <v>BD6</v>
      </c>
      <c r="Q28" s="54" t="str">
        <f aca="false">IF(LEN($A28 )&lt;2,"",VLOOKUP($A28,All_Data,Q$112,0))</f>
        <v>Money Graham launcher receiver</v>
      </c>
      <c r="R28" s="26" t="n">
        <f aca="false">SUM(S28:Z28)</f>
        <v>0</v>
      </c>
      <c r="S28" s="14" t="n">
        <f aca="false">IF(LEN($A28 )&lt;2,"",VLOOKUP($A28,All_Data,S$112,0))</f>
        <v>0</v>
      </c>
      <c r="T28" s="15" t="n">
        <f aca="false">IF(LEN($A28 )&lt;2,"",VLOOKUP($A28,All_Data,T$112,0))</f>
        <v>0</v>
      </c>
      <c r="U28" s="15" t="n">
        <f aca="false">IF(LEN($A28 )&lt;2,"",VLOOKUP($A28,All_Data,U$112,0))</f>
        <v>0</v>
      </c>
      <c r="V28" s="15" t="n">
        <f aca="false">IF(LEN($A28 )&lt;2,"",VLOOKUP($A28,All_Data,V$112,0))</f>
        <v>0</v>
      </c>
      <c r="W28" s="15" t="n">
        <f aca="false">IF(LEN($A28 )&lt;2,"",VLOOKUP($A28,All_Data,W$112,0))</f>
        <v>0</v>
      </c>
      <c r="X28" s="15" t="n">
        <f aca="false">IF(LEN($A28 )&lt;2,"",VLOOKUP($A28,All_Data,X$112,0))</f>
        <v>0</v>
      </c>
      <c r="Y28" s="15" t="n">
        <f aca="false">IF(LEN($A28 )&lt;2,"",VLOOKUP($A28,All_Data,Y$112,0))</f>
        <v>0</v>
      </c>
      <c r="Z28" s="16" t="n">
        <f aca="false">IF(LEN($A28 )&lt;2,"",VLOOKUP($A28,All_Data,Z$112,0))</f>
        <v>0</v>
      </c>
      <c r="AA28" s="25" t="n">
        <f aca="false">IF(N28=0,,R28/N28*1000)</f>
        <v>0</v>
      </c>
      <c r="AB28" s="26" t="n">
        <f aca="false">IF(LEN($A28 )&lt;2,,VLOOKUP($A28,All_Data,AB$112,0))</f>
        <v>0</v>
      </c>
      <c r="AC28" s="27" t="n">
        <f aca="false">IF(AB28=0,,R28/AB28)</f>
        <v>0</v>
      </c>
    </row>
    <row r="29" customFormat="false" ht="15" hidden="false" customHeight="false" outlineLevel="0" collapsed="false">
      <c r="A29" s="53" t="s">
        <v>109</v>
      </c>
      <c r="B29" s="54" t="str">
        <f aca="false">IF(LEN($A29 )&lt;2,"",VLOOKUP($A29,All_Data,B$112,0))</f>
        <v>Welcome to Golden</v>
      </c>
      <c r="C29" s="86" t="n">
        <f aca="false">IF(LEN($A29 )&lt;2,"",VLOOKUP($A29,All_Data,C$112,0))</f>
        <v>6.07</v>
      </c>
      <c r="D29" s="14" t="n">
        <f aca="false">IF(LEN($A29 )&lt;2,"",VLOOKUP($A29,All_Data,D$112,0))</f>
        <v>0.0081945</v>
      </c>
      <c r="E29" s="15" t="n">
        <f aca="false">IF(LEN($A29 )&lt;2,"",VLOOKUP($A29,All_Data,E$112,0))</f>
        <v>0.0525662</v>
      </c>
      <c r="F29" s="15" t="n">
        <f aca="false">IF(LEN($A29 )&lt;2,"",VLOOKUP($A29,All_Data,F$112,0))</f>
        <v>4.7452225</v>
      </c>
      <c r="G29" s="15" t="n">
        <f aca="false">IF(LEN($A29 )&lt;2,"",VLOOKUP($A29,All_Data,G$112,0))</f>
        <v>0.6885808</v>
      </c>
      <c r="H29" s="15" t="n">
        <f aca="false">IF(LEN($A29 )&lt;2,"",VLOOKUP($A29,All_Data,H$112,0))</f>
        <v>0.3078704</v>
      </c>
      <c r="I29" s="15" t="n">
        <f aca="false">IF(LEN($A29 )&lt;2,"",VLOOKUP($A29,All_Data,I$112,0))</f>
        <v>0.0467997</v>
      </c>
      <c r="J29" s="15" t="n">
        <f aca="false">IF(LEN($A29 )&lt;2,"",VLOOKUP($A29,All_Data,J$112,0))</f>
        <v>0.1072569</v>
      </c>
      <c r="K29" s="15" t="n">
        <f aca="false">IF(LEN($A29 )&lt;2,"",VLOOKUP($A29,All_Data,K$112,0))</f>
        <v>0.0307142</v>
      </c>
      <c r="L29" s="15" t="n">
        <f aca="false">IF(LEN($A29 )&lt;2,"",VLOOKUP($A29,All_Data,L$112,0))</f>
        <v>0.0325352</v>
      </c>
      <c r="M29" s="15" t="n">
        <f aca="false">IF(LEN($A29 )&lt;2,"",VLOOKUP($A29,All_Data,M$112,0))</f>
        <v>0.0502596</v>
      </c>
      <c r="N29" s="88" t="n">
        <f aca="false">SUM(D29:M29)</f>
        <v>6.07</v>
      </c>
      <c r="P29" s="53" t="str">
        <f aca="false">IF(LEN($A29)&lt;2,"",A29)</f>
        <v>BD16</v>
      </c>
      <c r="Q29" s="54" t="str">
        <f aca="false">IF(LEN($A29 )&lt;2,"",VLOOKUP($A29,All_Data,Q$112,0))</f>
        <v>Welcome to Golden</v>
      </c>
      <c r="R29" s="26" t="n">
        <f aca="false">SUM(S29:Z29)</f>
        <v>7.80412661390742</v>
      </c>
      <c r="S29" s="14" t="n">
        <f aca="false">IF(LEN($A29 )&lt;2,"",VLOOKUP($A29,All_Data,S$112,0))</f>
        <v>4.79568924537568</v>
      </c>
      <c r="T29" s="15" t="n">
        <f aca="false">IF(LEN($A29 )&lt;2,"",VLOOKUP($A29,All_Data,T$112,0))</f>
        <v>1.2194218494557</v>
      </c>
      <c r="U29" s="15" t="n">
        <f aca="false">IF(LEN($A29 )&lt;2,"",VLOOKUP($A29,All_Data,U$112,0))</f>
        <v>0.775142135688441</v>
      </c>
      <c r="V29" s="15" t="n">
        <f aca="false">IF(LEN($A29 )&lt;2,"",VLOOKUP($A29,All_Data,V$112,0))</f>
        <v>0.152288509417219</v>
      </c>
      <c r="W29" s="15" t="n">
        <f aca="false">IF(LEN($A29 )&lt;2,"",VLOOKUP($A29,All_Data,W$112,0))</f>
        <v>0.350138911849236</v>
      </c>
      <c r="X29" s="15" t="n">
        <f aca="false">IF(LEN($A29 )&lt;2,"",VLOOKUP($A29,All_Data,X$112,0))</f>
        <v>0.122967165202377</v>
      </c>
      <c r="Y29" s="15" t="n">
        <f aca="false">IF(LEN($A29 )&lt;2,"",VLOOKUP($A29,All_Data,Y$112,0))</f>
        <v>0.130512449875296</v>
      </c>
      <c r="Z29" s="16" t="n">
        <f aca="false">IF(LEN($A29 )&lt;2,"",VLOOKUP($A29,All_Data,Z$112,0))</f>
        <v>0.257966347043477</v>
      </c>
      <c r="AA29" s="25" t="n">
        <f aca="false">IF(N29=0,,R29/N29*1000)</f>
        <v>1285.68807477882</v>
      </c>
      <c r="AB29" s="26" t="n">
        <f aca="false">IF(LEN($A29 )&lt;2,,VLOOKUP($A29,All_Data,AB$112,0))</f>
        <v>7.80601998947476</v>
      </c>
      <c r="AC29" s="27" t="n">
        <f aca="false">IF(AB29=0,,R29/AB29)</f>
        <v>0.999757446743681</v>
      </c>
    </row>
    <row r="30" customFormat="false" ht="15" hidden="false" customHeight="false" outlineLevel="0" collapsed="false">
      <c r="A30" s="53" t="s">
        <v>110</v>
      </c>
      <c r="B30" s="54" t="str">
        <f aca="false">IF(LEN($A30 )&lt;2,"",VLOOKUP($A30,All_Data,B$112,0))</f>
        <v>Nailed It A&amp;B</v>
      </c>
      <c r="C30" s="86" t="n">
        <f aca="false">IF(LEN($A30 )&lt;2,"",VLOOKUP($A30,All_Data,C$112,0))</f>
        <v>6.86</v>
      </c>
      <c r="D30" s="14" t="n">
        <f aca="false">IF(LEN($A30 )&lt;2,"",VLOOKUP($A30,All_Data,D$112,0))</f>
        <v>0.0115934</v>
      </c>
      <c r="E30" s="15" t="n">
        <f aca="false">IF(LEN($A30 )&lt;2,"",VLOOKUP($A30,All_Data,E$112,0))</f>
        <v>0.0939134</v>
      </c>
      <c r="F30" s="15" t="n">
        <f aca="false">IF(LEN($A30 )&lt;2,"",VLOOKUP($A30,All_Data,F$112,0))</f>
        <v>5.4347664</v>
      </c>
      <c r="G30" s="15" t="n">
        <f aca="false">IF(LEN($A30 )&lt;2,"",VLOOKUP($A30,All_Data,G$112,0))</f>
        <v>0.7480144</v>
      </c>
      <c r="H30" s="15" t="n">
        <f aca="false">IF(LEN($A30 )&lt;2,"",VLOOKUP($A30,All_Data,H$112,0))</f>
        <v>0.3233804</v>
      </c>
      <c r="I30" s="15" t="n">
        <f aca="false">IF(LEN($A30 )&lt;2,"",VLOOKUP($A30,All_Data,I$112,0))</f>
        <v>0.0512442</v>
      </c>
      <c r="J30" s="15" t="n">
        <f aca="false">IF(LEN($A30 )&lt;2,"",VLOOKUP($A30,All_Data,J$112,0))</f>
        <v>0.109074</v>
      </c>
      <c r="K30" s="15" t="n">
        <f aca="false">IF(LEN($A30 )&lt;2,"",VLOOKUP($A30,All_Data,K$112,0))</f>
        <v>0.027097</v>
      </c>
      <c r="L30" s="15" t="n">
        <f aca="false">IF(LEN($A30 )&lt;2,"",VLOOKUP($A30,All_Data,L$112,0))</f>
        <v>0.0292236</v>
      </c>
      <c r="M30" s="15" t="n">
        <f aca="false">IF(LEN($A30 )&lt;2,"",VLOOKUP($A30,All_Data,M$112,0))</f>
        <v>0.0316932</v>
      </c>
      <c r="N30" s="88" t="n">
        <f aca="false">SUM(D30:M30)</f>
        <v>6.86</v>
      </c>
      <c r="P30" s="53" t="str">
        <f aca="false">IF(LEN($A30)&lt;2,"",A30)</f>
        <v>BD15</v>
      </c>
      <c r="Q30" s="54" t="str">
        <f aca="false">IF(LEN($A30 )&lt;2,"",VLOOKUP($A30,All_Data,Q$112,0))</f>
        <v>Nailed It A&amp;B</v>
      </c>
      <c r="R30" s="26" t="n">
        <f aca="false">SUM(S30:Z30)</f>
        <v>8.54018585997337</v>
      </c>
      <c r="S30" s="14" t="n">
        <f aca="false">IF(LEN($A30 )&lt;2,"",VLOOKUP($A30,All_Data,S$112,0))</f>
        <v>5.49098891616689</v>
      </c>
      <c r="T30" s="15" t="n">
        <f aca="false">IF(LEN($A30 )&lt;2,"",VLOOKUP($A30,All_Data,T$112,0))</f>
        <v>1.32429352225165</v>
      </c>
      <c r="U30" s="15" t="n">
        <f aca="false">IF(LEN($A30 )&lt;2,"",VLOOKUP($A30,All_Data,U$112,0))</f>
        <v>0.813958636951144</v>
      </c>
      <c r="V30" s="15" t="n">
        <f aca="false">IF(LEN($A30 )&lt;2,"",VLOOKUP($A30,All_Data,V$112,0))</f>
        <v>0.16670323087521</v>
      </c>
      <c r="W30" s="15" t="n">
        <f aca="false">IF(LEN($A30 )&lt;2,"",VLOOKUP($A30,All_Data,W$112,0))</f>
        <v>0.355968533886309</v>
      </c>
      <c r="X30" s="15" t="n">
        <f aca="false">IF(LEN($A30 )&lt;2,"",VLOOKUP($A30,All_Data,X$112,0))</f>
        <v>0.108454205539585</v>
      </c>
      <c r="Y30" s="15" t="n">
        <f aca="false">IF(LEN($A30 )&lt;2,"",VLOOKUP($A30,All_Data,Y$112,0))</f>
        <v>0.117194548095505</v>
      </c>
      <c r="Z30" s="16" t="n">
        <f aca="false">IF(LEN($A30 )&lt;2,"",VLOOKUP($A30,All_Data,Z$112,0))</f>
        <v>0.162624266207084</v>
      </c>
      <c r="AA30" s="25" t="n">
        <f aca="false">IF(N30=0,,R30/N30*1000)</f>
        <v>1244.92505247425</v>
      </c>
      <c r="AB30" s="26" t="n">
        <f aca="false">IF(LEN($A30 )&lt;2,,VLOOKUP($A30,All_Data,AB$112,0))</f>
        <v>8.54069997727158</v>
      </c>
      <c r="AC30" s="27" t="n">
        <f aca="false">IF(AB30=0,,R30/AB30)</f>
        <v>0.999939803845168</v>
      </c>
    </row>
    <row r="31" customFormat="false" ht="15" hidden="false" customHeight="false" outlineLevel="0" collapsed="false">
      <c r="A31" s="53" t="s">
        <v>111</v>
      </c>
      <c r="B31" s="54" t="str">
        <f aca="false">IF(LEN($A31 )&lt;2,"",VLOOKUP($A31,All_Data,B$112,0))</f>
        <v>Tribute Compressor Station</v>
      </c>
      <c r="C31" s="86" t="n">
        <f aca="false">IF(LEN($A31 )&lt;2,"",VLOOKUP($A31,All_Data,C$112,0))</f>
        <v>0</v>
      </c>
      <c r="D31" s="14" t="n">
        <f aca="false">IF(LEN($A31 )&lt;2,"",VLOOKUP($A31,All_Data,D$112,0))</f>
        <v>0</v>
      </c>
      <c r="E31" s="15" t="n">
        <f aca="false">IF(LEN($A31 )&lt;2,"",VLOOKUP($A31,All_Data,E$112,0))</f>
        <v>0</v>
      </c>
      <c r="F31" s="15" t="n">
        <f aca="false">IF(LEN($A31 )&lt;2,"",VLOOKUP($A31,All_Data,F$112,0))</f>
        <v>0</v>
      </c>
      <c r="G31" s="15" t="n">
        <f aca="false">IF(LEN($A31 )&lt;2,"",VLOOKUP($A31,All_Data,G$112,0))</f>
        <v>0</v>
      </c>
      <c r="H31" s="15" t="n">
        <f aca="false">IF(LEN($A31 )&lt;2,"",VLOOKUP($A31,All_Data,H$112,0))</f>
        <v>0</v>
      </c>
      <c r="I31" s="15" t="n">
        <f aca="false">IF(LEN($A31 )&lt;2,"",VLOOKUP($A31,All_Data,I$112,0))</f>
        <v>0</v>
      </c>
      <c r="J31" s="15" t="n">
        <f aca="false">IF(LEN($A31 )&lt;2,"",VLOOKUP($A31,All_Data,J$112,0))</f>
        <v>0</v>
      </c>
      <c r="K31" s="15" t="n">
        <f aca="false">IF(LEN($A31 )&lt;2,"",VLOOKUP($A31,All_Data,K$112,0))</f>
        <v>0</v>
      </c>
      <c r="L31" s="15" t="n">
        <f aca="false">IF(LEN($A31 )&lt;2,"",VLOOKUP($A31,All_Data,L$112,0))</f>
        <v>0</v>
      </c>
      <c r="M31" s="15" t="n">
        <f aca="false">IF(LEN($A31 )&lt;2,"",VLOOKUP($A31,All_Data,M$112,0))</f>
        <v>0</v>
      </c>
      <c r="N31" s="88" t="n">
        <f aca="false">SUM(D31:M31)</f>
        <v>0</v>
      </c>
      <c r="P31" s="53" t="str">
        <f aca="false">IF(LEN($A31)&lt;2,"",A31)</f>
        <v>BD20</v>
      </c>
      <c r="Q31" s="54" t="str">
        <f aca="false">IF(LEN($A31 )&lt;2,"",VLOOKUP($A31,All_Data,Q$112,0))</f>
        <v>Tribute Compressor Station</v>
      </c>
      <c r="R31" s="26" t="n">
        <f aca="false">SUM(S31:Z31)</f>
        <v>0</v>
      </c>
      <c r="S31" s="14" t="n">
        <f aca="false">IF(LEN($A31 )&lt;2,"",VLOOKUP($A31,All_Data,S$112,0))</f>
        <v>0</v>
      </c>
      <c r="T31" s="15" t="n">
        <f aca="false">IF(LEN($A31 )&lt;2,"",VLOOKUP($A31,All_Data,T$112,0))</f>
        <v>0</v>
      </c>
      <c r="U31" s="15" t="n">
        <f aca="false">IF(LEN($A31 )&lt;2,"",VLOOKUP($A31,All_Data,U$112,0))</f>
        <v>0</v>
      </c>
      <c r="V31" s="15" t="n">
        <f aca="false">IF(LEN($A31 )&lt;2,"",VLOOKUP($A31,All_Data,V$112,0))</f>
        <v>0</v>
      </c>
      <c r="W31" s="15" t="n">
        <f aca="false">IF(LEN($A31 )&lt;2,"",VLOOKUP($A31,All_Data,W$112,0))</f>
        <v>0</v>
      </c>
      <c r="X31" s="15" t="n">
        <f aca="false">IF(LEN($A31 )&lt;2,"",VLOOKUP($A31,All_Data,X$112,0))</f>
        <v>0</v>
      </c>
      <c r="Y31" s="15" t="n">
        <f aca="false">IF(LEN($A31 )&lt;2,"",VLOOKUP($A31,All_Data,Y$112,0))</f>
        <v>0</v>
      </c>
      <c r="Z31" s="16" t="n">
        <f aca="false">IF(LEN($A31 )&lt;2,"",VLOOKUP($A31,All_Data,Z$112,0))</f>
        <v>0</v>
      </c>
      <c r="AA31" s="25" t="n">
        <f aca="false">IF(N31=0,,R31/N31*1000)</f>
        <v>0</v>
      </c>
      <c r="AB31" s="26" t="n">
        <f aca="false">IF(LEN($A31 )&lt;2,,VLOOKUP($A31,All_Data,AB$112,0))</f>
        <v>0</v>
      </c>
      <c r="AC31" s="27" t="n">
        <f aca="false">IF(AB31=0,,R31/AB31)</f>
        <v>0</v>
      </c>
    </row>
    <row r="32" customFormat="false" ht="15" hidden="false" customHeight="false" outlineLevel="0" collapsed="false">
      <c r="A32" s="53" t="s">
        <v>112</v>
      </c>
      <c r="B32" s="54" t="str">
        <f aca="false">IF(LEN($A32 )&lt;2,"",VLOOKUP($A32,All_Data,B$112,0))</f>
        <v>Lowe Compressor Station</v>
      </c>
      <c r="C32" s="86" t="n">
        <f aca="false">IF(LEN($A32 )&lt;2,"",VLOOKUP($A32,All_Data,C$112,0))</f>
        <v>400</v>
      </c>
      <c r="D32" s="14" t="n">
        <f aca="false">IF(LEN($A32 )&lt;2,"",VLOOKUP($A32,All_Data,D$112,0))</f>
        <v>0.46</v>
      </c>
      <c r="E32" s="15" t="n">
        <f aca="false">IF(LEN($A32 )&lt;2,"",VLOOKUP($A32,All_Data,E$112,0))</f>
        <v>3.588</v>
      </c>
      <c r="F32" s="15" t="n">
        <f aca="false">IF(LEN($A32 )&lt;2,"",VLOOKUP($A32,All_Data,F$112,0))</f>
        <v>324.556</v>
      </c>
      <c r="G32" s="15" t="n">
        <f aca="false">IF(LEN($A32 )&lt;2,"",VLOOKUP($A32,All_Data,G$112,0))</f>
        <v>42.604</v>
      </c>
      <c r="H32" s="15" t="n">
        <f aca="false">IF(LEN($A32 )&lt;2,"",VLOOKUP($A32,All_Data,H$112,0))</f>
        <v>16.508</v>
      </c>
      <c r="I32" s="15" t="n">
        <f aca="false">IF(LEN($A32 )&lt;2,"",VLOOKUP($A32,All_Data,I$112,0))</f>
        <v>2.756</v>
      </c>
      <c r="J32" s="15" t="n">
        <f aca="false">IF(LEN($A32 )&lt;2,"",VLOOKUP($A32,All_Data,J$112,0))</f>
        <v>5.144</v>
      </c>
      <c r="K32" s="15" t="n">
        <f aca="false">IF(LEN($A32 )&lt;2,"",VLOOKUP($A32,All_Data,K$112,0))</f>
        <v>1.336</v>
      </c>
      <c r="L32" s="15" t="n">
        <f aca="false">IF(LEN($A32 )&lt;2,"",VLOOKUP($A32,All_Data,L$112,0))</f>
        <v>1.396</v>
      </c>
      <c r="M32" s="15" t="n">
        <f aca="false">IF(LEN($A32 )&lt;2,"",VLOOKUP($A32,All_Data,M$112,0))</f>
        <v>1.652</v>
      </c>
      <c r="N32" s="88" t="n">
        <f aca="false">SUM(D32:M32)</f>
        <v>400</v>
      </c>
      <c r="P32" s="53" t="str">
        <f aca="false">IF(LEN($A32)&lt;2,"",A32)</f>
        <v>BD25</v>
      </c>
      <c r="Q32" s="54" t="str">
        <f aca="false">IF(LEN($A32 )&lt;2,"",VLOOKUP($A32,All_Data,Q$112,0))</f>
        <v>Lowe Compressor Station</v>
      </c>
      <c r="R32" s="26" t="n">
        <f aca="false">SUM(S32:Z32)</f>
        <v>489.986360278414</v>
      </c>
      <c r="S32" s="14" t="n">
        <f aca="false">IF(LEN($A32 )&lt;2,"",VLOOKUP($A32,All_Data,S$112,0))</f>
        <v>327.859605004984</v>
      </c>
      <c r="T32" s="15" t="n">
        <f aca="false">IF(LEN($A32 )&lt;2,"",VLOOKUP($A32,All_Data,T$112,0))</f>
        <v>75.414222151819</v>
      </c>
      <c r="U32" s="15" t="n">
        <f aca="false">IF(LEN($A32 )&lt;2,"",VLOOKUP($A32,All_Data,U$112,0))</f>
        <v>41.5443229752265</v>
      </c>
      <c r="V32" s="15" t="n">
        <f aca="false">IF(LEN($A32 )&lt;2,"",VLOOKUP($A32,All_Data,V$112,0))</f>
        <v>8.96410833309754</v>
      </c>
      <c r="W32" s="15" t="n">
        <f aca="false">IF(LEN($A32 )&lt;2,"",VLOOKUP($A32,All_Data,W$112,0))</f>
        <v>16.7849446520609</v>
      </c>
      <c r="X32" s="15" t="n">
        <f aca="false">IF(LEN($A32 )&lt;2,"",VLOOKUP($A32,All_Data,X$112,0))</f>
        <v>5.34638497866252</v>
      </c>
      <c r="Y32" s="15" t="n">
        <f aca="false">IF(LEN($A32 )&lt;2,"",VLOOKUP($A32,All_Data,Y$112,0))</f>
        <v>5.59741743155013</v>
      </c>
      <c r="Z32" s="16" t="n">
        <f aca="false">IF(LEN($A32 )&lt;2,"",VLOOKUP($A32,All_Data,Z$112,0))</f>
        <v>8.47535475101337</v>
      </c>
      <c r="AA32" s="25" t="n">
        <f aca="false">IF(N32=0,,R32/N32*1000)</f>
        <v>1224.96590069603</v>
      </c>
      <c r="AB32" s="26" t="n">
        <f aca="false">IF(LEN($A32 )&lt;2,,VLOOKUP($A32,All_Data,AB$112,0))</f>
        <v>489.999998944759</v>
      </c>
      <c r="AC32" s="27" t="n">
        <f aca="false">IF(AB32=0,,R32/AB32)</f>
        <v>0.999972165986991</v>
      </c>
    </row>
    <row r="33" customFormat="false" ht="15" hidden="false" customHeight="false" outlineLevel="0" collapsed="false">
      <c r="A33" s="53" t="s">
        <v>113</v>
      </c>
      <c r="B33" s="54" t="str">
        <f aca="false">IF(LEN($A33 )&lt;2,"",VLOOKUP($A33,All_Data,B$112,0))</f>
        <v>Cypress Compressor</v>
      </c>
      <c r="C33" s="86" t="n">
        <f aca="false">IF(LEN($A33 )&lt;2,"",VLOOKUP($A33,All_Data,C$112,0))</f>
        <v>290.18</v>
      </c>
      <c r="D33" s="14" t="n">
        <f aca="false">IF(LEN($A33 )&lt;2,"",VLOOKUP($A33,All_Data,D$112,0))</f>
        <v>0.3511178</v>
      </c>
      <c r="E33" s="15" t="n">
        <f aca="false">IF(LEN($A33 )&lt;2,"",VLOOKUP($A33,All_Data,E$112,0))</f>
        <v>2.4346102</v>
      </c>
      <c r="F33" s="15" t="n">
        <f aca="false">IF(LEN($A33 )&lt;2,"",VLOOKUP($A33,All_Data,F$112,0))</f>
        <v>231.1777006</v>
      </c>
      <c r="G33" s="15" t="n">
        <f aca="false">IF(LEN($A33 )&lt;2,"",VLOOKUP($A33,All_Data,G$112,0))</f>
        <v>30.8142142</v>
      </c>
      <c r="H33" s="15" t="n">
        <f aca="false">IF(LEN($A33 )&lt;2,"",VLOOKUP($A33,All_Data,H$112,0))</f>
        <v>13.3076548</v>
      </c>
      <c r="I33" s="15" t="n">
        <f aca="false">IF(LEN($A33 )&lt;2,"",VLOOKUP($A33,All_Data,I$112,0))</f>
        <v>2.1589392</v>
      </c>
      <c r="J33" s="15" t="n">
        <f aca="false">IF(LEN($A33 )&lt;2,"",VLOOKUP($A33,All_Data,J$112,0))</f>
        <v>4.7560502</v>
      </c>
      <c r="K33" s="15" t="n">
        <f aca="false">IF(LEN($A33 )&lt;2,"",VLOOKUP($A33,All_Data,K$112,0))</f>
        <v>1.4538018</v>
      </c>
      <c r="L33" s="15" t="n">
        <f aca="false">IF(LEN($A33 )&lt;2,"",VLOOKUP($A33,All_Data,L$112,0))</f>
        <v>1.6598296</v>
      </c>
      <c r="M33" s="15" t="n">
        <f aca="false">IF(LEN($A33 )&lt;2,"",VLOOKUP($A33,All_Data,M$112,0))</f>
        <v>2.0660816</v>
      </c>
      <c r="N33" s="88" t="n">
        <f aca="false">SUM(D33:M33)</f>
        <v>290.18</v>
      </c>
      <c r="P33" s="53" t="str">
        <f aca="false">IF(LEN($A33)&lt;2,"",A33)</f>
        <v>BD12</v>
      </c>
      <c r="Q33" s="54" t="str">
        <f aca="false">IF(LEN($A33 )&lt;2,"",VLOOKUP($A33,All_Data,Q$112,0))</f>
        <v>Cypress Compressor</v>
      </c>
      <c r="R33" s="26" t="n">
        <f aca="false">SUM(S33:Z33)</f>
        <v>367.289881125156</v>
      </c>
      <c r="S33" s="14" t="n">
        <f aca="false">IF(LEN($A33 )&lt;2,"",VLOOKUP($A33,All_Data,S$112,0))</f>
        <v>233.600724046208</v>
      </c>
      <c r="T33" s="15" t="n">
        <f aca="false">IF(LEN($A33 )&lt;2,"",VLOOKUP($A33,All_Data,T$112,0))</f>
        <v>54.5612049467401</v>
      </c>
      <c r="U33" s="15" t="n">
        <f aca="false">IF(LEN($A33 )&lt;2,"",VLOOKUP($A33,All_Data,U$112,0))</f>
        <v>33.5003024675243</v>
      </c>
      <c r="V33" s="15" t="n">
        <f aca="false">IF(LEN($A33 )&lt;2,"",VLOOKUP($A33,All_Data,V$112,0))</f>
        <v>7.02422267771794</v>
      </c>
      <c r="W33" s="15" t="n">
        <f aca="false">IF(LEN($A33 )&lt;2,"",VLOOKUP($A33,All_Data,W$112,0))</f>
        <v>15.5237042178887</v>
      </c>
      <c r="X33" s="15" t="n">
        <f aca="false">IF(LEN($A33 )&lt;2,"",VLOOKUP($A33,All_Data,X$112,0))</f>
        <v>5.81954388794448</v>
      </c>
      <c r="Y33" s="15" t="n">
        <f aca="false">IF(LEN($A33 )&lt;2,"",VLOOKUP($A33,All_Data,Y$112,0))</f>
        <v>6.65726367694965</v>
      </c>
      <c r="Z33" s="16" t="n">
        <f aca="false">IF(LEN($A33 )&lt;2,"",VLOOKUP($A33,All_Data,Z$112,0))</f>
        <v>10.6029152041822</v>
      </c>
      <c r="AA33" s="25" t="n">
        <f aca="false">IF(N33=0,,R33/N33*1000)</f>
        <v>1265.73120520076</v>
      </c>
      <c r="AB33" s="26" t="n">
        <f aca="false">IF(LEN($A33 )&lt;2,,VLOOKUP($A33,All_Data,AB$112,0))</f>
        <v>367.367878951887</v>
      </c>
      <c r="AC33" s="27" t="n">
        <f aca="false">IF(AB33=0,,R33/AB33)</f>
        <v>0.999787684685571</v>
      </c>
    </row>
    <row r="34" customFormat="false" ht="15" hidden="false" customHeight="false" outlineLevel="0" collapsed="false">
      <c r="A34" s="53" t="s">
        <v>114</v>
      </c>
      <c r="B34" s="54" t="str">
        <f aca="false">IF(LEN($A34 )&lt;2,"",VLOOKUP($A34,All_Data,B$112,0))</f>
        <v>Welcome to Golden Compressor</v>
      </c>
      <c r="C34" s="86" t="n">
        <f aca="false">IF(LEN($A34 )&lt;2,"",VLOOKUP($A34,All_Data,C$112,0))</f>
        <v>242.68</v>
      </c>
      <c r="D34" s="14" t="n">
        <f aca="false">IF(LEN($A34 )&lt;2,"",VLOOKUP($A34,All_Data,D$112,0))</f>
        <v>0.327618</v>
      </c>
      <c r="E34" s="15" t="n">
        <f aca="false">IF(LEN($A34 )&lt;2,"",VLOOKUP($A34,All_Data,E$112,0))</f>
        <v>2.1016088</v>
      </c>
      <c r="F34" s="15" t="n">
        <f aca="false">IF(LEN($A34 )&lt;2,"",VLOOKUP($A34,All_Data,F$112,0))</f>
        <v>189.71509</v>
      </c>
      <c r="G34" s="15" t="n">
        <f aca="false">IF(LEN($A34 )&lt;2,"",VLOOKUP($A34,All_Data,G$112,0))</f>
        <v>27.5296192</v>
      </c>
      <c r="H34" s="15" t="n">
        <f aca="false">IF(LEN($A34 )&lt;2,"",VLOOKUP($A34,All_Data,H$112,0))</f>
        <v>12.3087296</v>
      </c>
      <c r="I34" s="15" t="n">
        <f aca="false">IF(LEN($A34 )&lt;2,"",VLOOKUP($A34,All_Data,I$112,0))</f>
        <v>1.8710628</v>
      </c>
      <c r="J34" s="15" t="n">
        <f aca="false">IF(LEN($A34 )&lt;2,"",VLOOKUP($A34,All_Data,J$112,0))</f>
        <v>4.2881556</v>
      </c>
      <c r="K34" s="15" t="n">
        <f aca="false">IF(LEN($A34 )&lt;2,"",VLOOKUP($A34,All_Data,K$112,0))</f>
        <v>1.2279608</v>
      </c>
      <c r="L34" s="15" t="n">
        <f aca="false">IF(LEN($A34 )&lt;2,"",VLOOKUP($A34,All_Data,L$112,0))</f>
        <v>1.3007648</v>
      </c>
      <c r="M34" s="15" t="n">
        <f aca="false">IF(LEN($A34 )&lt;2,"",VLOOKUP($A34,All_Data,M$112,0))</f>
        <v>2.0093904</v>
      </c>
      <c r="N34" s="88" t="n">
        <f aca="false">SUM(D34:M34)</f>
        <v>242.68</v>
      </c>
      <c r="P34" s="53" t="str">
        <f aca="false">IF(LEN($A34)&lt;2,"",A34)</f>
        <v>BD17</v>
      </c>
      <c r="Q34" s="54" t="str">
        <f aca="false">IF(LEN($A34 )&lt;2,"",VLOOKUP($A34,All_Data,Q$112,0))</f>
        <v>Welcome to Golden Compressor</v>
      </c>
      <c r="R34" s="26" t="n">
        <f aca="false">SUM(S34:Z34)</f>
        <v>312.010781987324</v>
      </c>
      <c r="S34" s="14" t="n">
        <f aca="false">IF(LEN($A34 )&lt;2,"",VLOOKUP($A34,All_Data,S$112,0))</f>
        <v>191.732762119896</v>
      </c>
      <c r="T34" s="15" t="n">
        <f aca="false">IF(LEN($A34 )&lt;2,"",VLOOKUP($A34,All_Data,T$112,0))</f>
        <v>48.7527667917478</v>
      </c>
      <c r="U34" s="15" t="n">
        <f aca="false">IF(LEN($A34 )&lt;2,"",VLOOKUP($A34,All_Data,U$112,0))</f>
        <v>30.9903613655471</v>
      </c>
      <c r="V34" s="15" t="n">
        <f aca="false">IF(LEN($A34 )&lt;2,"",VLOOKUP($A34,All_Data,V$112,0))</f>
        <v>6.08852973070357</v>
      </c>
      <c r="W34" s="15" t="n">
        <f aca="false">IF(LEN($A34 )&lt;2,"",VLOOKUP($A34,All_Data,W$112,0))</f>
        <v>13.9986344526479</v>
      </c>
      <c r="X34" s="15" t="n">
        <f aca="false">IF(LEN($A34 )&lt;2,"",VLOOKUP($A34,All_Data,X$112,0))</f>
        <v>4.91625562624592</v>
      </c>
      <c r="Y34" s="15" t="n">
        <f aca="false">IF(LEN($A34 )&lt;2,"",VLOOKUP($A34,All_Data,Y$112,0))</f>
        <v>5.21791784773259</v>
      </c>
      <c r="Z34" s="16" t="n">
        <f aca="false">IF(LEN($A34 )&lt;2,"",VLOOKUP($A34,All_Data,Z$112,0))</f>
        <v>10.3135540528025</v>
      </c>
      <c r="AA34" s="25" t="n">
        <f aca="false">IF(N34=0,,R34/N34*1000)</f>
        <v>1285.68807477882</v>
      </c>
      <c r="AB34" s="26" t="n">
        <f aca="false">IF(LEN($A34 )&lt;2,,VLOOKUP($A34,All_Data,AB$112,0))</f>
        <v>312.086479579199</v>
      </c>
      <c r="AC34" s="27" t="n">
        <f aca="false">IF(AB34=0,,R34/AB34)</f>
        <v>0.999757446743682</v>
      </c>
    </row>
    <row r="35" customFormat="false" ht="15" hidden="false" customHeight="false" outlineLevel="0" collapsed="false">
      <c r="A35" s="53" t="s">
        <v>115</v>
      </c>
      <c r="B35" s="54" t="str">
        <f aca="false">IF(LEN($A35 )&lt;2,"",VLOOKUP($A35,All_Data,B$112,0))</f>
        <v>Nailed It Compressor station A&amp;B</v>
      </c>
      <c r="C35" s="86" t="n">
        <f aca="false">IF(LEN($A35 )&lt;2,"",VLOOKUP($A35,All_Data,C$112,0))</f>
        <v>560</v>
      </c>
      <c r="D35" s="14" t="n">
        <f aca="false">IF(LEN($A35 )&lt;2,"",VLOOKUP($A35,All_Data,D$112,0))</f>
        <v>0.9464</v>
      </c>
      <c r="E35" s="15" t="n">
        <f aca="false">IF(LEN($A35 )&lt;2,"",VLOOKUP($A35,All_Data,E$112,0))</f>
        <v>7.6664</v>
      </c>
      <c r="F35" s="15" t="n">
        <f aca="false">IF(LEN($A35 )&lt;2,"",VLOOKUP($A35,All_Data,F$112,0))</f>
        <v>443.6544</v>
      </c>
      <c r="G35" s="15" t="n">
        <f aca="false">IF(LEN($A35 )&lt;2,"",VLOOKUP($A35,All_Data,G$112,0))</f>
        <v>61.0624</v>
      </c>
      <c r="H35" s="15" t="n">
        <f aca="false">IF(LEN($A35 )&lt;2,"",VLOOKUP($A35,All_Data,H$112,0))</f>
        <v>26.3984</v>
      </c>
      <c r="I35" s="15" t="n">
        <f aca="false">IF(LEN($A35 )&lt;2,"",VLOOKUP($A35,All_Data,I$112,0))</f>
        <v>4.1832</v>
      </c>
      <c r="J35" s="15" t="n">
        <f aca="false">IF(LEN($A35 )&lt;2,"",VLOOKUP($A35,All_Data,J$112,0))</f>
        <v>8.904</v>
      </c>
      <c r="K35" s="15" t="n">
        <f aca="false">IF(LEN($A35 )&lt;2,"",VLOOKUP($A35,All_Data,K$112,0))</f>
        <v>2.212</v>
      </c>
      <c r="L35" s="15" t="n">
        <f aca="false">IF(LEN($A35 )&lt;2,"",VLOOKUP($A35,All_Data,L$112,0))</f>
        <v>2.3856</v>
      </c>
      <c r="M35" s="15" t="n">
        <f aca="false">IF(LEN($A35 )&lt;2,"",VLOOKUP($A35,All_Data,M$112,0))</f>
        <v>2.5872</v>
      </c>
      <c r="N35" s="88" t="n">
        <f aca="false">SUM(D35:M35)</f>
        <v>560</v>
      </c>
      <c r="P35" s="53" t="str">
        <f aca="false">IF(LEN($A35)&lt;2,"",A35)</f>
        <v>BD18</v>
      </c>
      <c r="Q35" s="54" t="str">
        <f aca="false">IF(LEN($A35 )&lt;2,"",VLOOKUP($A35,All_Data,Q$112,0))</f>
        <v>Nailed It Compressor station A&amp;B</v>
      </c>
      <c r="R35" s="26" t="n">
        <f aca="false">SUM(S35:Z35)</f>
        <v>697.158029385581</v>
      </c>
      <c r="S35" s="14" t="n">
        <f aca="false">IF(LEN($A35 )&lt;2,"",VLOOKUP($A35,All_Data,S$112,0))</f>
        <v>448.243993156481</v>
      </c>
      <c r="T35" s="15" t="n">
        <f aca="false">IF(LEN($A35 )&lt;2,"",VLOOKUP($A35,All_Data,T$112,0))</f>
        <v>108.105593653196</v>
      </c>
      <c r="U35" s="15" t="n">
        <f aca="false">IF(LEN($A35 )&lt;2,"",VLOOKUP($A35,All_Data,U$112,0))</f>
        <v>66.44560301642</v>
      </c>
      <c r="V35" s="15" t="n">
        <f aca="false">IF(LEN($A35 )&lt;2,"",VLOOKUP($A35,All_Data,V$112,0))</f>
        <v>13.6084270102212</v>
      </c>
      <c r="W35" s="15" t="n">
        <f aca="false">IF(LEN($A35 )&lt;2,"",VLOOKUP($A35,All_Data,W$112,0))</f>
        <v>29.0586558274538</v>
      </c>
      <c r="X35" s="15" t="n">
        <f aca="false">IF(LEN($A35 )&lt;2,"",VLOOKUP($A35,All_Data,X$112,0))</f>
        <v>8.85340453384366</v>
      </c>
      <c r="Y35" s="15" t="n">
        <f aca="false">IF(LEN($A35 )&lt;2,"",VLOOKUP($A35,All_Data,Y$112,0))</f>
        <v>9.56690188534738</v>
      </c>
      <c r="Z35" s="16" t="n">
        <f aca="false">IF(LEN($A35 )&lt;2,"",VLOOKUP($A35,All_Data,Z$112,0))</f>
        <v>13.2754503026191</v>
      </c>
      <c r="AA35" s="25" t="n">
        <f aca="false">IF(N35=0,,R35/N35*1000)</f>
        <v>1244.92505247425</v>
      </c>
      <c r="AB35" s="26" t="n">
        <f aca="false">IF(LEN($A35 )&lt;2,,VLOOKUP($A35,All_Data,AB$112,0))</f>
        <v>697.199998144619</v>
      </c>
      <c r="AC35" s="27" t="n">
        <f aca="false">IF(AB35=0,,R35/AB35)</f>
        <v>0.999939803845167</v>
      </c>
    </row>
    <row r="36" customFormat="false" ht="15" hidden="false" customHeight="false" outlineLevel="0" collapsed="false">
      <c r="A36" s="53" t="s">
        <v>116</v>
      </c>
      <c r="B36" s="54" t="str">
        <f aca="false">IF(LEN($A36 )&lt;2,"",VLOOKUP($A36,All_Data,B$112,0))</f>
        <v>Pinion launcher receiver</v>
      </c>
      <c r="C36" s="86" t="n">
        <f aca="false">IF(LEN($A36 )&lt;2,"",VLOOKUP($A36,All_Data,C$112,0))</f>
        <v>119.64</v>
      </c>
      <c r="D36" s="14" t="n">
        <f aca="false">IF(LEN($A36 )&lt;2,"",VLOOKUP($A36,All_Data,D$112,0))</f>
        <v>0.137586</v>
      </c>
      <c r="E36" s="15" t="n">
        <f aca="false">IF(LEN($A36 )&lt;2,"",VLOOKUP($A36,All_Data,E$112,0))</f>
        <v>1.0731708</v>
      </c>
      <c r="F36" s="15" t="n">
        <f aca="false">IF(LEN($A36 )&lt;2,"",VLOOKUP($A36,All_Data,F$112,0))</f>
        <v>97.0746996</v>
      </c>
      <c r="G36" s="15" t="n">
        <f aca="false">IF(LEN($A36 )&lt;2,"",VLOOKUP($A36,All_Data,G$112,0))</f>
        <v>12.7428564</v>
      </c>
      <c r="H36" s="15" t="n">
        <f aca="false">IF(LEN($A36 )&lt;2,"",VLOOKUP($A36,All_Data,H$112,0))</f>
        <v>4.9375428</v>
      </c>
      <c r="I36" s="15" t="n">
        <f aca="false">IF(LEN($A36 )&lt;2,"",VLOOKUP($A36,All_Data,I$112,0))</f>
        <v>0.8243196</v>
      </c>
      <c r="J36" s="15" t="n">
        <f aca="false">IF(LEN($A36 )&lt;2,"",VLOOKUP($A36,All_Data,J$112,0))</f>
        <v>1.5385704</v>
      </c>
      <c r="K36" s="15" t="n">
        <f aca="false">IF(LEN($A36 )&lt;2,"",VLOOKUP($A36,All_Data,K$112,0))</f>
        <v>0.3995976</v>
      </c>
      <c r="L36" s="15" t="n">
        <f aca="false">IF(LEN($A36 )&lt;2,"",VLOOKUP($A36,All_Data,L$112,0))</f>
        <v>0.4175436</v>
      </c>
      <c r="M36" s="15" t="n">
        <f aca="false">IF(LEN($A36 )&lt;2,"",VLOOKUP($A36,All_Data,M$112,0))</f>
        <v>0.4941132</v>
      </c>
      <c r="N36" s="87" t="n">
        <f aca="false">SUM(D36:M36)</f>
        <v>119.64</v>
      </c>
      <c r="P36" s="53" t="str">
        <f aca="false">IF(LEN($A36)&lt;2,"",A36)</f>
        <v>BD30</v>
      </c>
      <c r="Q36" s="54" t="str">
        <f aca="false">IF(LEN($A36 )&lt;2,"",VLOOKUP($A36,All_Data,Q$112,0))</f>
        <v>Pinion launcher receiver</v>
      </c>
      <c r="R36" s="26" t="n">
        <f aca="false">SUM(S36:Z36)</f>
        <v>146.554920359274</v>
      </c>
      <c r="S36" s="14" t="n">
        <f aca="false">IF(LEN($A36 )&lt;2,"",VLOOKUP($A36,All_Data,S$112,0))</f>
        <v>98.0628078569906</v>
      </c>
      <c r="T36" s="15" t="n">
        <f aca="false">IF(LEN($A36 )&lt;2,"",VLOOKUP($A36,All_Data,T$112,0))</f>
        <v>22.5563938456091</v>
      </c>
      <c r="U36" s="15" t="n">
        <f aca="false">IF(LEN($A36 )&lt;2,"",VLOOKUP($A36,All_Data,U$112,0))</f>
        <v>12.4259070018903</v>
      </c>
      <c r="V36" s="15" t="n">
        <f aca="false">IF(LEN($A36 )&lt;2,"",VLOOKUP($A36,All_Data,V$112,0))</f>
        <v>2.68116480242947</v>
      </c>
      <c r="W36" s="15" t="n">
        <f aca="false">IF(LEN($A36 )&lt;2,"",VLOOKUP($A36,All_Data,W$112,0))</f>
        <v>5.0203769454314</v>
      </c>
      <c r="X36" s="15" t="n">
        <f aca="false">IF(LEN($A36 )&lt;2,"",VLOOKUP($A36,All_Data,X$112,0))</f>
        <v>1.59910374711796</v>
      </c>
      <c r="Y36" s="15" t="n">
        <f aca="false">IF(LEN($A36 )&lt;2,"",VLOOKUP($A36,All_Data,Y$112,0))</f>
        <v>1.67418755377664</v>
      </c>
      <c r="Z36" s="16" t="n">
        <f aca="false">IF(LEN($A36 )&lt;2,"",VLOOKUP($A36,All_Data,Z$112,0))</f>
        <v>2.5349786060281</v>
      </c>
      <c r="AA36" s="25" t="n">
        <f aca="false">IF(N36=0,,R36/N36*1000)</f>
        <v>1224.96590069603</v>
      </c>
      <c r="AB36" s="26" t="n">
        <f aca="false">IF(LEN($A36 )&lt;2,,VLOOKUP($A36,All_Data,AB$112,0))</f>
        <v>146.558999684377</v>
      </c>
      <c r="AC36" s="27" t="n">
        <f aca="false">IF(AB36=0,,R36/AB36)</f>
        <v>0.999972165986991</v>
      </c>
    </row>
    <row r="37" customFormat="false" ht="15" hidden="false" customHeight="false" outlineLevel="0" collapsed="false">
      <c r="A37" s="53"/>
      <c r="B37" s="54" t="str">
        <f aca="false">IF(LEN($A37 )&lt;2,"",VLOOKUP($A37,All_Data,B$112,0))</f>
        <v/>
      </c>
      <c r="C37" s="86" t="str">
        <f aca="false">IF(LEN($A37 )&lt;2,"",VLOOKUP($A37,All_Data,C$112,0))</f>
        <v/>
      </c>
      <c r="D37" s="14" t="str">
        <f aca="false">IF(LEN($A37 )&lt;2,"",VLOOKUP($A37,All_Data,D$112,0))</f>
        <v/>
      </c>
      <c r="E37" s="15" t="str">
        <f aca="false">IF(LEN($A37 )&lt;2,"",VLOOKUP($A37,All_Data,E$112,0))</f>
        <v/>
      </c>
      <c r="F37" s="15" t="str">
        <f aca="false">IF(LEN($A37 )&lt;2,"",VLOOKUP($A37,All_Data,F$112,0))</f>
        <v/>
      </c>
      <c r="G37" s="15" t="str">
        <f aca="false">IF(LEN($A37 )&lt;2,"",VLOOKUP($A37,All_Data,G$112,0))</f>
        <v/>
      </c>
      <c r="H37" s="15" t="str">
        <f aca="false">IF(LEN($A37 )&lt;2,"",VLOOKUP($A37,All_Data,H$112,0))</f>
        <v/>
      </c>
      <c r="I37" s="15" t="str">
        <f aca="false">IF(LEN($A37 )&lt;2,"",VLOOKUP($A37,All_Data,I$112,0))</f>
        <v/>
      </c>
      <c r="J37" s="15" t="str">
        <f aca="false">IF(LEN($A37 )&lt;2,"",VLOOKUP($A37,All_Data,J$112,0))</f>
        <v/>
      </c>
      <c r="K37" s="15" t="str">
        <f aca="false">IF(LEN($A37 )&lt;2,"",VLOOKUP($A37,All_Data,K$112,0))</f>
        <v/>
      </c>
      <c r="L37" s="15" t="str">
        <f aca="false">IF(LEN($A37 )&lt;2,"",VLOOKUP($A37,All_Data,L$112,0))</f>
        <v/>
      </c>
      <c r="M37" s="15" t="str">
        <f aca="false">IF(LEN($A37 )&lt;2,"",VLOOKUP($A37,All_Data,M$112,0))</f>
        <v/>
      </c>
      <c r="N37" s="87" t="n">
        <f aca="false">SUM(D37:M37)</f>
        <v>0</v>
      </c>
      <c r="P37" s="53" t="str">
        <f aca="false">IF(LEN($A37)&lt;2,"",A37)</f>
        <v/>
      </c>
      <c r="Q37" s="54" t="str">
        <f aca="false">IF(LEN($A37 )&lt;2,"",VLOOKUP($A37,All_Data,Q$112,0))</f>
        <v/>
      </c>
      <c r="R37" s="26" t="n">
        <f aca="false">SUM(S37:Z37)</f>
        <v>0</v>
      </c>
      <c r="S37" s="14" t="str">
        <f aca="false">IF(LEN($A37 )&lt;2,"",VLOOKUP($A37,All_Data,S$112,0))</f>
        <v/>
      </c>
      <c r="T37" s="15" t="str">
        <f aca="false">IF(LEN($A37 )&lt;2,"",VLOOKUP($A37,All_Data,T$112,0))</f>
        <v/>
      </c>
      <c r="U37" s="15" t="str">
        <f aca="false">IF(LEN($A37 )&lt;2,"",VLOOKUP($A37,All_Data,U$112,0))</f>
        <v/>
      </c>
      <c r="V37" s="15" t="str">
        <f aca="false">IF(LEN($A37 )&lt;2,"",VLOOKUP($A37,All_Data,V$112,0))</f>
        <v/>
      </c>
      <c r="W37" s="15" t="str">
        <f aca="false">IF(LEN($A37 )&lt;2,"",VLOOKUP($A37,All_Data,W$112,0))</f>
        <v/>
      </c>
      <c r="X37" s="15" t="str">
        <f aca="false">IF(LEN($A37 )&lt;2,"",VLOOKUP($A37,All_Data,X$112,0))</f>
        <v/>
      </c>
      <c r="Y37" s="15" t="str">
        <f aca="false">IF(LEN($A37 )&lt;2,"",VLOOKUP($A37,All_Data,Y$112,0))</f>
        <v/>
      </c>
      <c r="Z37" s="16" t="str">
        <f aca="false">IF(LEN($A37 )&lt;2,"",VLOOKUP($A37,All_Data,Z$112,0))</f>
        <v/>
      </c>
      <c r="AA37" s="25" t="n">
        <f aca="false">IF(N37=0,,R37/N37*1000)</f>
        <v>0</v>
      </c>
      <c r="AB37" s="26" t="n">
        <f aca="false">IF(LEN($A37 )&lt;2,,VLOOKUP($A37,All_Data,AB$112,0))</f>
        <v>0</v>
      </c>
      <c r="AC37" s="27" t="n">
        <f aca="false">IF(AB37=0,,R37/AB37)</f>
        <v>0</v>
      </c>
    </row>
    <row r="38" customFormat="false" ht="15" hidden="false" customHeight="false" outlineLevel="0" collapsed="false">
      <c r="A38" s="53"/>
      <c r="B38" s="54" t="str">
        <f aca="false">IF(LEN($A38 )&lt;2,"",VLOOKUP($A38,All_Data,B$112,0))</f>
        <v/>
      </c>
      <c r="C38" s="86" t="str">
        <f aca="false">IF(LEN($A38 )&lt;2,"",VLOOKUP($A38,All_Data,C$112,0))</f>
        <v/>
      </c>
      <c r="D38" s="14" t="str">
        <f aca="false">IF(LEN($A38 )&lt;2,"",VLOOKUP($A38,All_Data,D$112,0))</f>
        <v/>
      </c>
      <c r="E38" s="14" t="str">
        <f aca="false">IF(LEN($A38 )&lt;2,"",VLOOKUP($A38,All_Data,E$112,0))</f>
        <v/>
      </c>
      <c r="F38" s="14" t="str">
        <f aca="false">IF(LEN($A38 )&lt;2,"",VLOOKUP($A38,All_Data,F$112,0))</f>
        <v/>
      </c>
      <c r="G38" s="14" t="str">
        <f aca="false">IF(LEN($A38 )&lt;2,"",VLOOKUP($A38,All_Data,G$112,0))</f>
        <v/>
      </c>
      <c r="H38" s="14" t="str">
        <f aca="false">IF(LEN($A38 )&lt;2,"",VLOOKUP($A38,All_Data,H$112,0))</f>
        <v/>
      </c>
      <c r="I38" s="14" t="str">
        <f aca="false">IF(LEN($A38 )&lt;2,"",VLOOKUP($A38,All_Data,I$112,0))</f>
        <v/>
      </c>
      <c r="J38" s="14" t="str">
        <f aca="false">IF(LEN($A38 )&lt;2,"",VLOOKUP($A38,All_Data,J$112,0))</f>
        <v/>
      </c>
      <c r="K38" s="14" t="str">
        <f aca="false">IF(LEN($A38 )&lt;2,"",VLOOKUP($A38,All_Data,K$112,0))</f>
        <v/>
      </c>
      <c r="L38" s="14" t="str">
        <f aca="false">IF(LEN($A38 )&lt;2,"",VLOOKUP($A38,All_Data,L$112,0))</f>
        <v/>
      </c>
      <c r="M38" s="14" t="str">
        <f aca="false">IF(LEN($A38 )&lt;2,"",VLOOKUP($A38,All_Data,M$112,0))</f>
        <v/>
      </c>
      <c r="N38" s="87" t="n">
        <f aca="false">SUM(D38:M38)</f>
        <v>0</v>
      </c>
      <c r="P38" s="53" t="str">
        <f aca="false">IF(LEN($A38)&lt;2,"",A38)</f>
        <v/>
      </c>
      <c r="Q38" s="54" t="str">
        <f aca="false">IF(LEN($A38 )&lt;2,"",VLOOKUP($A38,All_Data,Q$112,0))</f>
        <v/>
      </c>
      <c r="R38" s="26" t="n">
        <f aca="false">SUM(S38:Z38)</f>
        <v>0</v>
      </c>
      <c r="S38" s="14" t="str">
        <f aca="false">IF(LEN($A38 )&lt;2,"",VLOOKUP($A38,All_Data,S$112,0))</f>
        <v/>
      </c>
      <c r="T38" s="14" t="str">
        <f aca="false">IF(LEN($A38 )&lt;2,"",VLOOKUP($A38,All_Data,T$112,0))</f>
        <v/>
      </c>
      <c r="U38" s="14" t="str">
        <f aca="false">IF(LEN($A38 )&lt;2,"",VLOOKUP($A38,All_Data,U$112,0))</f>
        <v/>
      </c>
      <c r="V38" s="14" t="str">
        <f aca="false">IF(LEN($A38 )&lt;2,"",VLOOKUP($A38,All_Data,V$112,0))</f>
        <v/>
      </c>
      <c r="W38" s="14" t="str">
        <f aca="false">IF(LEN($A38 )&lt;2,"",VLOOKUP($A38,All_Data,W$112,0))</f>
        <v/>
      </c>
      <c r="X38" s="14" t="str">
        <f aca="false">IF(LEN($A38 )&lt;2,"",VLOOKUP($A38,All_Data,X$112,0))</f>
        <v/>
      </c>
      <c r="Y38" s="14" t="str">
        <f aca="false">IF(LEN($A38 )&lt;2,"",VLOOKUP($A38,All_Data,Y$112,0))</f>
        <v/>
      </c>
      <c r="Z38" s="14" t="str">
        <f aca="false">IF(LEN($A38 )&lt;2,"",VLOOKUP($A38,All_Data,Z$112,0))</f>
        <v/>
      </c>
      <c r="AA38" s="25" t="n">
        <f aca="false">IF(N38=0,,R38/N38*1000)</f>
        <v>0</v>
      </c>
      <c r="AB38" s="26" t="n">
        <f aca="false">IF(LEN($A38 )&lt;2,,VLOOKUP($A38,All_Data,AB$112,0))</f>
        <v>0</v>
      </c>
      <c r="AC38" s="27" t="n">
        <f aca="false">IF(AB38=0,,R38/AB38)</f>
        <v>0</v>
      </c>
    </row>
    <row r="39" customFormat="false" ht="15" hidden="false" customHeight="false" outlineLevel="0" collapsed="false">
      <c r="A39" s="53" t="s">
        <v>117</v>
      </c>
      <c r="B39" s="54" t="str">
        <f aca="false">IF(LEN($A39 )&lt;2,"",VLOOKUP($A39,All_Data,B$112,0))</f>
        <v>Cypress 33 Fuel</v>
      </c>
      <c r="C39" s="86" t="n">
        <f aca="false">IF(LEN($A39 )&lt;2,"",VLOOKUP($A39,All_Data,C$112,0))</f>
        <v>15274.83</v>
      </c>
      <c r="D39" s="14" t="n">
        <f aca="false">IF(LEN($A39 )&lt;2,"",VLOOKUP($A39,All_Data,D$112,0))</f>
        <v>18.4825443</v>
      </c>
      <c r="E39" s="15" t="n">
        <f aca="false">IF(LEN($A39 )&lt;2,"",VLOOKUP($A39,All_Data,E$112,0))</f>
        <v>128.1558237</v>
      </c>
      <c r="F39" s="15" t="n">
        <f aca="false">IF(LEN($A39 )&lt;2,"",VLOOKUP($A39,All_Data,F$112,0))</f>
        <v>12168.9988161</v>
      </c>
      <c r="G39" s="15" t="n">
        <f aca="false">IF(LEN($A39 )&lt;2,"",VLOOKUP($A39,All_Data,G$112,0))</f>
        <v>1622.0341977</v>
      </c>
      <c r="H39" s="15" t="n">
        <f aca="false">IF(LEN($A39 )&lt;2,"",VLOOKUP($A39,All_Data,H$112,0))</f>
        <v>700.5037038</v>
      </c>
      <c r="I39" s="15" t="n">
        <f aca="false">IF(LEN($A39 )&lt;2,"",VLOOKUP($A39,All_Data,I$112,0))</f>
        <v>113.6447352</v>
      </c>
      <c r="J39" s="15" t="n">
        <f aca="false">IF(LEN($A39 )&lt;2,"",VLOOKUP($A39,All_Data,J$112,0))</f>
        <v>250.3544637</v>
      </c>
      <c r="K39" s="15" t="n">
        <f aca="false">IF(LEN($A39 )&lt;2,"",VLOOKUP($A39,All_Data,K$112,0))</f>
        <v>76.5268983</v>
      </c>
      <c r="L39" s="15" t="n">
        <f aca="false">IF(LEN($A39 )&lt;2,"",VLOOKUP($A39,All_Data,L$112,0))</f>
        <v>87.3720276</v>
      </c>
      <c r="M39" s="15" t="n">
        <f aca="false">IF(LEN($A39 )&lt;2,"",VLOOKUP($A39,All_Data,M$112,0))</f>
        <v>108.7567896</v>
      </c>
      <c r="N39" s="87" t="n">
        <f aca="false">SUM(D39:M39)</f>
        <v>15274.83</v>
      </c>
      <c r="P39" s="53" t="str">
        <f aca="false">IF(LEN($A39)&lt;2,"",A39)</f>
        <v>5.00.35</v>
      </c>
      <c r="Q39" s="54" t="str">
        <f aca="false">IF(LEN($A39 )&lt;2,"",VLOOKUP($A39,All_Data,Q$112,0))</f>
        <v>Cypress 33 Fuel</v>
      </c>
      <c r="R39" s="26" t="n">
        <f aca="false">SUM(S39:Z39)</f>
        <v>19333.8289851367</v>
      </c>
      <c r="S39" s="14" t="n">
        <f aca="false">IF(LEN($A39 )&lt;2,"",VLOOKUP($A39,All_Data,S$112,0))</f>
        <v>12296.5447228711</v>
      </c>
      <c r="T39" s="15" t="n">
        <f aca="false">IF(LEN($A39 )&lt;2,"",VLOOKUP($A39,All_Data,T$112,0))</f>
        <v>2872.05572457307</v>
      </c>
      <c r="U39" s="15" t="n">
        <f aca="false">IF(LEN($A39 )&lt;2,"",VLOOKUP($A39,All_Data,U$112,0))</f>
        <v>1763.42761437733</v>
      </c>
      <c r="V39" s="15" t="n">
        <f aca="false">IF(LEN($A39 )&lt;2,"",VLOOKUP($A39,All_Data,V$112,0))</f>
        <v>369.749146337743</v>
      </c>
      <c r="W39" s="15" t="n">
        <f aca="false">IF(LEN($A39 )&lt;2,"",VLOOKUP($A39,All_Data,W$112,0))</f>
        <v>817.154672611938</v>
      </c>
      <c r="X39" s="15" t="n">
        <f aca="false">IF(LEN($A39 )&lt;2,"",VLOOKUP($A39,All_Data,X$112,0))</f>
        <v>306.335872788927</v>
      </c>
      <c r="Y39" s="15" t="n">
        <f aca="false">IF(LEN($A39 )&lt;2,"",VLOOKUP($A39,All_Data,Y$112,0))</f>
        <v>350.432734615</v>
      </c>
      <c r="Z39" s="16" t="n">
        <f aca="false">IF(LEN($A39 )&lt;2,"",VLOOKUP($A39,All_Data,Z$112,0))</f>
        <v>558.128496961534</v>
      </c>
      <c r="AA39" s="25" t="n">
        <f aca="false">IF(N39=0,,R39/N39*1000)</f>
        <v>1265.73120520076</v>
      </c>
      <c r="AB39" s="26" t="n">
        <f aca="false">IF(LEN($A39 )&lt;2,,VLOOKUP($A39,All_Data,AB$112,0))</f>
        <v>19337.93</v>
      </c>
      <c r="AC39" s="27" t="n">
        <f aca="false">IF(AB39=0,,R39/AB39)</f>
        <v>0.999787928963269</v>
      </c>
    </row>
    <row r="40" customFormat="false" ht="15" hidden="false" customHeight="false" outlineLevel="0" collapsed="false">
      <c r="A40" s="53" t="s">
        <v>118</v>
      </c>
      <c r="B40" s="54" t="str">
        <f aca="false">IF(LEN($A40 )&lt;2,"",VLOOKUP($A40,All_Data,B$112,0))</f>
        <v>Pliny The Elder Compressor Fuel</v>
      </c>
      <c r="C40" s="86" t="n">
        <f aca="false">IF(LEN($A40 )&lt;2,"",VLOOKUP($A40,All_Data,C$112,0))</f>
        <v>8457.51</v>
      </c>
      <c r="D40" s="14" t="n">
        <f aca="false">IF(LEN($A40 )&lt;2,"",VLOOKUP($A40,All_Data,D$112,0))</f>
        <v>8.2883598</v>
      </c>
      <c r="E40" s="15" t="n">
        <f aca="false">IF(LEN($A40 )&lt;2,"",VLOOKUP($A40,All_Data,E$112,0))</f>
        <v>100.4752188</v>
      </c>
      <c r="F40" s="15" t="n">
        <f aca="false">IF(LEN($A40 )&lt;2,"",VLOOKUP($A40,All_Data,F$112,0))</f>
        <v>6623.6681067</v>
      </c>
      <c r="G40" s="15" t="n">
        <f aca="false">IF(LEN($A40 )&lt;2,"",VLOOKUP($A40,All_Data,G$112,0))</f>
        <v>927.4505466</v>
      </c>
      <c r="H40" s="15" t="n">
        <f aca="false">IF(LEN($A40 )&lt;2,"",VLOOKUP($A40,All_Data,H$112,0))</f>
        <v>425.5819032</v>
      </c>
      <c r="I40" s="15" t="n">
        <f aca="false">IF(LEN($A40 )&lt;2,"",VLOOKUP($A40,All_Data,I$112,0))</f>
        <v>75.1026888</v>
      </c>
      <c r="J40" s="15" t="n">
        <f aca="false">IF(LEN($A40 )&lt;2,"",VLOOKUP($A40,All_Data,J$112,0))</f>
        <v>163.7373936</v>
      </c>
      <c r="K40" s="15" t="n">
        <f aca="false">IF(LEN($A40 )&lt;2,"",VLOOKUP($A40,All_Data,K$112,0))</f>
        <v>47.4466311</v>
      </c>
      <c r="L40" s="15" t="n">
        <f aca="false">IF(LEN($A40 )&lt;2,"",VLOOKUP($A40,All_Data,L$112,0))</f>
        <v>49.053558</v>
      </c>
      <c r="M40" s="15" t="n">
        <f aca="false">IF(LEN($A40 )&lt;2,"",VLOOKUP($A40,All_Data,M$112,0))</f>
        <v>36.7055934</v>
      </c>
      <c r="N40" s="87" t="n">
        <f aca="false">SUM(D40:M40)</f>
        <v>8457.51</v>
      </c>
      <c r="P40" s="53" t="str">
        <f aca="false">IF(LEN($A40)&lt;2,"",A40)</f>
        <v>5.00.15</v>
      </c>
      <c r="Q40" s="54" t="str">
        <f aca="false">IF(LEN($A40 )&lt;2,"",VLOOKUP($A40,All_Data,Q$112,0))</f>
        <v>Pliny The Elder Compressor Fuel</v>
      </c>
      <c r="R40" s="26" t="n">
        <f aca="false">SUM(S40:Z40)</f>
        <v>10760.9312055293</v>
      </c>
      <c r="S40" s="14" t="n">
        <f aca="false">IF(LEN($A40 )&lt;2,"",VLOOKUP($A40,All_Data,S$112,0))</f>
        <v>6693.38509895804</v>
      </c>
      <c r="T40" s="15" t="n">
        <f aca="false">IF(LEN($A40 )&lt;2,"",VLOOKUP($A40,All_Data,T$112,0))</f>
        <v>1642.26267278653</v>
      </c>
      <c r="U40" s="15" t="n">
        <f aca="false">IF(LEN($A40 )&lt;2,"",VLOOKUP($A40,All_Data,U$112,0))</f>
        <v>1071.39436659297</v>
      </c>
      <c r="V40" s="15" t="n">
        <f aca="false">IF(LEN($A40 )&lt;2,"",VLOOKUP($A40,All_Data,V$112,0))</f>
        <v>244.361256362738</v>
      </c>
      <c r="W40" s="15" t="n">
        <f aca="false">IF(LEN($A40 )&lt;2,"",VLOOKUP($A40,All_Data,W$112,0))</f>
        <v>534.460737900498</v>
      </c>
      <c r="X40" s="15" t="n">
        <f aca="false">IF(LEN($A40 )&lt;2,"",VLOOKUP($A40,All_Data,X$112,0))</f>
        <v>189.936369016034</v>
      </c>
      <c r="Y40" s="15" t="n">
        <f aca="false">IF(LEN($A40 )&lt;2,"",VLOOKUP($A40,All_Data,Y$112,0))</f>
        <v>196.75318511021</v>
      </c>
      <c r="Z40" s="16" t="n">
        <f aca="false">IF(LEN($A40 )&lt;2,"",VLOOKUP($A40,All_Data,Z$112,0))</f>
        <v>188.377518802258</v>
      </c>
      <c r="AA40" s="25" t="n">
        <f aca="false">IF(N40=0,,R40/N40*1000)</f>
        <v>1272.35217050045</v>
      </c>
      <c r="AB40" s="26" t="n">
        <f aca="false">IF(LEN($A40 )&lt;2,,VLOOKUP($A40,All_Data,AB$112,0))</f>
        <v>10757.95</v>
      </c>
      <c r="AC40" s="27" t="n">
        <f aca="false">IF(AB40=0,,R40/AB40)</f>
        <v>1.00027711650726</v>
      </c>
    </row>
    <row r="41" customFormat="false" ht="15" hidden="false" customHeight="false" outlineLevel="0" collapsed="false">
      <c r="A41" s="53" t="s">
        <v>119</v>
      </c>
      <c r="B41" s="54" t="str">
        <f aca="false">IF(LEN($A41 )&lt;2,"",VLOOKUP($A41,All_Data,B$112,0))</f>
        <v>Nailed It A Compressor Fuel</v>
      </c>
      <c r="C41" s="86" t="n">
        <f aca="false">IF(LEN($A41 )&lt;2,"",VLOOKUP($A41,All_Data,C$112,0))</f>
        <v>19006.73</v>
      </c>
      <c r="D41" s="14" t="n">
        <f aca="false">IF(LEN($A41 )&lt;2,"",VLOOKUP($A41,All_Data,D$112,0))</f>
        <v>32.6915756</v>
      </c>
      <c r="E41" s="15" t="n">
        <f aca="false">IF(LEN($A41 )&lt;2,"",VLOOKUP($A41,All_Data,E$112,0))</f>
        <v>152.6240419</v>
      </c>
      <c r="F41" s="15" t="n">
        <f aca="false">IF(LEN($A41 )&lt;2,"",VLOOKUP($A41,All_Data,F$112,0))</f>
        <v>14958.4865773</v>
      </c>
      <c r="G41" s="15" t="n">
        <f aca="false">IF(LEN($A41 )&lt;2,"",VLOOKUP($A41,All_Data,G$112,0))</f>
        <v>2175.7003831</v>
      </c>
      <c r="H41" s="15" t="n">
        <f aca="false">IF(LEN($A41 )&lt;2,"",VLOOKUP($A41,All_Data,H$112,0))</f>
        <v>961.5504707</v>
      </c>
      <c r="I41" s="15" t="n">
        <f aca="false">IF(LEN($A41 )&lt;2,"",VLOOKUP($A41,All_Data,I$112,0))</f>
        <v>146.1617537</v>
      </c>
      <c r="J41" s="15" t="n">
        <f aca="false">IF(LEN($A41 )&lt;2,"",VLOOKUP($A41,All_Data,J$112,0))</f>
        <v>320.6435351</v>
      </c>
      <c r="K41" s="15" t="n">
        <f aca="false">IF(LEN($A41 )&lt;2,"",VLOOKUP($A41,All_Data,K$112,0))</f>
        <v>76.4070546</v>
      </c>
      <c r="L41" s="15" t="n">
        <f aca="false">IF(LEN($A41 )&lt;2,"",VLOOKUP($A41,All_Data,L$112,0))</f>
        <v>85.9104196</v>
      </c>
      <c r="M41" s="15" t="n">
        <f aca="false">IF(LEN($A41 )&lt;2,"",VLOOKUP($A41,All_Data,M$112,0))</f>
        <v>96.5541884</v>
      </c>
      <c r="N41" s="87" t="n">
        <f aca="false">SUM(D41:M41)</f>
        <v>19006.73</v>
      </c>
      <c r="P41" s="53" t="str">
        <f aca="false">IF(LEN($A41)&lt;2,"",A41)</f>
        <v>5.00.21</v>
      </c>
      <c r="Q41" s="54" t="str">
        <f aca="false">IF(LEN($A41 )&lt;2,"",VLOOKUP($A41,All_Data,Q$112,0))</f>
        <v>Nailed It A Compressor Fuel</v>
      </c>
      <c r="R41" s="26" t="n">
        <f aca="false">SUM(S41:Z41)</f>
        <v>24056.1433980915</v>
      </c>
      <c r="S41" s="14" t="n">
        <f aca="false">IF(LEN($A41 )&lt;2,"",VLOOKUP($A41,All_Data,S$112,0))</f>
        <v>15115.1655912117</v>
      </c>
      <c r="T41" s="15" t="n">
        <f aca="false">IF(LEN($A41 )&lt;2,"",VLOOKUP($A41,All_Data,T$112,0))</f>
        <v>3852.37851740667</v>
      </c>
      <c r="U41" s="15" t="n">
        <f aca="false">IF(LEN($A41 )&lt;2,"",VLOOKUP($A41,All_Data,U$112,0))</f>
        <v>2420.56246619445</v>
      </c>
      <c r="V41" s="15" t="n">
        <f aca="false">IF(LEN($A41 )&lt;2,"",VLOOKUP($A41,All_Data,V$112,0))</f>
        <v>475.541707255037</v>
      </c>
      <c r="W41" s="15" t="n">
        <f aca="false">IF(LEN($A41 )&lt;2,"",VLOOKUP($A41,All_Data,W$112,0))</f>
        <v>1046.5703477513</v>
      </c>
      <c r="X41" s="15" t="n">
        <f aca="false">IF(LEN($A41 )&lt;2,"",VLOOKUP($A41,All_Data,X$112,0))</f>
        <v>305.854033697192</v>
      </c>
      <c r="Y41" s="15" t="n">
        <f aca="false">IF(LEN($A41 )&lt;2,"",VLOOKUP($A41,All_Data,Y$112,0))</f>
        <v>344.568126943911</v>
      </c>
      <c r="Z41" s="16" t="n">
        <f aca="false">IF(LEN($A41 )&lt;2,"",VLOOKUP($A41,All_Data,Z$112,0))</f>
        <v>495.502607631188</v>
      </c>
      <c r="AA41" s="25" t="n">
        <f aca="false">IF(N41=0,,R41/N41*1000)</f>
        <v>1265.66449873763</v>
      </c>
      <c r="AB41" s="26" t="n">
        <f aca="false">IF(LEN($A41 )&lt;2,,VLOOKUP($A41,All_Data,AB$112,0))</f>
        <v>24062.52</v>
      </c>
      <c r="AC41" s="27" t="n">
        <f aca="false">IF(AB41=0,,R41/AB41)</f>
        <v>0.999734998582504</v>
      </c>
    </row>
    <row r="42" customFormat="false" ht="15" hidden="false" customHeight="false" outlineLevel="0" collapsed="false">
      <c r="A42" s="53" t="s">
        <v>120</v>
      </c>
      <c r="B42" s="54" t="str">
        <f aca="false">IF(LEN($A42 )&lt;2,"",VLOOKUP($A42,All_Data,B$112,0))</f>
        <v>Bluto Compressor Fuel #1</v>
      </c>
      <c r="C42" s="86" t="n">
        <f aca="false">IF(LEN($A42 )&lt;2,"",VLOOKUP($A42,All_Data,C$112,0))</f>
        <v>0</v>
      </c>
      <c r="D42" s="14" t="n">
        <f aca="false">IF(LEN($A42 )&lt;2,"",VLOOKUP($A42,All_Data,D$112,0))</f>
        <v>0</v>
      </c>
      <c r="E42" s="15" t="n">
        <f aca="false">IF(LEN($A42 )&lt;2,"",VLOOKUP($A42,All_Data,E$112,0))</f>
        <v>0</v>
      </c>
      <c r="F42" s="15" t="n">
        <f aca="false">IF(LEN($A42 )&lt;2,"",VLOOKUP($A42,All_Data,F$112,0))</f>
        <v>0</v>
      </c>
      <c r="G42" s="15" t="n">
        <f aca="false">IF(LEN($A42 )&lt;2,"",VLOOKUP($A42,All_Data,G$112,0))</f>
        <v>0</v>
      </c>
      <c r="H42" s="15" t="n">
        <f aca="false">IF(LEN($A42 )&lt;2,"",VLOOKUP($A42,All_Data,H$112,0))</f>
        <v>0</v>
      </c>
      <c r="I42" s="15" t="n">
        <f aca="false">IF(LEN($A42 )&lt;2,"",VLOOKUP($A42,All_Data,I$112,0))</f>
        <v>0</v>
      </c>
      <c r="J42" s="15" t="n">
        <f aca="false">IF(LEN($A42 )&lt;2,"",VLOOKUP($A42,All_Data,J$112,0))</f>
        <v>0</v>
      </c>
      <c r="K42" s="15" t="n">
        <f aca="false">IF(LEN($A42 )&lt;2,"",VLOOKUP($A42,All_Data,K$112,0))</f>
        <v>0</v>
      </c>
      <c r="L42" s="15" t="n">
        <f aca="false">IF(LEN($A42 )&lt;2,"",VLOOKUP($A42,All_Data,L$112,0))</f>
        <v>0</v>
      </c>
      <c r="M42" s="15" t="n">
        <f aca="false">IF(LEN($A42 )&lt;2,"",VLOOKUP($A42,All_Data,M$112,0))</f>
        <v>0</v>
      </c>
      <c r="N42" s="87" t="n">
        <f aca="false">SUM(D42:M42)</f>
        <v>0</v>
      </c>
      <c r="P42" s="53" t="str">
        <f aca="false">IF(LEN($A42)&lt;2,"",A42)</f>
        <v>5.00.22</v>
      </c>
      <c r="Q42" s="54" t="str">
        <f aca="false">IF(LEN($A42 )&lt;2,"",VLOOKUP($A42,All_Data,Q$112,0))</f>
        <v>Bluto Compressor Fuel #1</v>
      </c>
      <c r="R42" s="26" t="n">
        <f aca="false">SUM(S42:Z42)</f>
        <v>0</v>
      </c>
      <c r="S42" s="14" t="n">
        <f aca="false">IF(LEN($A42 )&lt;2,"",VLOOKUP($A42,All_Data,S$112,0))</f>
        <v>0</v>
      </c>
      <c r="T42" s="15" t="n">
        <f aca="false">IF(LEN($A42 )&lt;2,"",VLOOKUP($A42,All_Data,T$112,0))</f>
        <v>0</v>
      </c>
      <c r="U42" s="15" t="n">
        <f aca="false">IF(LEN($A42 )&lt;2,"",VLOOKUP($A42,All_Data,U$112,0))</f>
        <v>0</v>
      </c>
      <c r="V42" s="15" t="n">
        <f aca="false">IF(LEN($A42 )&lt;2,"",VLOOKUP($A42,All_Data,V$112,0))</f>
        <v>0</v>
      </c>
      <c r="W42" s="15" t="n">
        <f aca="false">IF(LEN($A42 )&lt;2,"",VLOOKUP($A42,All_Data,W$112,0))</f>
        <v>0</v>
      </c>
      <c r="X42" s="15" t="n">
        <f aca="false">IF(LEN($A42 )&lt;2,"",VLOOKUP($A42,All_Data,X$112,0))</f>
        <v>0</v>
      </c>
      <c r="Y42" s="15" t="n">
        <f aca="false">IF(LEN($A42 )&lt;2,"",VLOOKUP($A42,All_Data,Y$112,0))</f>
        <v>0</v>
      </c>
      <c r="Z42" s="16" t="n">
        <f aca="false">IF(LEN($A42 )&lt;2,"",VLOOKUP($A42,All_Data,Z$112,0))</f>
        <v>0</v>
      </c>
      <c r="AA42" s="25" t="n">
        <f aca="false">IF(N42=0,,R42/N42*1000)</f>
        <v>0</v>
      </c>
      <c r="AB42" s="26" t="n">
        <f aca="false">IF(LEN($A42 )&lt;2,,VLOOKUP($A42,All_Data,AB$112,0))</f>
        <v>0</v>
      </c>
      <c r="AC42" s="27" t="n">
        <f aca="false">IF(AB42=0,,R42/AB42)</f>
        <v>0</v>
      </c>
    </row>
    <row r="43" customFormat="false" ht="15" hidden="false" customHeight="false" outlineLevel="0" collapsed="false">
      <c r="A43" s="53" t="s">
        <v>121</v>
      </c>
      <c r="B43" s="54" t="str">
        <f aca="false">IF(LEN($A43 )&lt;2,"",VLOOKUP($A43,All_Data,B$112,0))</f>
        <v>Bluto Compressor Fuel #2</v>
      </c>
      <c r="C43" s="86" t="n">
        <f aca="false">IF(LEN($A43 )&lt;2,"",VLOOKUP($A43,All_Data,C$112,0))</f>
        <v>4687.64</v>
      </c>
      <c r="D43" s="14" t="n">
        <f aca="false">IF(LEN($A43 )&lt;2,"",VLOOKUP($A43,All_Data,D$112,0))</f>
        <v>4.1719996</v>
      </c>
      <c r="E43" s="15" t="n">
        <f aca="false">IF(LEN($A43 )&lt;2,"",VLOOKUP($A43,All_Data,E$112,0))</f>
        <v>35.3448056</v>
      </c>
      <c r="F43" s="15" t="n">
        <f aca="false">IF(LEN($A43 )&lt;2,"",VLOOKUP($A43,All_Data,F$112,0))</f>
        <v>3817.848398</v>
      </c>
      <c r="G43" s="15" t="n">
        <f aca="false">IF(LEN($A43 )&lt;2,"",VLOOKUP($A43,All_Data,G$112,0))</f>
        <v>496.0460648</v>
      </c>
      <c r="H43" s="15" t="n">
        <f aca="false">IF(LEN($A43 )&lt;2,"",VLOOKUP($A43,All_Data,H$112,0))</f>
        <v>185.2555328</v>
      </c>
      <c r="I43" s="15" t="n">
        <f aca="false">IF(LEN($A43 )&lt;2,"",VLOOKUP($A43,All_Data,I$112,0))</f>
        <v>28.6883568</v>
      </c>
      <c r="J43" s="15" t="n">
        <f aca="false">IF(LEN($A43 )&lt;2,"",VLOOKUP($A43,All_Data,J$112,0))</f>
        <v>56.3454328</v>
      </c>
      <c r="K43" s="15" t="n">
        <f aca="false">IF(LEN($A43 )&lt;2,"",VLOOKUP($A43,All_Data,K$112,0))</f>
        <v>14.9066952</v>
      </c>
      <c r="L43" s="15" t="n">
        <f aca="false">IF(LEN($A43 )&lt;2,"",VLOOKUP($A43,All_Data,L$112,0))</f>
        <v>16.641122</v>
      </c>
      <c r="M43" s="15" t="n">
        <f aca="false">IF(LEN($A43 )&lt;2,"",VLOOKUP($A43,All_Data,M$112,0))</f>
        <v>32.3915924</v>
      </c>
      <c r="N43" s="87" t="n">
        <f aca="false">SUM(D43:M43)</f>
        <v>4687.64</v>
      </c>
      <c r="P43" s="53" t="str">
        <f aca="false">IF(LEN($A43)&lt;2,"",A43)</f>
        <v>5.00.23</v>
      </c>
      <c r="Q43" s="54" t="str">
        <f aca="false">IF(LEN($A43 )&lt;2,"",VLOOKUP($A43,All_Data,Q$112,0))</f>
        <v>Bluto Compressor Fuel #2</v>
      </c>
      <c r="R43" s="26" t="n">
        <f aca="false">SUM(S43:Z43)</f>
        <v>5770.99184886918</v>
      </c>
      <c r="S43" s="14" t="n">
        <f aca="false">IF(LEN($A43 )&lt;2,"",VLOOKUP($A43,All_Data,S$112,0))</f>
        <v>3856.89546365553</v>
      </c>
      <c r="T43" s="15" t="n">
        <f aca="false">IF(LEN($A43 )&lt;2,"",VLOOKUP($A43,All_Data,T$112,0))</f>
        <v>878.103702684888</v>
      </c>
      <c r="U43" s="15" t="n">
        <f aca="false">IF(LEN($A43 )&lt;2,"",VLOOKUP($A43,All_Data,U$112,0))</f>
        <v>466.239788336361</v>
      </c>
      <c r="V43" s="15" t="n">
        <f aca="false">IF(LEN($A43 )&lt;2,"",VLOOKUP($A43,All_Data,V$112,0))</f>
        <v>93.3156480924943</v>
      </c>
      <c r="W43" s="15" t="n">
        <f aca="false">IF(LEN($A43 )&lt;2,"",VLOOKUP($A43,All_Data,W$112,0))</f>
        <v>183.864799531394</v>
      </c>
      <c r="X43" s="15" t="n">
        <f aca="false">IF(LEN($A43 )&lt;2,"",VLOOKUP($A43,All_Data,X$112,0))</f>
        <v>59.6562652468159</v>
      </c>
      <c r="Y43" s="15" t="n">
        <f aca="false">IF(LEN($A43 )&lt;2,"",VLOOKUP($A43,All_Data,Y$112,0))</f>
        <v>66.7276456666634</v>
      </c>
      <c r="Z43" s="16" t="n">
        <f aca="false">IF(LEN($A43 )&lt;2,"",VLOOKUP($A43,All_Data,Z$112,0))</f>
        <v>166.188535655029</v>
      </c>
      <c r="AA43" s="25" t="n">
        <f aca="false">IF(N43=0,,R43/N43*1000)</f>
        <v>1231.10815866175</v>
      </c>
      <c r="AB43" s="26" t="n">
        <f aca="false">IF(LEN($A43 )&lt;2,,VLOOKUP($A43,All_Data,AB$112,0))</f>
        <v>5770.49</v>
      </c>
      <c r="AC43" s="27" t="n">
        <f aca="false">IF(AB43=0,,R43/AB43)</f>
        <v>1.00008696815507</v>
      </c>
    </row>
    <row r="44" customFormat="false" ht="15" hidden="false" customHeight="false" outlineLevel="0" collapsed="false">
      <c r="A44" s="53" t="s">
        <v>122</v>
      </c>
      <c r="B44" s="54" t="str">
        <f aca="false">IF(LEN($A44 )&lt;2,"",VLOOKUP($A44,All_Data,B$112,0))</f>
        <v>Cypress Compressor Fuel</v>
      </c>
      <c r="C44" s="86" t="n">
        <f aca="false">IF(LEN($A44 )&lt;2,"",VLOOKUP($A44,All_Data,C$112,0))</f>
        <v>17944.11</v>
      </c>
      <c r="D44" s="14" t="n">
        <f aca="false">IF(LEN($A44 )&lt;2,"",VLOOKUP($A44,All_Data,D$112,0))</f>
        <v>42.8864229</v>
      </c>
      <c r="E44" s="15" t="n">
        <f aca="false">IF(LEN($A44 )&lt;2,"",VLOOKUP($A44,All_Data,E$112,0))</f>
        <v>183.2093631</v>
      </c>
      <c r="F44" s="15" t="n">
        <f aca="false">IF(LEN($A44 )&lt;2,"",VLOOKUP($A44,All_Data,F$112,0))</f>
        <v>13854.647331</v>
      </c>
      <c r="G44" s="15" t="n">
        <f aca="false">IF(LEN($A44 )&lt;2,"",VLOOKUP($A44,All_Data,G$112,0))</f>
        <v>2027.8638711</v>
      </c>
      <c r="H44" s="15" t="n">
        <f aca="false">IF(LEN($A44 )&lt;2,"",VLOOKUP($A44,All_Data,H$112,0))</f>
        <v>1016.8927137</v>
      </c>
      <c r="I44" s="15" t="n">
        <f aca="false">IF(LEN($A44 )&lt;2,"",VLOOKUP($A44,All_Data,I$112,0))</f>
        <v>159.8820201</v>
      </c>
      <c r="J44" s="15" t="n">
        <f aca="false">IF(LEN($A44 )&lt;2,"",VLOOKUP($A44,All_Data,J$112,0))</f>
        <v>367.1364906</v>
      </c>
      <c r="K44" s="15" t="n">
        <f aca="false">IF(LEN($A44 )&lt;2,"",VLOOKUP($A44,All_Data,K$112,0))</f>
        <v>88.4644623</v>
      </c>
      <c r="L44" s="15" t="n">
        <f aca="false">IF(LEN($A44 )&lt;2,"",VLOOKUP($A44,All_Data,L$112,0))</f>
        <v>96.3598707</v>
      </c>
      <c r="M44" s="15" t="n">
        <f aca="false">IF(LEN($A44 )&lt;2,"",VLOOKUP($A44,All_Data,M$112,0))</f>
        <v>106.7674545</v>
      </c>
      <c r="N44" s="87" t="n">
        <f aca="false">SUM(D44:M44)</f>
        <v>17944.11</v>
      </c>
      <c r="P44" s="53" t="str">
        <f aca="false">IF(LEN($A44)&lt;2,"",A44)</f>
        <v>5.00.24</v>
      </c>
      <c r="Q44" s="54" t="str">
        <f aca="false">IF(LEN($A44 )&lt;2,"",VLOOKUP($A44,All_Data,Q$112,0))</f>
        <v>Cypress Compressor Fuel</v>
      </c>
      <c r="R44" s="26" t="n">
        <f aca="false">SUM(S44:Z44)</f>
        <v>23161.9233079896</v>
      </c>
      <c r="S44" s="14" t="n">
        <f aca="false">IF(LEN($A44 )&lt;2,"",VLOOKUP($A44,All_Data,S$112,0))</f>
        <v>14002.5758612269</v>
      </c>
      <c r="T44" s="15" t="n">
        <f aca="false">IF(LEN($A44 )&lt;2,"",VLOOKUP($A44,All_Data,T$112,0))</f>
        <v>3591.33458243289</v>
      </c>
      <c r="U44" s="15" t="n">
        <f aca="false">IF(LEN($A44 )&lt;2,"",VLOOKUP($A44,All_Data,U$112,0))</f>
        <v>2560.39252745439</v>
      </c>
      <c r="V44" s="15" t="n">
        <f aca="false">IF(LEN($A44 )&lt;2,"",VLOOKUP($A44,All_Data,V$112,0))</f>
        <v>520.285472861491</v>
      </c>
      <c r="W44" s="15" t="n">
        <f aca="false">IF(LEN($A44 )&lt;2,"",VLOOKUP($A44,All_Data,W$112,0))</f>
        <v>1198.56252777929</v>
      </c>
      <c r="X44" s="15" t="n">
        <f aca="false">IF(LEN($A44 )&lt;2,"",VLOOKUP($A44,All_Data,X$112,0))</f>
        <v>354.190412943625</v>
      </c>
      <c r="Y44" s="15" t="n">
        <f aca="false">IF(LEN($A44 )&lt;2,"",VLOOKUP($A44,All_Data,Y$112,0))</f>
        <v>386.556229112221</v>
      </c>
      <c r="Z44" s="16" t="n">
        <f aca="false">IF(LEN($A44 )&lt;2,"",VLOOKUP($A44,All_Data,Z$112,0))</f>
        <v>548.025694178782</v>
      </c>
      <c r="AA44" s="25" t="n">
        <f aca="false">IF(N44=0,,R44/N44*1000)</f>
        <v>1290.78139333684</v>
      </c>
      <c r="AB44" s="26" t="n">
        <f aca="false">IF(LEN($A44 )&lt;2,,VLOOKUP($A44,All_Data,AB$112,0))</f>
        <v>23165.84</v>
      </c>
      <c r="AC44" s="27" t="n">
        <f aca="false">IF(AB44=0,,R44/AB44)</f>
        <v>0.999830928124755</v>
      </c>
    </row>
    <row r="45" customFormat="false" ht="15" hidden="false" customHeight="false" outlineLevel="0" collapsed="false">
      <c r="A45" s="53" t="s">
        <v>123</v>
      </c>
      <c r="B45" s="54" t="str">
        <f aca="false">IF(LEN($A45 )&lt;2,"",VLOOKUP($A45,All_Data,B$112,0))</f>
        <v>Welcome to Golden Compressor Fuel</v>
      </c>
      <c r="C45" s="86" t="n">
        <f aca="false">IF(LEN($A45 )&lt;2,"",VLOOKUP($A45,All_Data,C$112,0))</f>
        <v>24688.41</v>
      </c>
      <c r="D45" s="14" t="n">
        <f aca="false">IF(LEN($A45 )&lt;2,"",VLOOKUP($A45,All_Data,D$112,0))</f>
        <v>40.4889924</v>
      </c>
      <c r="E45" s="15" t="n">
        <f aca="false">IF(LEN($A45 )&lt;2,"",VLOOKUP($A45,All_Data,E$112,0))</f>
        <v>207.1357599</v>
      </c>
      <c r="F45" s="15" t="n">
        <f aca="false">IF(LEN($A45 )&lt;2,"",VLOOKUP($A45,All_Data,F$112,0))</f>
        <v>19332.2594505</v>
      </c>
      <c r="G45" s="15" t="n">
        <f aca="false">IF(LEN($A45 )&lt;2,"",VLOOKUP($A45,All_Data,G$112,0))</f>
        <v>2912.2448436</v>
      </c>
      <c r="H45" s="15" t="n">
        <f aca="false">IF(LEN($A45 )&lt;2,"",VLOOKUP($A45,All_Data,H$112,0))</f>
        <v>1308.48573</v>
      </c>
      <c r="I45" s="15" t="n">
        <f aca="false">IF(LEN($A45 )&lt;2,"",VLOOKUP($A45,All_Data,I$112,0))</f>
        <v>200.4698892</v>
      </c>
      <c r="J45" s="15" t="n">
        <f aca="false">IF(LEN($A45 )&lt;2,"",VLOOKUP($A45,All_Data,J$112,0))</f>
        <v>430.3189863</v>
      </c>
      <c r="K45" s="15" t="n">
        <f aca="false">IF(LEN($A45 )&lt;2,"",VLOOKUP($A45,All_Data,K$112,0))</f>
        <v>95.2972626</v>
      </c>
      <c r="L45" s="15" t="n">
        <f aca="false">IF(LEN($A45 )&lt;2,"",VLOOKUP($A45,All_Data,L$112,0))</f>
        <v>98.75364</v>
      </c>
      <c r="M45" s="15" t="n">
        <f aca="false">IF(LEN($A45 )&lt;2,"",VLOOKUP($A45,All_Data,M$112,0))</f>
        <v>62.9554455</v>
      </c>
      <c r="N45" s="87" t="n">
        <f aca="false">SUM(D45:M45)</f>
        <v>24688.41</v>
      </c>
      <c r="P45" s="53" t="str">
        <f aca="false">IF(LEN($A45)&lt;2,"",A45)</f>
        <v>5.00.28</v>
      </c>
      <c r="Q45" s="54" t="str">
        <f aca="false">IF(LEN($A45 )&lt;2,"",VLOOKUP($A45,All_Data,Q$112,0))</f>
        <v>Welcome to Golden Compressor Fuel</v>
      </c>
      <c r="R45" s="26" t="n">
        <f aca="false">SUM(S45:Z45)</f>
        <v>31141.2748741137</v>
      </c>
      <c r="S45" s="14" t="n">
        <f aca="false">IF(LEN($A45 )&lt;2,"",VLOOKUP($A45,All_Data,S$112,0))</f>
        <v>19533.9097352762</v>
      </c>
      <c r="T45" s="15" t="n">
        <f aca="false">IF(LEN($A45 )&lt;2,"",VLOOKUP($A45,All_Data,T$112,0))</f>
        <v>5156.31045021148</v>
      </c>
      <c r="U45" s="15" t="n">
        <f aca="false">IF(LEN($A45 )&lt;2,"",VLOOKUP($A45,All_Data,U$112,0))</f>
        <v>3293.77939873498</v>
      </c>
      <c r="V45" s="15" t="n">
        <f aca="false">IF(LEN($A45 )&lt;2,"",VLOOKUP($A45,All_Data,V$112,0))</f>
        <v>652.206805273111</v>
      </c>
      <c r="W45" s="15" t="n">
        <f aca="false">IF(LEN($A45 )&lt;2,"",VLOOKUP($A45,All_Data,W$112,0))</f>
        <v>1404.48709889804</v>
      </c>
      <c r="X45" s="15" t="n">
        <f aca="false">IF(LEN($A45 )&lt;2,"",VLOOKUP($A45,All_Data,X$112,0))</f>
        <v>381.45427638937</v>
      </c>
      <c r="Y45" s="15" t="n">
        <f aca="false">IF(LEN($A45 )&lt;2,"",VLOOKUP($A45,All_Data,Y$112,0))</f>
        <v>396.062461788721</v>
      </c>
      <c r="Z45" s="16" t="n">
        <f aca="false">IF(LEN($A45 )&lt;2,"",VLOOKUP($A45,All_Data,Z$112,0))</f>
        <v>323.064647541798</v>
      </c>
      <c r="AA45" s="25" t="n">
        <f aca="false">IF(N45=0,,R45/N45*1000)</f>
        <v>1261.37223393948</v>
      </c>
      <c r="AB45" s="26" t="n">
        <f aca="false">IF(LEN($A45 )&lt;2,,VLOOKUP($A45,All_Data,AB$112,0))</f>
        <v>31132.08</v>
      </c>
      <c r="AC45" s="27" t="n">
        <f aca="false">IF(AB45=0,,R45/AB45)</f>
        <v>1.00029535045887</v>
      </c>
    </row>
    <row r="46" customFormat="false" ht="15" hidden="false" customHeight="false" outlineLevel="0" collapsed="false">
      <c r="A46" s="53" t="s">
        <v>124</v>
      </c>
      <c r="B46" s="54" t="str">
        <f aca="false">IF(LEN($A46 )&lt;2,"",VLOOKUP($A46,All_Data,B$112,0))</f>
        <v>Oasis Fuel Gas</v>
      </c>
      <c r="C46" s="86" t="n">
        <f aca="false">IF(LEN($A46 )&lt;2,"",VLOOKUP($A46,All_Data,C$112,0))</f>
        <v>19289.82</v>
      </c>
      <c r="D46" s="14" t="n">
        <f aca="false">IF(LEN($A46 )&lt;2,"",VLOOKUP($A46,All_Data,D$112,0))</f>
        <v>83.910717</v>
      </c>
      <c r="E46" s="15" t="n">
        <f aca="false">IF(LEN($A46 )&lt;2,"",VLOOKUP($A46,All_Data,E$112,0))</f>
        <v>212.5738164</v>
      </c>
      <c r="F46" s="15" t="n">
        <f aca="false">IF(LEN($A46 )&lt;2,"",VLOOKUP($A46,All_Data,F$112,0))</f>
        <v>13994.3786136</v>
      </c>
      <c r="G46" s="15" t="n">
        <f aca="false">IF(LEN($A46 )&lt;2,"",VLOOKUP($A46,All_Data,G$112,0))</f>
        <v>2506.712109</v>
      </c>
      <c r="H46" s="15" t="n">
        <f aca="false">IF(LEN($A46 )&lt;2,"",VLOOKUP($A46,All_Data,H$112,0))</f>
        <v>1614.557934</v>
      </c>
      <c r="I46" s="15" t="n">
        <f aca="false">IF(LEN($A46 )&lt;2,"",VLOOKUP($A46,All_Data,I$112,0))</f>
        <v>174.1870746</v>
      </c>
      <c r="J46" s="15" t="n">
        <f aca="false">IF(LEN($A46 )&lt;2,"",VLOOKUP($A46,All_Data,J$112,0))</f>
        <v>514.073703</v>
      </c>
      <c r="K46" s="15" t="n">
        <f aca="false">IF(LEN($A46 )&lt;2,"",VLOOKUP($A46,All_Data,K$112,0))</f>
        <v>81.5959386</v>
      </c>
      <c r="L46" s="15" t="n">
        <f aca="false">IF(LEN($A46 )&lt;2,"",VLOOKUP($A46,All_Data,L$112,0))</f>
        <v>78.7024656</v>
      </c>
      <c r="M46" s="15" t="n">
        <f aca="false">IF(LEN($A46 )&lt;2,"",VLOOKUP($A46,All_Data,M$112,0))</f>
        <v>29.1276282</v>
      </c>
      <c r="N46" s="87" t="n">
        <f aca="false">SUM(D46:M46)</f>
        <v>19289.82</v>
      </c>
      <c r="P46" s="53" t="str">
        <f aca="false">IF(LEN($A46)&lt;2,"",A46)</f>
        <v>5.00.29</v>
      </c>
      <c r="Q46" s="54" t="str">
        <f aca="false">IF(LEN($A46 )&lt;2,"",VLOOKUP($A46,All_Data,Q$112,0))</f>
        <v>Oasis Fuel Gas</v>
      </c>
      <c r="R46" s="26" t="n">
        <f aca="false">SUM(S46:Z46)</f>
        <v>25693.3508310094</v>
      </c>
      <c r="S46" s="14" t="n">
        <f aca="false">IF(LEN($A46 )&lt;2,"",VLOOKUP($A46,All_Data,S$112,0))</f>
        <v>14148.1685992661</v>
      </c>
      <c r="T46" s="15" t="n">
        <f aca="false">IF(LEN($A46 )&lt;2,"",VLOOKUP($A46,All_Data,T$112,0))</f>
        <v>4440.74337841588</v>
      </c>
      <c r="U46" s="15" t="n">
        <f aca="false">IF(LEN($A46 )&lt;2,"",VLOOKUP($A46,All_Data,U$112,0))</f>
        <v>4066.48520752061</v>
      </c>
      <c r="V46" s="15" t="n">
        <f aca="false">IF(LEN($A46 )&lt;2,"",VLOOKUP($A46,All_Data,V$112,0))</f>
        <v>567.011864777163</v>
      </c>
      <c r="W46" s="15" t="n">
        <f aca="false">IF(LEN($A46 )&lt;2,"",VLOOKUP($A46,All_Data,W$112,0))</f>
        <v>1678.77572258818</v>
      </c>
      <c r="X46" s="15" t="n">
        <f aca="false">IF(LEN($A46 )&lt;2,"",VLOOKUP($A46,All_Data,X$112,0))</f>
        <v>326.791423605299</v>
      </c>
      <c r="Y46" s="15" t="n">
        <f aca="false">IF(LEN($A46 )&lt;2,"",VLOOKUP($A46,All_Data,Y$112,0))</f>
        <v>315.819508904837</v>
      </c>
      <c r="Z46" s="16" t="n">
        <f aca="false">IF(LEN($A46 )&lt;2,"",VLOOKUP($A46,All_Data,Z$112,0))</f>
        <v>149.555125931378</v>
      </c>
      <c r="AA46" s="25" t="n">
        <f aca="false">IF(N46=0,,R46/N46*1000)</f>
        <v>1331.9642604757</v>
      </c>
      <c r="AB46" s="26" t="n">
        <f aca="false">IF(LEN($A46 )&lt;2,,VLOOKUP($A46,All_Data,AB$112,0))</f>
        <v>25694.05</v>
      </c>
      <c r="AC46" s="27" t="n">
        <f aca="false">IF(AB46=0,,R46/AB46)</f>
        <v>0.999972788681014</v>
      </c>
    </row>
    <row r="47" customFormat="false" ht="15" hidden="false" customHeight="false" outlineLevel="0" collapsed="false">
      <c r="A47" s="53" t="s">
        <v>125</v>
      </c>
      <c r="B47" s="54" t="str">
        <f aca="false">IF(LEN($A47 )&lt;2,"",VLOOKUP($A47,All_Data,B$112,0))</f>
        <v>Abigail Compressor Fuel</v>
      </c>
      <c r="C47" s="86" t="n">
        <f aca="false">IF(LEN($A47 )&lt;2,"",VLOOKUP($A47,All_Data,C$112,0))</f>
        <v>0</v>
      </c>
      <c r="D47" s="14" t="n">
        <f aca="false">IF(LEN($A47 )&lt;2,"",VLOOKUP($A47,All_Data,D$112,0))</f>
        <v>0</v>
      </c>
      <c r="E47" s="15" t="n">
        <f aca="false">IF(LEN($A47 )&lt;2,"",VLOOKUP($A47,All_Data,E$112,0))</f>
        <v>0</v>
      </c>
      <c r="F47" s="15" t="n">
        <f aca="false">IF(LEN($A47 )&lt;2,"",VLOOKUP($A47,All_Data,F$112,0))</f>
        <v>0</v>
      </c>
      <c r="G47" s="15" t="n">
        <f aca="false">IF(LEN($A47 )&lt;2,"",VLOOKUP($A47,All_Data,G$112,0))</f>
        <v>0</v>
      </c>
      <c r="H47" s="15" t="n">
        <f aca="false">IF(LEN($A47 )&lt;2,"",VLOOKUP($A47,All_Data,H$112,0))</f>
        <v>0</v>
      </c>
      <c r="I47" s="15" t="n">
        <f aca="false">IF(LEN($A47 )&lt;2,"",VLOOKUP($A47,All_Data,I$112,0))</f>
        <v>0</v>
      </c>
      <c r="J47" s="15" t="n">
        <f aca="false">IF(LEN($A47 )&lt;2,"",VLOOKUP($A47,All_Data,J$112,0))</f>
        <v>0</v>
      </c>
      <c r="K47" s="15" t="n">
        <f aca="false">IF(LEN($A47 )&lt;2,"",VLOOKUP($A47,All_Data,K$112,0))</f>
        <v>0</v>
      </c>
      <c r="L47" s="15" t="n">
        <f aca="false">IF(LEN($A47 )&lt;2,"",VLOOKUP($A47,All_Data,L$112,0))</f>
        <v>0</v>
      </c>
      <c r="M47" s="15" t="n">
        <f aca="false">IF(LEN($A47 )&lt;2,"",VLOOKUP($A47,All_Data,M$112,0))</f>
        <v>0</v>
      </c>
      <c r="N47" s="87" t="n">
        <f aca="false">SUM(D47:M47)</f>
        <v>0</v>
      </c>
      <c r="P47" s="53" t="str">
        <f aca="false">IF(LEN($A47)&lt;2,"",A47)</f>
        <v>5.00.32</v>
      </c>
      <c r="Q47" s="54" t="str">
        <f aca="false">IF(LEN($A47 )&lt;2,"",VLOOKUP($A47,All_Data,Q$112,0))</f>
        <v>Abigail Compressor Fuel</v>
      </c>
      <c r="R47" s="26" t="n">
        <f aca="false">SUM(S47:Z47)</f>
        <v>0</v>
      </c>
      <c r="S47" s="14" t="n">
        <f aca="false">IF(LEN($A47 )&lt;2,"",VLOOKUP($A47,All_Data,S$112,0))</f>
        <v>0</v>
      </c>
      <c r="T47" s="15" t="n">
        <f aca="false">IF(LEN($A47 )&lt;2,"",VLOOKUP($A47,All_Data,T$112,0))</f>
        <v>0</v>
      </c>
      <c r="U47" s="15" t="n">
        <f aca="false">IF(LEN($A47 )&lt;2,"",VLOOKUP($A47,All_Data,U$112,0))</f>
        <v>0</v>
      </c>
      <c r="V47" s="15" t="n">
        <f aca="false">IF(LEN($A47 )&lt;2,"",VLOOKUP($A47,All_Data,V$112,0))</f>
        <v>0</v>
      </c>
      <c r="W47" s="15" t="n">
        <f aca="false">IF(LEN($A47 )&lt;2,"",VLOOKUP($A47,All_Data,W$112,0))</f>
        <v>0</v>
      </c>
      <c r="X47" s="15" t="n">
        <f aca="false">IF(LEN($A47 )&lt;2,"",VLOOKUP($A47,All_Data,X$112,0))</f>
        <v>0</v>
      </c>
      <c r="Y47" s="15" t="n">
        <f aca="false">IF(LEN($A47 )&lt;2,"",VLOOKUP($A47,All_Data,Y$112,0))</f>
        <v>0</v>
      </c>
      <c r="Z47" s="16" t="n">
        <f aca="false">IF(LEN($A47 )&lt;2,"",VLOOKUP($A47,All_Data,Z$112,0))</f>
        <v>0</v>
      </c>
      <c r="AA47" s="25" t="n">
        <f aca="false">IF(N47=0,,R47/N47*1000)</f>
        <v>0</v>
      </c>
      <c r="AB47" s="26" t="n">
        <f aca="false">IF(LEN($A47 )&lt;2,,VLOOKUP($A47,All_Data,AB$112,0))</f>
        <v>0</v>
      </c>
      <c r="AC47" s="27" t="n">
        <f aca="false">IF(AB47=0,,R47/AB47)</f>
        <v>0</v>
      </c>
    </row>
    <row r="48" customFormat="false" ht="15" hidden="false" customHeight="false" outlineLevel="0" collapsed="false">
      <c r="A48" s="53" t="s">
        <v>126</v>
      </c>
      <c r="B48" s="54" t="str">
        <f aca="false">IF(LEN($A48 )&lt;2,"",VLOOKUP($A48,All_Data,B$112,0))</f>
        <v>Emma Fuel Gas</v>
      </c>
      <c r="C48" s="86" t="n">
        <f aca="false">IF(LEN($A48 )&lt;2,"",VLOOKUP($A48,All_Data,C$112,0))</f>
        <v>3684.48</v>
      </c>
      <c r="D48" s="14" t="n">
        <f aca="false">IF(LEN($A48 )&lt;2,"",VLOOKUP($A48,All_Data,D$112,0))</f>
        <v>11.7166464</v>
      </c>
      <c r="E48" s="15" t="n">
        <f aca="false">IF(LEN($A48 )&lt;2,"",VLOOKUP($A48,All_Data,E$112,0))</f>
        <v>20.26464</v>
      </c>
      <c r="F48" s="15" t="n">
        <f aca="false">IF(LEN($A48 )&lt;2,"",VLOOKUP($A48,All_Data,F$112,0))</f>
        <v>3104.911296</v>
      </c>
      <c r="G48" s="15" t="n">
        <f aca="false">IF(LEN($A48 )&lt;2,"",VLOOKUP($A48,All_Data,G$112,0))</f>
        <v>289.600128</v>
      </c>
      <c r="H48" s="15" t="n">
        <f aca="false">IF(LEN($A48 )&lt;2,"",VLOOKUP($A48,All_Data,H$112,0))</f>
        <v>137.7258624</v>
      </c>
      <c r="I48" s="15" t="n">
        <f aca="false">IF(LEN($A48 )&lt;2,"",VLOOKUP($A48,All_Data,I$112,0))</f>
        <v>19.0119168</v>
      </c>
      <c r="J48" s="15" t="n">
        <f aca="false">IF(LEN($A48 )&lt;2,"",VLOOKUP($A48,All_Data,J$112,0))</f>
        <v>47.8613952</v>
      </c>
      <c r="K48" s="15" t="n">
        <f aca="false">IF(LEN($A48 )&lt;2,"",VLOOKUP($A48,All_Data,K$112,0))</f>
        <v>12.8588352</v>
      </c>
      <c r="L48" s="15" t="n">
        <f aca="false">IF(LEN($A48 )&lt;2,"",VLOOKUP($A48,All_Data,L$112,0))</f>
        <v>15.5485056</v>
      </c>
      <c r="M48" s="15" t="n">
        <f aca="false">IF(LEN($A48 )&lt;2,"",VLOOKUP($A48,All_Data,M$112,0))</f>
        <v>24.9807744</v>
      </c>
      <c r="N48" s="87" t="n">
        <f aca="false">SUM(D48:M48)</f>
        <v>3684.48</v>
      </c>
      <c r="P48" s="53" t="str">
        <f aca="false">IF(LEN($A48)&lt;2,"",A48)</f>
        <v>5.00.33</v>
      </c>
      <c r="Q48" s="54" t="str">
        <f aca="false">IF(LEN($A48 )&lt;2,"",VLOOKUP($A48,All_Data,Q$112,0))</f>
        <v>Emma Fuel Gas</v>
      </c>
      <c r="R48" s="26" t="n">
        <f aca="false">SUM(S48:Z48)</f>
        <v>4455.32487768414</v>
      </c>
      <c r="S48" s="14" t="n">
        <f aca="false">IF(LEN($A48 )&lt;2,"",VLOOKUP($A48,All_Data,S$112,0))</f>
        <v>3136.23861371245</v>
      </c>
      <c r="T48" s="15" t="n">
        <f aca="false">IF(LEN($A48 )&lt;2,"",VLOOKUP($A48,All_Data,T$112,0))</f>
        <v>512.581892941318</v>
      </c>
      <c r="U48" s="15" t="n">
        <f aca="false">IF(LEN($A48 )&lt;2,"",VLOOKUP($A48,All_Data,U$112,0))</f>
        <v>346.572706057276</v>
      </c>
      <c r="V48" s="15" t="n">
        <f aca="false">IF(LEN($A48 )&lt;2,"",VLOOKUP($A48,All_Data,V$112,0))</f>
        <v>61.8323025647145</v>
      </c>
      <c r="W48" s="15" t="n">
        <f aca="false">IF(LEN($A48 )&lt;2,"",VLOOKUP($A48,All_Data,W$112,0))</f>
        <v>156.158611683284</v>
      </c>
      <c r="X48" s="15" t="n">
        <f aca="false">IF(LEN($A48 )&lt;2,"",VLOOKUP($A48,All_Data,X$112,0))</f>
        <v>51.4537499145931</v>
      </c>
      <c r="Y48" s="15" t="n">
        <f aca="false">IF(LEN($A48 )&lt;2,"",VLOOKUP($A48,All_Data,Y$112,0))</f>
        <v>62.3379567382013</v>
      </c>
      <c r="Z48" s="16" t="n">
        <f aca="false">IF(LEN($A48 )&lt;2,"",VLOOKUP($A48,All_Data,Z$112,0))</f>
        <v>128.149044072305</v>
      </c>
      <c r="AA48" s="25" t="n">
        <f aca="false">IF(N48=0,,R48/N48*1000)</f>
        <v>1209.21402143156</v>
      </c>
      <c r="AB48" s="26" t="n">
        <f aca="false">IF(LEN($A48 )&lt;2,,VLOOKUP($A48,All_Data,AB$112,0))</f>
        <v>4454.54</v>
      </c>
      <c r="AC48" s="27" t="n">
        <f aca="false">IF(AB48=0,,R48/AB48)</f>
        <v>1.00017619724688</v>
      </c>
    </row>
    <row r="49" customFormat="false" ht="15" hidden="false" customHeight="false" outlineLevel="0" collapsed="false">
      <c r="A49" s="53" t="s">
        <v>127</v>
      </c>
      <c r="B49" s="54" t="str">
        <f aca="false">IF(LEN($A49 )&lt;2,"",VLOOKUP($A49,All_Data,B$112,0))</f>
        <v>Nailed It B Fuel</v>
      </c>
      <c r="C49" s="86" t="n">
        <f aca="false">IF(LEN($A49 )&lt;2,"",VLOOKUP($A49,All_Data,C$112,0))</f>
        <v>25831.73</v>
      </c>
      <c r="D49" s="14" t="n">
        <f aca="false">IF(LEN($A49 )&lt;2,"",VLOOKUP($A49,All_Data,D$112,0))</f>
        <v>43.3973064</v>
      </c>
      <c r="E49" s="15" t="n">
        <f aca="false">IF(LEN($A49 )&lt;2,"",VLOOKUP($A49,All_Data,E$112,0))</f>
        <v>546.8577241</v>
      </c>
      <c r="F49" s="15" t="n">
        <f aca="false">IF(LEN($A49 )&lt;2,"",VLOOKUP($A49,All_Data,F$112,0))</f>
        <v>21127.771967</v>
      </c>
      <c r="G49" s="15" t="n">
        <f aca="false">IF(LEN($A49 )&lt;2,"",VLOOKUP($A49,All_Data,G$112,0))</f>
        <v>2760.6369851</v>
      </c>
      <c r="H49" s="15" t="n">
        <f aca="false">IF(LEN($A49 )&lt;2,"",VLOOKUP($A49,All_Data,H$112,0))</f>
        <v>980.8307881</v>
      </c>
      <c r="I49" s="15" t="n">
        <f aca="false">IF(LEN($A49 )&lt;2,"",VLOOKUP($A49,All_Data,I$112,0))</f>
        <v>113.1429774</v>
      </c>
      <c r="J49" s="15" t="n">
        <f aca="false">IF(LEN($A49 )&lt;2,"",VLOOKUP($A49,All_Data,J$112,0))</f>
        <v>197.8710518</v>
      </c>
      <c r="K49" s="15" t="n">
        <f aca="false">IF(LEN($A49 )&lt;2,"",VLOOKUP($A49,All_Data,K$112,0))</f>
        <v>26.6066819</v>
      </c>
      <c r="L49" s="15" t="n">
        <f aca="false">IF(LEN($A49 )&lt;2,"",VLOOKUP($A49,All_Data,L$112,0))</f>
        <v>23.248557</v>
      </c>
      <c r="M49" s="15" t="n">
        <f aca="false">IF(LEN($A49 )&lt;2,"",VLOOKUP($A49,All_Data,M$112,0))</f>
        <v>11.3659612</v>
      </c>
      <c r="N49" s="87" t="n">
        <f aca="false">SUM(D49:M49)</f>
        <v>25831.73</v>
      </c>
      <c r="P49" s="53" t="str">
        <f aca="false">IF(LEN($A49)&lt;2,"",A49)</f>
        <v>5.00.34</v>
      </c>
      <c r="Q49" s="54" t="str">
        <f aca="false">IF(LEN($A49 )&lt;2,"",VLOOKUP($A49,All_Data,Q$112,0))</f>
        <v>Nailed It B Fuel</v>
      </c>
      <c r="R49" s="26" t="n">
        <f aca="false">SUM(S49:Z49)</f>
        <v>29957.536105885</v>
      </c>
      <c r="S49" s="14" t="n">
        <f aca="false">IF(LEN($A49 )&lt;2,"",VLOOKUP($A49,All_Data,S$112,0))</f>
        <v>21334.2862058773</v>
      </c>
      <c r="T49" s="15" t="n">
        <f aca="false">IF(LEN($A49 )&lt;2,"",VLOOKUP($A49,All_Data,T$112,0))</f>
        <v>4884.70486922884</v>
      </c>
      <c r="U49" s="15" t="n">
        <f aca="false">IF(LEN($A49 )&lt;2,"",VLOOKUP($A49,All_Data,U$112,0))</f>
        <v>2467.38808142805</v>
      </c>
      <c r="V49" s="15" t="n">
        <f aca="false">IF(LEN($A49 )&lt;2,"",VLOOKUP($A49,All_Data,V$112,0))</f>
        <v>367.859209654499</v>
      </c>
      <c r="W49" s="15" t="n">
        <f aca="false">IF(LEN($A49 )&lt;2,"",VLOOKUP($A49,All_Data,W$112,0))</f>
        <v>645.397625068987</v>
      </c>
      <c r="X49" s="15" t="n">
        <f aca="false">IF(LEN($A49 )&lt;2,"",VLOOKUP($A49,All_Data,X$112,0))</f>
        <v>106.431610587347</v>
      </c>
      <c r="Y49" s="15" t="n">
        <f aca="false">IF(LEN($A49 )&lt;2,"",VLOOKUP($A49,All_Data,Y$112,0))</f>
        <v>93.1803691886663</v>
      </c>
      <c r="Z49" s="16" t="n">
        <f aca="false">IF(LEN($A49 )&lt;2,"",VLOOKUP($A49,All_Data,Z$112,0))</f>
        <v>58.2881348513351</v>
      </c>
      <c r="AA49" s="25" t="n">
        <f aca="false">IF(N49=0,,R49/N49*1000)</f>
        <v>1159.71853630729</v>
      </c>
      <c r="AB49" s="26" t="n">
        <f aca="false">IF(LEN($A49 )&lt;2,,VLOOKUP($A49,All_Data,AB$112,0))</f>
        <v>29964.8</v>
      </c>
      <c r="AC49" s="27" t="n">
        <f aca="false">IF(AB49=0,,R49/AB49)</f>
        <v>0.999757585763463</v>
      </c>
    </row>
    <row r="50" customFormat="false" ht="15" hidden="false" customHeight="false" outlineLevel="0" collapsed="false">
      <c r="A50" s="53" t="s">
        <v>128</v>
      </c>
      <c r="B50" s="54" t="str">
        <f aca="false">IF(LEN($A50 )&lt;2,"",VLOOKUP($A50,All_Data,B$112,0))</f>
        <v>University Compressor Fuel</v>
      </c>
      <c r="C50" s="86" t="n">
        <f aca="false">IF(LEN($A50 )&lt;2,"",VLOOKUP($A50,All_Data,C$112,0))</f>
        <v>4752.29</v>
      </c>
      <c r="D50" s="14" t="n">
        <f aca="false">IF(LEN($A50 )&lt;2,"",VLOOKUP($A50,All_Data,D$112,0))</f>
        <v>12.7361372</v>
      </c>
      <c r="E50" s="15" t="n">
        <f aca="false">IF(LEN($A50 )&lt;2,"",VLOOKUP($A50,All_Data,E$112,0))</f>
        <v>67.2924264</v>
      </c>
      <c r="F50" s="15" t="n">
        <f aca="false">IF(LEN($A50 )&lt;2,"",VLOOKUP($A50,All_Data,F$112,0))</f>
        <v>3410.5284414</v>
      </c>
      <c r="G50" s="15" t="n">
        <f aca="false">IF(LEN($A50 )&lt;2,"",VLOOKUP($A50,All_Data,G$112,0))</f>
        <v>611.5246772</v>
      </c>
      <c r="H50" s="15" t="n">
        <f aca="false">IF(LEN($A50 )&lt;2,"",VLOOKUP($A50,All_Data,H$112,0))</f>
        <v>411.7859285</v>
      </c>
      <c r="I50" s="15" t="n">
        <f aca="false">IF(LEN($A50 )&lt;2,"",VLOOKUP($A50,All_Data,I$112,0))</f>
        <v>45.146755</v>
      </c>
      <c r="J50" s="15" t="n">
        <f aca="false">IF(LEN($A50 )&lt;2,"",VLOOKUP($A50,All_Data,J$112,0))</f>
        <v>133.539349</v>
      </c>
      <c r="K50" s="15" t="n">
        <f aca="false">IF(LEN($A50 )&lt;2,"",VLOOKUP($A50,All_Data,K$112,0))</f>
        <v>22.2882401</v>
      </c>
      <c r="L50" s="15" t="n">
        <f aca="false">IF(LEN($A50 )&lt;2,"",VLOOKUP($A50,All_Data,L$112,0))</f>
        <v>24.3792477</v>
      </c>
      <c r="M50" s="15" t="n">
        <f aca="false">IF(LEN($A50 )&lt;2,"",VLOOKUP($A50,All_Data,M$112,0))</f>
        <v>13.0687975</v>
      </c>
      <c r="N50" s="87" t="n">
        <f aca="false">SUM(D50:M50)</f>
        <v>4752.29</v>
      </c>
      <c r="P50" s="53" t="str">
        <f aca="false">IF(LEN($A50)&lt;2,"",A50)</f>
        <v>5.00.8</v>
      </c>
      <c r="Q50" s="54" t="str">
        <f aca="false">IF(LEN($A50 )&lt;2,"",VLOOKUP($A50,All_Data,Q$112,0))</f>
        <v>University Compressor Fuel</v>
      </c>
      <c r="R50" s="26" t="n">
        <f aca="false">SUM(S50:Z50)</f>
        <v>6406.53028567504</v>
      </c>
      <c r="S50" s="14" t="n">
        <f aca="false">IF(LEN($A50 )&lt;2,"",VLOOKUP($A50,All_Data,S$112,0))</f>
        <v>3448.43590511216</v>
      </c>
      <c r="T50" s="15" t="n">
        <f aca="false">IF(LEN($A50 )&lt;2,"",VLOOKUP($A50,All_Data,T$112,0))</f>
        <v>1083.47546339939</v>
      </c>
      <c r="U50" s="15" t="n">
        <f aca="false">IF(LEN($A50 )&lt;2,"",VLOOKUP($A50,All_Data,U$112,0))</f>
        <v>1037.26790742243</v>
      </c>
      <c r="V50" s="15" t="n">
        <f aca="false">IF(LEN($A50 )&lt;2,"",VLOOKUP($A50,All_Data,V$112,0))</f>
        <v>146.979456452276</v>
      </c>
      <c r="W50" s="15" t="n">
        <f aca="false">IF(LEN($A50 )&lt;2,"",VLOOKUP($A50,All_Data,W$112,0))</f>
        <v>436.144521903854</v>
      </c>
      <c r="X50" s="15" t="n">
        <f aca="false">IF(LEN($A50 )&lt;2,"",VLOOKUP($A50,All_Data,X$112,0))</f>
        <v>89.2753910049104</v>
      </c>
      <c r="Y50" s="15" t="n">
        <f aca="false">IF(LEN($A50 )&lt;2,"",VLOOKUP($A50,All_Data,Y$112,0))</f>
        <v>97.8418805232676</v>
      </c>
      <c r="Z50" s="16" t="n">
        <f aca="false">IF(LEN($A50 )&lt;2,"",VLOOKUP($A50,All_Data,Z$112,0))</f>
        <v>67.1097598567481</v>
      </c>
      <c r="AA50" s="25" t="n">
        <f aca="false">IF(N50=0,,R50/N50*1000)</f>
        <v>1348.09329516403</v>
      </c>
      <c r="AB50" s="26" t="n">
        <f aca="false">IF(LEN($A50 )&lt;2,,VLOOKUP($A50,All_Data,AB$112,0))</f>
        <v>6406.08</v>
      </c>
      <c r="AC50" s="27" t="n">
        <f aca="false">IF(AB50=0,,R50/AB50)</f>
        <v>1.00007029036088</v>
      </c>
    </row>
    <row r="51" customFormat="false" ht="15" hidden="false" customHeight="false" outlineLevel="0" collapsed="false">
      <c r="A51" s="53" t="s">
        <v>129</v>
      </c>
      <c r="B51" s="54" t="str">
        <f aca="false">IF(LEN($A51 )&lt;2,"",VLOOKUP($A51,All_Data,B$112,0))</f>
        <v>Lowe Compressor Fuel</v>
      </c>
      <c r="C51" s="86" t="n">
        <f aca="false">IF(LEN($A51 )&lt;2,"",VLOOKUP($A51,All_Data,C$112,0))</f>
        <v>28805.14</v>
      </c>
      <c r="D51" s="14" t="n">
        <f aca="false">IF(LEN($A51 )&lt;2,"",VLOOKUP($A51,All_Data,D$112,0))</f>
        <v>36.006425</v>
      </c>
      <c r="E51" s="15" t="n">
        <f aca="false">IF(LEN($A51 )&lt;2,"",VLOOKUP($A51,All_Data,E$112,0))</f>
        <v>171.1025316</v>
      </c>
      <c r="F51" s="15" t="n">
        <f aca="false">IF(LEN($A51 )&lt;2,"",VLOOKUP($A51,All_Data,F$112,0))</f>
        <v>23248.0523912</v>
      </c>
      <c r="G51" s="15" t="n">
        <f aca="false">IF(LEN($A51 )&lt;2,"",VLOOKUP($A51,All_Data,G$112,0))</f>
        <v>3081.8619286</v>
      </c>
      <c r="H51" s="15" t="n">
        <f aca="false">IF(LEN($A51 )&lt;2,"",VLOOKUP($A51,All_Data,H$112,0))</f>
        <v>1216.4410622</v>
      </c>
      <c r="I51" s="15" t="n">
        <f aca="false">IF(LEN($A51 )&lt;2,"",VLOOKUP($A51,All_Data,I$112,0))</f>
        <v>209.7014192</v>
      </c>
      <c r="J51" s="15" t="n">
        <f aca="false">IF(LEN($A51 )&lt;2,"",VLOOKUP($A51,All_Data,J$112,0))</f>
        <v>397.7989834</v>
      </c>
      <c r="K51" s="15" t="n">
        <f aca="false">IF(LEN($A51 )&lt;2,"",VLOOKUP($A51,All_Data,K$112,0))</f>
        <v>111.4758918</v>
      </c>
      <c r="L51" s="15" t="n">
        <f aca="false">IF(LEN($A51 )&lt;2,"",VLOOKUP($A51,All_Data,L$112,0))</f>
        <v>119.8293824</v>
      </c>
      <c r="M51" s="15" t="n">
        <f aca="false">IF(LEN($A51 )&lt;2,"",VLOOKUP($A51,All_Data,M$112,0))</f>
        <v>212.8699846</v>
      </c>
      <c r="N51" s="87" t="n">
        <f aca="false">SUM(D51:M51)</f>
        <v>28805.14</v>
      </c>
      <c r="P51" s="53" t="str">
        <f aca="false">IF(LEN($A51)&lt;2,"",A51)</f>
        <v>5.00.2</v>
      </c>
      <c r="Q51" s="54" t="str">
        <f aca="false">IF(LEN($A51 )&lt;2,"",VLOOKUP($A51,All_Data,Q$112,0))</f>
        <v>Lowe Compressor Fuel</v>
      </c>
      <c r="R51" s="26" t="n">
        <f aca="false">SUM(S51:Z51)</f>
        <v>36006.4879485451</v>
      </c>
      <c r="S51" s="14" t="n">
        <f aca="false">IF(LEN($A51 )&lt;2,"",VLOOKUP($A51,All_Data,S$112,0))</f>
        <v>23488.8964417592</v>
      </c>
      <c r="T51" s="15" t="n">
        <f aca="false">IF(LEN($A51 )&lt;2,"",VLOOKUP($A51,All_Data,T$112,0))</f>
        <v>5456.24453727292</v>
      </c>
      <c r="U51" s="15" t="n">
        <f aca="false">IF(LEN($A51 )&lt;2,"",VLOOKUP($A51,All_Data,U$112,0))</f>
        <v>3061.86519395714</v>
      </c>
      <c r="V51" s="15" t="n">
        <f aca="false">IF(LEN($A51 )&lt;2,"",VLOOKUP($A51,All_Data,V$112,0))</f>
        <v>682.192626952682</v>
      </c>
      <c r="W51" s="15" t="n">
        <f aca="false">IF(LEN($A51 )&lt;2,"",VLOOKUP($A51,All_Data,W$112,0))</f>
        <v>1298.25615712664</v>
      </c>
      <c r="X51" s="15" t="n">
        <f aca="false">IF(LEN($A51 )&lt;2,"",VLOOKUP($A51,All_Data,X$112,0))</f>
        <v>446.182459965313</v>
      </c>
      <c r="Y51" s="15" t="n">
        <f aca="false">IF(LEN($A51 )&lt;2,"",VLOOKUP($A51,All_Data,Y$112,0))</f>
        <v>480.555295207243</v>
      </c>
      <c r="Z51" s="16" t="n">
        <f aca="false">IF(LEN($A51 )&lt;2,"",VLOOKUP($A51,All_Data,Z$112,0))</f>
        <v>1092.29523630398</v>
      </c>
      <c r="AA51" s="25" t="n">
        <f aca="false">IF(N51=0,,R51/N51*1000)</f>
        <v>1250.00218532335</v>
      </c>
      <c r="AB51" s="26" t="n">
        <f aca="false">IF(LEN($A51 )&lt;2,,VLOOKUP($A51,All_Data,AB$112,0))</f>
        <v>36006.43</v>
      </c>
      <c r="AC51" s="27" t="n">
        <f aca="false">IF(AB51=0,,R51/AB51)</f>
        <v>1.00000160939435</v>
      </c>
    </row>
    <row r="52" customFormat="false" ht="15" hidden="false" customHeight="false" outlineLevel="0" collapsed="false">
      <c r="A52" s="104" t="s">
        <v>130</v>
      </c>
      <c r="B52" s="54" t="str">
        <f aca="false">IF(LEN($A52 )&lt;2,"",VLOOKUP($A52,All_Data,B$112,0))</f>
        <v>Tribute Compressor Station Fuel</v>
      </c>
      <c r="C52" s="86" t="n">
        <f aca="false">IF(LEN($A52 )&lt;2,"",VLOOKUP($A52,All_Data,C$112,0))</f>
        <v>31266.74</v>
      </c>
      <c r="D52" s="14" t="n">
        <f aca="false">IF(LEN($A52 )&lt;2,"",VLOOKUP($A52,All_Data,D$112,0))</f>
        <v>49.0887818</v>
      </c>
      <c r="E52" s="15" t="n">
        <f aca="false">IF(LEN($A52 )&lt;2,"",VLOOKUP($A52,All_Data,E$112,0))</f>
        <v>277.0233164</v>
      </c>
      <c r="F52" s="15" t="n">
        <f aca="false">IF(LEN($A52 )&lt;2,"",VLOOKUP($A52,All_Data,F$112,0))</f>
        <v>24404.3159048</v>
      </c>
      <c r="G52" s="15" t="n">
        <f aca="false">IF(LEN($A52 )&lt;2,"",VLOOKUP($A52,All_Data,G$112,0))</f>
        <v>3761.7014894</v>
      </c>
      <c r="H52" s="15" t="n">
        <f aca="false">IF(LEN($A52 )&lt;2,"",VLOOKUP($A52,All_Data,H$112,0))</f>
        <v>1703.0993278</v>
      </c>
      <c r="I52" s="15" t="n">
        <f aca="false">IF(LEN($A52 )&lt;2,"",VLOOKUP($A52,All_Data,I$112,0))</f>
        <v>247.3199134</v>
      </c>
      <c r="J52" s="15" t="n">
        <f aca="false">IF(LEN($A52 )&lt;2,"",VLOOKUP($A52,All_Data,J$112,0))</f>
        <v>532.7852496</v>
      </c>
      <c r="K52" s="15" t="n">
        <f aca="false">IF(LEN($A52 )&lt;2,"",VLOOKUP($A52,All_Data,K$112,0))</f>
        <v>109.43359</v>
      </c>
      <c r="L52" s="15" t="n">
        <f aca="false">IF(LEN($A52 )&lt;2,"",VLOOKUP($A52,All_Data,L$112,0))</f>
        <v>111.3095944</v>
      </c>
      <c r="M52" s="15" t="n">
        <f aca="false">IF(LEN($A52 )&lt;2,"",VLOOKUP($A52,All_Data,M$112,0))</f>
        <v>70.6628324</v>
      </c>
      <c r="N52" s="87" t="n">
        <f aca="false">SUM(D52:M52)</f>
        <v>31266.74</v>
      </c>
      <c r="P52" s="53" t="str">
        <f aca="false">IF(LEN($A52)&lt;2,"",A52)</f>
        <v>5.00.36</v>
      </c>
      <c r="Q52" s="54" t="str">
        <f aca="false">IF(LEN($A52 )&lt;2,"",VLOOKUP($A52,All_Data,Q$112,0))</f>
        <v>Tribute Compressor Station Fuel</v>
      </c>
      <c r="R52" s="26" t="n">
        <f aca="false">SUM(S52:Z52)</f>
        <v>39396.5445452525</v>
      </c>
      <c r="S52" s="14" t="n">
        <f aca="false">IF(LEN($A52 )&lt;2,"",VLOOKUP($A52,All_Data,S$112,0))</f>
        <v>24658.624975151</v>
      </c>
      <c r="T52" s="15" t="n">
        <f aca="false">IF(LEN($A52 )&lt;2,"",VLOOKUP($A52,All_Data,T$112,0))</f>
        <v>6660.2596031396</v>
      </c>
      <c r="U52" s="15" t="n">
        <f aca="false">IF(LEN($A52 )&lt;2,"",VLOOKUP($A52,All_Data,U$112,0))</f>
        <v>4287.07569426638</v>
      </c>
      <c r="V52" s="15" t="n">
        <f aca="false">IF(LEN($A52 )&lt;2,"",VLOOKUP($A52,All_Data,V$112,0))</f>
        <v>804.620174118207</v>
      </c>
      <c r="W52" s="15" t="n">
        <f aca="false">IF(LEN($A52 )&lt;2,"",VLOOKUP($A52,All_Data,W$112,0))</f>
        <v>1738.90195082191</v>
      </c>
      <c r="X52" s="15" t="n">
        <f aca="false">IF(LEN($A52 )&lt;2,"",VLOOKUP($A52,All_Data,X$112,0))</f>
        <v>438.034547924169</v>
      </c>
      <c r="Y52" s="15" t="n">
        <f aca="false">IF(LEN($A52 )&lt;2,"",VLOOKUP($A52,All_Data,Y$112,0))</f>
        <v>446.415048718128</v>
      </c>
      <c r="Z52" s="16" t="n">
        <f aca="false">IF(LEN($A52 )&lt;2,"",VLOOKUP($A52,All_Data,Z$112,0))</f>
        <v>362.612551113059</v>
      </c>
      <c r="AA52" s="25" t="n">
        <f aca="false">IF(N52=0,,R52/N52*1000)</f>
        <v>1260.01446090166</v>
      </c>
      <c r="AB52" s="26" t="n">
        <f aca="false">IF(LEN($A52 )&lt;2,,VLOOKUP($A52,All_Data,AB$112,0))</f>
        <v>39396.09</v>
      </c>
      <c r="AC52" s="27" t="n">
        <f aca="false">IF(AB52=0,,R52/AB52)</f>
        <v>1.00001153782653</v>
      </c>
    </row>
    <row r="53" customFormat="false" ht="15" hidden="false" customHeight="false" outlineLevel="0" collapsed="false">
      <c r="A53" s="53"/>
      <c r="B53" s="54" t="str">
        <f aca="false">IF(LEN($A53 )&lt;2,"",VLOOKUP($A53,All_Data,B$112,0))</f>
        <v/>
      </c>
      <c r="C53" s="26" t="str">
        <f aca="false">IF(LEN($A53 )&lt;2,"",VLOOKUP($A53,All_Data,C$112,0))</f>
        <v/>
      </c>
      <c r="D53" s="14" t="str">
        <f aca="false">IF(LEN($A53 )&lt;2,"",VLOOKUP($A53,All_Data,D$112,0))</f>
        <v/>
      </c>
      <c r="E53" s="15" t="str">
        <f aca="false">IF(LEN($A53 )&lt;2,"",VLOOKUP($A53,All_Data,E$112,0))</f>
        <v/>
      </c>
      <c r="F53" s="15" t="str">
        <f aca="false">IF(LEN($A53 )&lt;2,"",VLOOKUP($A53,All_Data,F$112,0))</f>
        <v/>
      </c>
      <c r="G53" s="15" t="str">
        <f aca="false">IF(LEN($A53 )&lt;2,"",VLOOKUP($A53,All_Data,G$112,0))</f>
        <v/>
      </c>
      <c r="H53" s="15" t="str">
        <f aca="false">IF(LEN($A53 )&lt;2,"",VLOOKUP($A53,All_Data,H$112,0))</f>
        <v/>
      </c>
      <c r="I53" s="15" t="str">
        <f aca="false">IF(LEN($A53 )&lt;2,"",VLOOKUP($A53,All_Data,I$112,0))</f>
        <v/>
      </c>
      <c r="J53" s="15" t="str">
        <f aca="false">IF(LEN($A53 )&lt;2,"",VLOOKUP($A53,All_Data,J$112,0))</f>
        <v/>
      </c>
      <c r="K53" s="15" t="str">
        <f aca="false">IF(LEN($A53 )&lt;2,"",VLOOKUP($A53,All_Data,K$112,0))</f>
        <v/>
      </c>
      <c r="L53" s="15" t="str">
        <f aca="false">IF(LEN($A53 )&lt;2,"",VLOOKUP($A53,All_Data,L$112,0))</f>
        <v/>
      </c>
      <c r="M53" s="15" t="str">
        <f aca="false">IF(LEN($A53 )&lt;2,"",VLOOKUP($A53,All_Data,M$112,0))</f>
        <v/>
      </c>
      <c r="N53" s="87" t="n">
        <f aca="false">SUM(D53:M53)</f>
        <v>0</v>
      </c>
      <c r="P53" s="53" t="str">
        <f aca="false">IF(LEN($A53)&lt;2,"",A53)</f>
        <v/>
      </c>
      <c r="Q53" s="54" t="str">
        <f aca="false">IF(LEN($A53 )&lt;2,"",VLOOKUP($A53,All_Data,Q$112,0))</f>
        <v/>
      </c>
      <c r="R53" s="26" t="n">
        <f aca="false">SUM(S53:Z53)</f>
        <v>0</v>
      </c>
      <c r="S53" s="14" t="str">
        <f aca="false">IF(LEN($A53 )&lt;2,"",VLOOKUP($A53,All_Data,S$112,0))</f>
        <v/>
      </c>
      <c r="T53" s="15" t="str">
        <f aca="false">IF(LEN($A53 )&lt;2,"",VLOOKUP($A53,All_Data,T$112,0))</f>
        <v/>
      </c>
      <c r="U53" s="15" t="str">
        <f aca="false">IF(LEN($A53 )&lt;2,"",VLOOKUP($A53,All_Data,U$112,0))</f>
        <v/>
      </c>
      <c r="V53" s="15" t="str">
        <f aca="false">IF(LEN($A53 )&lt;2,"",VLOOKUP($A53,All_Data,V$112,0))</f>
        <v/>
      </c>
      <c r="W53" s="15" t="str">
        <f aca="false">IF(LEN($A53 )&lt;2,"",VLOOKUP($A53,All_Data,W$112,0))</f>
        <v/>
      </c>
      <c r="X53" s="15" t="str">
        <f aca="false">IF(LEN($A53 )&lt;2,"",VLOOKUP($A53,All_Data,X$112,0))</f>
        <v/>
      </c>
      <c r="Y53" s="15" t="str">
        <f aca="false">IF(LEN($A53 )&lt;2,"",VLOOKUP($A53,All_Data,Y$112,0))</f>
        <v/>
      </c>
      <c r="Z53" s="16" t="str">
        <f aca="false">IF(LEN($A53 )&lt;2,"",VLOOKUP($A53,All_Data,Z$112,0))</f>
        <v/>
      </c>
      <c r="AA53" s="25" t="n">
        <f aca="false">IF(N53=0,,R53/N53*1000)</f>
        <v>0</v>
      </c>
      <c r="AB53" s="26" t="n">
        <f aca="false">IF(LEN($A53 )&lt;2,,VLOOKUP($A53,All_Data,AB$112,0))</f>
        <v>0</v>
      </c>
      <c r="AC53" s="27" t="n">
        <f aca="false">IF(AB53=0,,R53/AB53)</f>
        <v>0</v>
      </c>
    </row>
    <row r="54" customFormat="false" ht="15" hidden="false" customHeight="false" outlineLevel="0" collapsed="false">
      <c r="A54" s="53"/>
      <c r="B54" s="54" t="str">
        <f aca="false">IF(LEN($A54 )&lt;2,"",VLOOKUP($A54,All_Data,B$112,0))</f>
        <v/>
      </c>
      <c r="C54" s="26" t="str">
        <f aca="false">IF(LEN($A54 )&lt;2,"",VLOOKUP($A54,All_Data,C$112,0))</f>
        <v/>
      </c>
      <c r="D54" s="14" t="str">
        <f aca="false">IF(LEN($A54 )&lt;2,"",VLOOKUP($A54,All_Data,D$112,0))</f>
        <v/>
      </c>
      <c r="E54" s="15" t="str">
        <f aca="false">IF(LEN($A54 )&lt;2,"",VLOOKUP($A54,All_Data,E$112,0))</f>
        <v/>
      </c>
      <c r="F54" s="15" t="str">
        <f aca="false">IF(LEN($A54 )&lt;2,"",VLOOKUP($A54,All_Data,F$112,0))</f>
        <v/>
      </c>
      <c r="G54" s="15" t="str">
        <f aca="false">IF(LEN($A54 )&lt;2,"",VLOOKUP($A54,All_Data,G$112,0))</f>
        <v/>
      </c>
      <c r="H54" s="15" t="str">
        <f aca="false">IF(LEN($A54 )&lt;2,"",VLOOKUP($A54,All_Data,H$112,0))</f>
        <v/>
      </c>
      <c r="I54" s="15" t="str">
        <f aca="false">IF(LEN($A54 )&lt;2,"",VLOOKUP($A54,All_Data,I$112,0))</f>
        <v/>
      </c>
      <c r="J54" s="15" t="str">
        <f aca="false">IF(LEN($A54 )&lt;2,"",VLOOKUP($A54,All_Data,J$112,0))</f>
        <v/>
      </c>
      <c r="K54" s="15" t="str">
        <f aca="false">IF(LEN($A54 )&lt;2,"",VLOOKUP($A54,All_Data,K$112,0))</f>
        <v/>
      </c>
      <c r="L54" s="15" t="str">
        <f aca="false">IF(LEN($A54 )&lt;2,"",VLOOKUP($A54,All_Data,L$112,0))</f>
        <v/>
      </c>
      <c r="M54" s="15" t="str">
        <f aca="false">IF(LEN($A54 )&lt;2,"",VLOOKUP($A54,All_Data,M$112,0))</f>
        <v/>
      </c>
      <c r="N54" s="87" t="n">
        <f aca="false">SUM(D54:M54)</f>
        <v>0</v>
      </c>
      <c r="P54" s="53" t="str">
        <f aca="false">IF(LEN($A54)&lt;2,"",A54)</f>
        <v/>
      </c>
      <c r="Q54" s="54" t="str">
        <f aca="false">IF(LEN($A54 )&lt;2,"",VLOOKUP($A54,All_Data,Q$112,0))</f>
        <v/>
      </c>
      <c r="R54" s="26" t="n">
        <f aca="false">SUM(S54:Z54)</f>
        <v>0</v>
      </c>
      <c r="S54" s="14" t="str">
        <f aca="false">IF(LEN($A54 )&lt;2,"",VLOOKUP($A54,All_Data,S$112,0))</f>
        <v/>
      </c>
      <c r="T54" s="15" t="str">
        <f aca="false">IF(LEN($A54 )&lt;2,"",VLOOKUP($A54,All_Data,T$112,0))</f>
        <v/>
      </c>
      <c r="U54" s="15" t="str">
        <f aca="false">IF(LEN($A54 )&lt;2,"",VLOOKUP($A54,All_Data,U$112,0))</f>
        <v/>
      </c>
      <c r="V54" s="15" t="str">
        <f aca="false">IF(LEN($A54 )&lt;2,"",VLOOKUP($A54,All_Data,V$112,0))</f>
        <v/>
      </c>
      <c r="W54" s="15" t="str">
        <f aca="false">IF(LEN($A54 )&lt;2,"",VLOOKUP($A54,All_Data,W$112,0))</f>
        <v/>
      </c>
      <c r="X54" s="15" t="str">
        <f aca="false">IF(LEN($A54 )&lt;2,"",VLOOKUP($A54,All_Data,X$112,0))</f>
        <v/>
      </c>
      <c r="Y54" s="15" t="str">
        <f aca="false">IF(LEN($A54 )&lt;2,"",VLOOKUP($A54,All_Data,Y$112,0))</f>
        <v/>
      </c>
      <c r="Z54" s="16" t="str">
        <f aca="false">IF(LEN($A54 )&lt;2,"",VLOOKUP($A54,All_Data,Z$112,0))</f>
        <v/>
      </c>
      <c r="AA54" s="25" t="n">
        <f aca="false">IF(N54=0,,R54/N54*1000)</f>
        <v>0</v>
      </c>
      <c r="AB54" s="26" t="n">
        <f aca="false">IF(LEN($A54 )&lt;2,,VLOOKUP($A54,All_Data,AB$112,0))</f>
        <v>0</v>
      </c>
      <c r="AC54" s="27" t="n">
        <f aca="false">IF(AB54=0,,R54/AB54)</f>
        <v>0</v>
      </c>
    </row>
    <row r="55" customFormat="false" ht="15" hidden="false" customHeight="false" outlineLevel="0" collapsed="false">
      <c r="A55" s="53"/>
      <c r="B55" s="54" t="str">
        <f aca="false">IF(LEN($A55 )&lt;2,"",VLOOKUP($A55,All_Data,B$112,0))</f>
        <v/>
      </c>
      <c r="C55" s="26" t="str">
        <f aca="false">IF(LEN($A55 )&lt;2,"",VLOOKUP($A55,All_Data,C$112,0))</f>
        <v/>
      </c>
      <c r="D55" s="14" t="str">
        <f aca="false">IF(LEN($A55 )&lt;2,"",VLOOKUP($A55,All_Data,D$112,0))</f>
        <v/>
      </c>
      <c r="E55" s="15" t="str">
        <f aca="false">IF(LEN($A55 )&lt;2,"",VLOOKUP($A55,All_Data,E$112,0))</f>
        <v/>
      </c>
      <c r="F55" s="15" t="str">
        <f aca="false">IF(LEN($A55 )&lt;2,"",VLOOKUP($A55,All_Data,F$112,0))</f>
        <v/>
      </c>
      <c r="G55" s="15" t="str">
        <f aca="false">IF(LEN($A55 )&lt;2,"",VLOOKUP($A55,All_Data,G$112,0))</f>
        <v/>
      </c>
      <c r="H55" s="15" t="str">
        <f aca="false">IF(LEN($A55 )&lt;2,"",VLOOKUP($A55,All_Data,H$112,0))</f>
        <v/>
      </c>
      <c r="I55" s="15" t="str">
        <f aca="false">IF(LEN($A55 )&lt;2,"",VLOOKUP($A55,All_Data,I$112,0))</f>
        <v/>
      </c>
      <c r="J55" s="15" t="str">
        <f aca="false">IF(LEN($A55 )&lt;2,"",VLOOKUP($A55,All_Data,J$112,0))</f>
        <v/>
      </c>
      <c r="K55" s="15" t="str">
        <f aca="false">IF(LEN($A55 )&lt;2,"",VLOOKUP($A55,All_Data,K$112,0))</f>
        <v/>
      </c>
      <c r="L55" s="15" t="str">
        <f aca="false">IF(LEN($A55 )&lt;2,"",VLOOKUP($A55,All_Data,L$112,0))</f>
        <v/>
      </c>
      <c r="M55" s="15" t="str">
        <f aca="false">IF(LEN($A55 )&lt;2,"",VLOOKUP($A55,All_Data,M$112,0))</f>
        <v/>
      </c>
      <c r="N55" s="87" t="n">
        <f aca="false">SUM(D55:M55)</f>
        <v>0</v>
      </c>
      <c r="P55" s="53" t="str">
        <f aca="false">IF(LEN($A55)&lt;2,"",A55)</f>
        <v/>
      </c>
      <c r="Q55" s="54" t="str">
        <f aca="false">IF(LEN($A55 )&lt;2,"",VLOOKUP($A55,All_Data,Q$112,0))</f>
        <v/>
      </c>
      <c r="R55" s="26" t="n">
        <f aca="false">SUM(S55:Z55)</f>
        <v>0</v>
      </c>
      <c r="S55" s="14" t="str">
        <f aca="false">IF(LEN($A55 )&lt;2,"",VLOOKUP($A55,All_Data,S$112,0))</f>
        <v/>
      </c>
      <c r="T55" s="15" t="str">
        <f aca="false">IF(LEN($A55 )&lt;2,"",VLOOKUP($A55,All_Data,T$112,0))</f>
        <v/>
      </c>
      <c r="U55" s="15" t="str">
        <f aca="false">IF(LEN($A55 )&lt;2,"",VLOOKUP($A55,All_Data,U$112,0))</f>
        <v/>
      </c>
      <c r="V55" s="15" t="str">
        <f aca="false">IF(LEN($A55 )&lt;2,"",VLOOKUP($A55,All_Data,V$112,0))</f>
        <v/>
      </c>
      <c r="W55" s="15" t="str">
        <f aca="false">IF(LEN($A55 )&lt;2,"",VLOOKUP($A55,All_Data,W$112,0))</f>
        <v/>
      </c>
      <c r="X55" s="15" t="str">
        <f aca="false">IF(LEN($A55 )&lt;2,"",VLOOKUP($A55,All_Data,X$112,0))</f>
        <v/>
      </c>
      <c r="Y55" s="15" t="str">
        <f aca="false">IF(LEN($A55 )&lt;2,"",VLOOKUP($A55,All_Data,Y$112,0))</f>
        <v/>
      </c>
      <c r="Z55" s="16" t="str">
        <f aca="false">IF(LEN($A55 )&lt;2,"",VLOOKUP($A55,All_Data,Z$112,0))</f>
        <v/>
      </c>
      <c r="AA55" s="25" t="n">
        <f aca="false">IF(N55=0,,R55/N55*1000)</f>
        <v>0</v>
      </c>
      <c r="AB55" s="26" t="n">
        <f aca="false">IF(LEN($A55 )&lt;2,,VLOOKUP($A55,All_Data,AB$112,0))</f>
        <v>0</v>
      </c>
      <c r="AC55" s="27" t="n">
        <f aca="false">IF(AB55=0,,R55/AB55)</f>
        <v>0</v>
      </c>
    </row>
    <row r="56" customFormat="false" ht="15" hidden="false" customHeight="false" outlineLevel="0" collapsed="false">
      <c r="A56" s="53"/>
      <c r="B56" s="54" t="str">
        <f aca="false">IF(LEN($A56 )&lt;2,"",VLOOKUP($A56,All_Data,B$112,0))</f>
        <v/>
      </c>
      <c r="C56" s="26" t="str">
        <f aca="false">IF(LEN($A56 )&lt;2,"",VLOOKUP($A56,All_Data,C$112,0))</f>
        <v/>
      </c>
      <c r="D56" s="14" t="str">
        <f aca="false">IF(LEN($A56 )&lt;2,"",VLOOKUP($A56,All_Data,D$112,0))</f>
        <v/>
      </c>
      <c r="E56" s="15" t="str">
        <f aca="false">IF(LEN($A56 )&lt;2,"",VLOOKUP($A56,All_Data,E$112,0))</f>
        <v/>
      </c>
      <c r="F56" s="15" t="str">
        <f aca="false">IF(LEN($A56 )&lt;2,"",VLOOKUP($A56,All_Data,F$112,0))</f>
        <v/>
      </c>
      <c r="G56" s="15" t="str">
        <f aca="false">IF(LEN($A56 )&lt;2,"",VLOOKUP($A56,All_Data,G$112,0))</f>
        <v/>
      </c>
      <c r="H56" s="15" t="str">
        <f aca="false">IF(LEN($A56 )&lt;2,"",VLOOKUP($A56,All_Data,H$112,0))</f>
        <v/>
      </c>
      <c r="I56" s="15" t="str">
        <f aca="false">IF(LEN($A56 )&lt;2,"",VLOOKUP($A56,All_Data,I$112,0))</f>
        <v/>
      </c>
      <c r="J56" s="15" t="str">
        <f aca="false">IF(LEN($A56 )&lt;2,"",VLOOKUP($A56,All_Data,J$112,0))</f>
        <v/>
      </c>
      <c r="K56" s="15" t="str">
        <f aca="false">IF(LEN($A56 )&lt;2,"",VLOOKUP($A56,All_Data,K$112,0))</f>
        <v/>
      </c>
      <c r="L56" s="15" t="str">
        <f aca="false">IF(LEN($A56 )&lt;2,"",VLOOKUP($A56,All_Data,L$112,0))</f>
        <v/>
      </c>
      <c r="M56" s="15" t="str">
        <f aca="false">IF(LEN($A56 )&lt;2,"",VLOOKUP($A56,All_Data,M$112,0))</f>
        <v/>
      </c>
      <c r="N56" s="87" t="n">
        <f aca="false">SUM(D56:M56)</f>
        <v>0</v>
      </c>
      <c r="P56" s="53" t="str">
        <f aca="false">IF(LEN($A56)&lt;2,"",A56)</f>
        <v/>
      </c>
      <c r="Q56" s="54" t="str">
        <f aca="false">IF(LEN($A56 )&lt;2,"",VLOOKUP($A56,All_Data,Q$112,0))</f>
        <v/>
      </c>
      <c r="R56" s="26" t="n">
        <f aca="false">SUM(S56:Z56)</f>
        <v>0</v>
      </c>
      <c r="S56" s="14" t="str">
        <f aca="false">IF(LEN($A56 )&lt;2,"",VLOOKUP($A56,All_Data,S$112,0))</f>
        <v/>
      </c>
      <c r="T56" s="15" t="str">
        <f aca="false">IF(LEN($A56 )&lt;2,"",VLOOKUP($A56,All_Data,T$112,0))</f>
        <v/>
      </c>
      <c r="U56" s="15" t="str">
        <f aca="false">IF(LEN($A56 )&lt;2,"",VLOOKUP($A56,All_Data,U$112,0))</f>
        <v/>
      </c>
      <c r="V56" s="15" t="str">
        <f aca="false">IF(LEN($A56 )&lt;2,"",VLOOKUP($A56,All_Data,V$112,0))</f>
        <v/>
      </c>
      <c r="W56" s="15" t="str">
        <f aca="false">IF(LEN($A56 )&lt;2,"",VLOOKUP($A56,All_Data,W$112,0))</f>
        <v/>
      </c>
      <c r="X56" s="15" t="str">
        <f aca="false">IF(LEN($A56 )&lt;2,"",VLOOKUP($A56,All_Data,X$112,0))</f>
        <v/>
      </c>
      <c r="Y56" s="15" t="str">
        <f aca="false">IF(LEN($A56 )&lt;2,"",VLOOKUP($A56,All_Data,Y$112,0))</f>
        <v/>
      </c>
      <c r="Z56" s="16" t="str">
        <f aca="false">IF(LEN($A56 )&lt;2,"",VLOOKUP($A56,All_Data,Z$112,0))</f>
        <v/>
      </c>
      <c r="AA56" s="25" t="n">
        <f aca="false">IF(N56=0,,R56/N56*1000)</f>
        <v>0</v>
      </c>
      <c r="AB56" s="26" t="n">
        <f aca="false">IF(LEN($A56 )&lt;2,,VLOOKUP($A56,All_Data,AB$112,0))</f>
        <v>0</v>
      </c>
      <c r="AC56" s="27" t="n">
        <f aca="false">IF(AB56=0,,R56/AB56)</f>
        <v>0</v>
      </c>
    </row>
    <row r="57" customFormat="false" ht="15" hidden="false" customHeight="false" outlineLevel="0" collapsed="false">
      <c r="A57" s="53"/>
      <c r="B57" s="54" t="str">
        <f aca="false">IF(LEN($A57 )&lt;2,"",VLOOKUP($A57,All_Data,B$112,0))</f>
        <v/>
      </c>
      <c r="C57" s="26" t="str">
        <f aca="false">IF(LEN($A57 )&lt;2,"",VLOOKUP($A57,All_Data,C$112,0))</f>
        <v/>
      </c>
      <c r="D57" s="14" t="str">
        <f aca="false">IF(LEN($A57 )&lt;2,"",VLOOKUP($A57,All_Data,D$112,0))</f>
        <v/>
      </c>
      <c r="E57" s="15" t="str">
        <f aca="false">IF(LEN($A57 )&lt;2,"",VLOOKUP($A57,All_Data,E$112,0))</f>
        <v/>
      </c>
      <c r="F57" s="15" t="str">
        <f aca="false">IF(LEN($A57 )&lt;2,"",VLOOKUP($A57,All_Data,F$112,0))</f>
        <v/>
      </c>
      <c r="G57" s="15" t="str">
        <f aca="false">IF(LEN($A57 )&lt;2,"",VLOOKUP($A57,All_Data,G$112,0))</f>
        <v/>
      </c>
      <c r="H57" s="15" t="str">
        <f aca="false">IF(LEN($A57 )&lt;2,"",VLOOKUP($A57,All_Data,H$112,0))</f>
        <v/>
      </c>
      <c r="I57" s="15" t="str">
        <f aca="false">IF(LEN($A57 )&lt;2,"",VLOOKUP($A57,All_Data,I$112,0))</f>
        <v/>
      </c>
      <c r="J57" s="15" t="str">
        <f aca="false">IF(LEN($A57 )&lt;2,"",VLOOKUP($A57,All_Data,J$112,0))</f>
        <v/>
      </c>
      <c r="K57" s="15" t="str">
        <f aca="false">IF(LEN($A57 )&lt;2,"",VLOOKUP($A57,All_Data,K$112,0))</f>
        <v/>
      </c>
      <c r="L57" s="15" t="str">
        <f aca="false">IF(LEN($A57 )&lt;2,"",VLOOKUP($A57,All_Data,L$112,0))</f>
        <v/>
      </c>
      <c r="M57" s="15" t="str">
        <f aca="false">IF(LEN($A57 )&lt;2,"",VLOOKUP($A57,All_Data,M$112,0))</f>
        <v/>
      </c>
      <c r="N57" s="87" t="n">
        <f aca="false">SUM(D57:M57)</f>
        <v>0</v>
      </c>
      <c r="P57" s="53" t="str">
        <f aca="false">IF(LEN($A57)&lt;2,"",A57)</f>
        <v/>
      </c>
      <c r="Q57" s="54" t="str">
        <f aca="false">IF(LEN($A57 )&lt;2,"",VLOOKUP($A57,All_Data,Q$112,0))</f>
        <v/>
      </c>
      <c r="R57" s="26" t="n">
        <f aca="false">SUM(S57:Z57)</f>
        <v>0</v>
      </c>
      <c r="S57" s="14" t="str">
        <f aca="false">IF(LEN($A57 )&lt;2,"",VLOOKUP($A57,All_Data,S$112,0))</f>
        <v/>
      </c>
      <c r="T57" s="15" t="str">
        <f aca="false">IF(LEN($A57 )&lt;2,"",VLOOKUP($A57,All_Data,T$112,0))</f>
        <v/>
      </c>
      <c r="U57" s="15" t="str">
        <f aca="false">IF(LEN($A57 )&lt;2,"",VLOOKUP($A57,All_Data,U$112,0))</f>
        <v/>
      </c>
      <c r="V57" s="15" t="str">
        <f aca="false">IF(LEN($A57 )&lt;2,"",VLOOKUP($A57,All_Data,V$112,0))</f>
        <v/>
      </c>
      <c r="W57" s="15" t="str">
        <f aca="false">IF(LEN($A57 )&lt;2,"",VLOOKUP($A57,All_Data,W$112,0))</f>
        <v/>
      </c>
      <c r="X57" s="15" t="str">
        <f aca="false">IF(LEN($A57 )&lt;2,"",VLOOKUP($A57,All_Data,X$112,0))</f>
        <v/>
      </c>
      <c r="Y57" s="15" t="str">
        <f aca="false">IF(LEN($A57 )&lt;2,"",VLOOKUP($A57,All_Data,Y$112,0))</f>
        <v/>
      </c>
      <c r="Z57" s="16" t="str">
        <f aca="false">IF(LEN($A57 )&lt;2,"",VLOOKUP($A57,All_Data,Z$112,0))</f>
        <v/>
      </c>
      <c r="AA57" s="25" t="n">
        <f aca="false">IF(N57=0,,R57/N57*1000)</f>
        <v>0</v>
      </c>
      <c r="AB57" s="26" t="n">
        <f aca="false">IF(LEN($A57 )&lt;2,,VLOOKUP($A57,All_Data,AB$112,0))</f>
        <v>0</v>
      </c>
      <c r="AC57" s="27" t="n">
        <f aca="false">IF(AB57=0,,R57/AB57)</f>
        <v>0</v>
      </c>
    </row>
    <row r="58" customFormat="false" ht="15" hidden="false" customHeight="false" outlineLevel="0" collapsed="false">
      <c r="A58" s="53"/>
      <c r="B58" s="54" t="str">
        <f aca="false">IF(LEN($A58 )&lt;2,"",VLOOKUP($A58,All_Data,B$112,0))</f>
        <v/>
      </c>
      <c r="C58" s="26" t="str">
        <f aca="false">IF(LEN($A58 )&lt;2,"",VLOOKUP($A58,All_Data,C$112,0))</f>
        <v/>
      </c>
      <c r="D58" s="14" t="str">
        <f aca="false">IF(LEN($A58 )&lt;2,"",VLOOKUP($A58,All_Data,D$112,0))</f>
        <v/>
      </c>
      <c r="E58" s="15" t="str">
        <f aca="false">IF(LEN($A58 )&lt;2,"",VLOOKUP($A58,All_Data,E$112,0))</f>
        <v/>
      </c>
      <c r="F58" s="15" t="str">
        <f aca="false">IF(LEN($A58 )&lt;2,"",VLOOKUP($A58,All_Data,F$112,0))</f>
        <v/>
      </c>
      <c r="G58" s="15" t="str">
        <f aca="false">IF(LEN($A58 )&lt;2,"",VLOOKUP($A58,All_Data,G$112,0))</f>
        <v/>
      </c>
      <c r="H58" s="15" t="str">
        <f aca="false">IF(LEN($A58 )&lt;2,"",VLOOKUP($A58,All_Data,H$112,0))</f>
        <v/>
      </c>
      <c r="I58" s="15" t="str">
        <f aca="false">IF(LEN($A58 )&lt;2,"",VLOOKUP($A58,All_Data,I$112,0))</f>
        <v/>
      </c>
      <c r="J58" s="15" t="str">
        <f aca="false">IF(LEN($A58 )&lt;2,"",VLOOKUP($A58,All_Data,J$112,0))</f>
        <v/>
      </c>
      <c r="K58" s="15" t="str">
        <f aca="false">IF(LEN($A58 )&lt;2,"",VLOOKUP($A58,All_Data,K$112,0))</f>
        <v/>
      </c>
      <c r="L58" s="15" t="str">
        <f aca="false">IF(LEN($A58 )&lt;2,"",VLOOKUP($A58,All_Data,L$112,0))</f>
        <v/>
      </c>
      <c r="M58" s="15" t="str">
        <f aca="false">IF(LEN($A58 )&lt;2,"",VLOOKUP($A58,All_Data,M$112,0))</f>
        <v/>
      </c>
      <c r="N58" s="87" t="n">
        <f aca="false">SUM(D58:M58)</f>
        <v>0</v>
      </c>
      <c r="P58" s="53" t="str">
        <f aca="false">IF(LEN($A58)&lt;2,"",A58)</f>
        <v/>
      </c>
      <c r="Q58" s="54" t="str">
        <f aca="false">IF(LEN($A58 )&lt;2,"",VLOOKUP($A58,All_Data,Q$112,0))</f>
        <v/>
      </c>
      <c r="R58" s="26" t="n">
        <f aca="false">SUM(S58:Z58)</f>
        <v>0</v>
      </c>
      <c r="S58" s="14" t="str">
        <f aca="false">IF(LEN($A58 )&lt;2,"",VLOOKUP($A58,All_Data,S$112,0))</f>
        <v/>
      </c>
      <c r="T58" s="15" t="str">
        <f aca="false">IF(LEN($A58 )&lt;2,"",VLOOKUP($A58,All_Data,T$112,0))</f>
        <v/>
      </c>
      <c r="U58" s="15" t="str">
        <f aca="false">IF(LEN($A58 )&lt;2,"",VLOOKUP($A58,All_Data,U$112,0))</f>
        <v/>
      </c>
      <c r="V58" s="15" t="str">
        <f aca="false">IF(LEN($A58 )&lt;2,"",VLOOKUP($A58,All_Data,V$112,0))</f>
        <v/>
      </c>
      <c r="W58" s="15" t="str">
        <f aca="false">IF(LEN($A58 )&lt;2,"",VLOOKUP($A58,All_Data,W$112,0))</f>
        <v/>
      </c>
      <c r="X58" s="15" t="str">
        <f aca="false">IF(LEN($A58 )&lt;2,"",VLOOKUP($A58,All_Data,X$112,0))</f>
        <v/>
      </c>
      <c r="Y58" s="15" t="str">
        <f aca="false">IF(LEN($A58 )&lt;2,"",VLOOKUP($A58,All_Data,Y$112,0))</f>
        <v/>
      </c>
      <c r="Z58" s="16" t="str">
        <f aca="false">IF(LEN($A58 )&lt;2,"",VLOOKUP($A58,All_Data,Z$112,0))</f>
        <v/>
      </c>
      <c r="AA58" s="25" t="n">
        <f aca="false">IF(N58=0,,R58/N58*1000)</f>
        <v>0</v>
      </c>
      <c r="AB58" s="26" t="n">
        <f aca="false">IF(LEN($A58 )&lt;2,,VLOOKUP($A58,All_Data,AB$112,0))</f>
        <v>0</v>
      </c>
      <c r="AC58" s="27" t="n">
        <f aca="false">IF(AB58=0,,R58/AB58)</f>
        <v>0</v>
      </c>
    </row>
    <row r="59" customFormat="false" ht="15" hidden="false" customHeight="false" outlineLevel="0" collapsed="false">
      <c r="A59" s="53"/>
      <c r="B59" s="54" t="str">
        <f aca="false">IF(LEN($A59 )&lt;2,"",VLOOKUP($A59,All_Data,B$112,0))</f>
        <v/>
      </c>
      <c r="C59" s="26" t="str">
        <f aca="false">IF(LEN($A59 )&lt;2,"",VLOOKUP($A59,All_Data,C$112,0))</f>
        <v/>
      </c>
      <c r="D59" s="14" t="str">
        <f aca="false">IF(LEN($A59 )&lt;2,"",VLOOKUP($A59,All_Data,D$112,0))</f>
        <v/>
      </c>
      <c r="E59" s="15" t="str">
        <f aca="false">IF(LEN($A59 )&lt;2,"",VLOOKUP($A59,All_Data,E$112,0))</f>
        <v/>
      </c>
      <c r="F59" s="15" t="str">
        <f aca="false">IF(LEN($A59 )&lt;2,"",VLOOKUP($A59,All_Data,F$112,0))</f>
        <v/>
      </c>
      <c r="G59" s="15" t="str">
        <f aca="false">IF(LEN($A59 )&lt;2,"",VLOOKUP($A59,All_Data,G$112,0))</f>
        <v/>
      </c>
      <c r="H59" s="15" t="str">
        <f aca="false">IF(LEN($A59 )&lt;2,"",VLOOKUP($A59,All_Data,H$112,0))</f>
        <v/>
      </c>
      <c r="I59" s="15" t="str">
        <f aca="false">IF(LEN($A59 )&lt;2,"",VLOOKUP($A59,All_Data,I$112,0))</f>
        <v/>
      </c>
      <c r="J59" s="15" t="str">
        <f aca="false">IF(LEN($A59 )&lt;2,"",VLOOKUP($A59,All_Data,J$112,0))</f>
        <v/>
      </c>
      <c r="K59" s="15" t="str">
        <f aca="false">IF(LEN($A59 )&lt;2,"",VLOOKUP($A59,All_Data,K$112,0))</f>
        <v/>
      </c>
      <c r="L59" s="15" t="str">
        <f aca="false">IF(LEN($A59 )&lt;2,"",VLOOKUP($A59,All_Data,L$112,0))</f>
        <v/>
      </c>
      <c r="M59" s="15" t="str">
        <f aca="false">IF(LEN($A59 )&lt;2,"",VLOOKUP($A59,All_Data,M$112,0))</f>
        <v/>
      </c>
      <c r="N59" s="87" t="n">
        <f aca="false">SUM(D59:M59)</f>
        <v>0</v>
      </c>
      <c r="P59" s="53" t="str">
        <f aca="false">IF(LEN($A59)&lt;2,"",A59)</f>
        <v/>
      </c>
      <c r="Q59" s="54" t="str">
        <f aca="false">IF(LEN($A59 )&lt;2,"",VLOOKUP($A59,All_Data,Q$112,0))</f>
        <v/>
      </c>
      <c r="R59" s="26" t="n">
        <f aca="false">SUM(S59:Z59)</f>
        <v>0</v>
      </c>
      <c r="S59" s="14" t="str">
        <f aca="false">IF(LEN($A59 )&lt;2,"",VLOOKUP($A59,All_Data,S$112,0))</f>
        <v/>
      </c>
      <c r="T59" s="15" t="str">
        <f aca="false">IF(LEN($A59 )&lt;2,"",VLOOKUP($A59,All_Data,T$112,0))</f>
        <v/>
      </c>
      <c r="U59" s="15" t="str">
        <f aca="false">IF(LEN($A59 )&lt;2,"",VLOOKUP($A59,All_Data,U$112,0))</f>
        <v/>
      </c>
      <c r="V59" s="15" t="str">
        <f aca="false">IF(LEN($A59 )&lt;2,"",VLOOKUP($A59,All_Data,V$112,0))</f>
        <v/>
      </c>
      <c r="W59" s="15" t="str">
        <f aca="false">IF(LEN($A59 )&lt;2,"",VLOOKUP($A59,All_Data,W$112,0))</f>
        <v/>
      </c>
      <c r="X59" s="15" t="str">
        <f aca="false">IF(LEN($A59 )&lt;2,"",VLOOKUP($A59,All_Data,X$112,0))</f>
        <v/>
      </c>
      <c r="Y59" s="15" t="str">
        <f aca="false">IF(LEN($A59 )&lt;2,"",VLOOKUP($A59,All_Data,Y$112,0))</f>
        <v/>
      </c>
      <c r="Z59" s="16" t="str">
        <f aca="false">IF(LEN($A59 )&lt;2,"",VLOOKUP($A59,All_Data,Z$112,0))</f>
        <v/>
      </c>
      <c r="AA59" s="25" t="n">
        <f aca="false">IF(N59=0,,R59/N59*1000)</f>
        <v>0</v>
      </c>
      <c r="AB59" s="26" t="n">
        <f aca="false">IF(LEN($A59 )&lt;2,,VLOOKUP($A59,All_Data,AB$112,0))</f>
        <v>0</v>
      </c>
      <c r="AC59" s="27" t="n">
        <f aca="false">IF(AB59=0,,R59/AB59)</f>
        <v>0</v>
      </c>
    </row>
    <row r="60" customFormat="false" ht="15" hidden="false" customHeight="false" outlineLevel="0" collapsed="false">
      <c r="A60" s="89"/>
      <c r="B60" s="90"/>
      <c r="C60" s="91" t="n">
        <f aca="false">SUM(C24:C59)</f>
        <v>206266.03</v>
      </c>
      <c r="D60" s="92" t="n">
        <f aca="false">SUM(D24:D59)</f>
        <v>387.0966192</v>
      </c>
      <c r="E60" s="92" t="n">
        <f aca="false">SUM(E24:E59)</f>
        <v>2129.3551771</v>
      </c>
      <c r="F60" s="92" t="n">
        <f aca="false">SUM(F24:F59)</f>
        <v>162100.9610245</v>
      </c>
      <c r="G60" s="92" t="n">
        <f aca="false">SUM(G24:G59)</f>
        <v>23450.8790013</v>
      </c>
      <c r="H60" s="92" t="n">
        <f aca="false">SUM(H24:H59)</f>
        <v>10780.9565337</v>
      </c>
      <c r="I60" s="92" t="n">
        <f aca="false">SUM(I24:I59)</f>
        <v>1551.4910484</v>
      </c>
      <c r="J60" s="92" t="n">
        <f aca="false">SUM(J24:J59)</f>
        <v>3452.2158003</v>
      </c>
      <c r="K60" s="92" t="n">
        <f aca="false">SUM(K24:K59)</f>
        <v>774.2544916</v>
      </c>
      <c r="L60" s="92" t="n">
        <f aca="false">SUM(L24:L59)</f>
        <v>818.7219746</v>
      </c>
      <c r="M60" s="92" t="n">
        <f aca="false">SUM(M24:M59)</f>
        <v>820.0983293</v>
      </c>
      <c r="N60" s="94" t="n">
        <f aca="false">SUM(D60:M60)</f>
        <v>206266.03</v>
      </c>
      <c r="P60" s="89"/>
      <c r="Q60" s="90"/>
      <c r="R60" s="91" t="n">
        <f aca="false">SUM(R24:R50)</f>
        <v>183956.475606184</v>
      </c>
      <c r="S60" s="92" t="n">
        <f aca="false">SUM(S24:S50)</f>
        <v>115641.994988504</v>
      </c>
      <c r="T60" s="93" t="n">
        <f aca="false">SUM(T24:T50)</f>
        <v>29405.2534062097</v>
      </c>
      <c r="U60" s="93" t="n">
        <f aca="false">SUM(U24:U50)</f>
        <v>19791.1452188099</v>
      </c>
      <c r="V60" s="93" t="n">
        <f aca="false">SUM(V24:V50)</f>
        <v>3561.05602676678</v>
      </c>
      <c r="W60" s="93" t="n">
        <f aca="false">SUM(W24:W50)</f>
        <v>8231.30580775797</v>
      </c>
      <c r="X60" s="93" t="n">
        <f aca="false">SUM(X24:X50)</f>
        <v>2215.1928844205</v>
      </c>
      <c r="Y60" s="93" t="n">
        <f aca="false">SUM(Y24:Y50)</f>
        <v>2356.85538338165</v>
      </c>
      <c r="Z60" s="95" t="n">
        <f aca="false">SUM(Z24:Z50)</f>
        <v>2753.67189033422</v>
      </c>
      <c r="AA60" s="96" t="n">
        <f aca="false">SUM(AA24:AA50)</f>
        <v>26427.2615258476</v>
      </c>
      <c r="AB60" s="91" t="n">
        <f aca="false">SUM(AB24:AB50)</f>
        <v>183965.55776675</v>
      </c>
      <c r="AC60" s="97" t="n">
        <f aca="false">IF(AB60=0,,R60/AB60)</f>
        <v>0.999950631190555</v>
      </c>
    </row>
    <row r="61" customFormat="false" ht="15" hidden="false" customHeight="false" outlineLevel="0" collapsed="false">
      <c r="A61" s="79" t="s">
        <v>131</v>
      </c>
      <c r="B61" s="80"/>
      <c r="C61" s="98"/>
      <c r="D61" s="99"/>
      <c r="E61" s="100"/>
      <c r="F61" s="100"/>
      <c r="G61" s="100"/>
      <c r="H61" s="100"/>
      <c r="I61" s="100"/>
      <c r="J61" s="100"/>
      <c r="K61" s="100"/>
      <c r="L61" s="100"/>
      <c r="M61" s="100"/>
      <c r="N61" s="84"/>
      <c r="P61" s="79" t="s">
        <v>131</v>
      </c>
      <c r="Q61" s="80"/>
      <c r="R61" s="98"/>
      <c r="S61" s="99"/>
      <c r="T61" s="100"/>
      <c r="U61" s="100"/>
      <c r="V61" s="100"/>
      <c r="W61" s="100"/>
      <c r="X61" s="100"/>
      <c r="Y61" s="100"/>
      <c r="Z61" s="101"/>
      <c r="AA61" s="102"/>
      <c r="AB61" s="98"/>
      <c r="AC61" s="103"/>
    </row>
    <row r="62" customFormat="false" ht="15" hidden="false" customHeight="false" outlineLevel="0" collapsed="false">
      <c r="A62" s="53" t="s">
        <v>132</v>
      </c>
      <c r="B62" s="16" t="str">
        <f aca="false">IF(LEN($A62 )&lt;2,"",VLOOKUP($A62,All_Data,B$112,0))</f>
        <v>Pecos BOP Fuel #3</v>
      </c>
      <c r="C62" s="26" t="n">
        <f aca="false">IF(LEN($A62 )&lt;2,"",VLOOKUP($A62,All_Data,C$112,0))</f>
        <v>14056.53</v>
      </c>
      <c r="D62" s="14" t="n">
        <f aca="false">IF(LEN($A62 )&lt;2,"",VLOOKUP($A62,All_Data,D$112,0))</f>
        <v>0</v>
      </c>
      <c r="E62" s="15" t="n">
        <f aca="false">IF(LEN($A62 )&lt;2,"",VLOOKUP($A62,All_Data,E$112,0))</f>
        <v>154.4812647</v>
      </c>
      <c r="F62" s="15" t="n">
        <f aca="false">IF(LEN($A62 )&lt;2,"",VLOOKUP($A62,All_Data,F$112,0))</f>
        <v>13786.7851893</v>
      </c>
      <c r="G62" s="15" t="n">
        <f aca="false">IF(LEN($A62 )&lt;2,"",VLOOKUP($A62,All_Data,G$112,0))</f>
        <v>108.9381075</v>
      </c>
      <c r="H62" s="15" t="n">
        <f aca="false">IF(LEN($A62 )&lt;2,"",VLOOKUP($A62,All_Data,H$112,0))</f>
        <v>6.3254385</v>
      </c>
      <c r="I62" s="15" t="n">
        <f aca="false">IF(LEN($A62 )&lt;2,"",VLOOKUP($A62,All_Data,I$112,0))</f>
        <v>0</v>
      </c>
      <c r="J62" s="15" t="n">
        <f aca="false">IF(LEN($A62 )&lt;2,"",VLOOKUP($A62,All_Data,J$112,0))</f>
        <v>0</v>
      </c>
      <c r="K62" s="15" t="n">
        <f aca="false">IF(LEN($A62 )&lt;2,"",VLOOKUP($A62,All_Data,K$112,0))</f>
        <v>0</v>
      </c>
      <c r="L62" s="15" t="n">
        <f aca="false">IF(LEN($A62 )&lt;2,"",VLOOKUP($A62,All_Data,L$112,0))</f>
        <v>0</v>
      </c>
      <c r="M62" s="15" t="n">
        <f aca="false">IF(LEN($A62 )&lt;2,"",VLOOKUP($A62,All_Data,M$112,0))</f>
        <v>0</v>
      </c>
      <c r="N62" s="88" t="n">
        <f aca="false">SUM(D62:M62)</f>
        <v>14056.53</v>
      </c>
      <c r="P62" s="53" t="str">
        <f aca="false">IF(LEN($A62)&lt;2,"",A62)</f>
        <v>5.00.6</v>
      </c>
      <c r="Q62" s="54" t="str">
        <f aca="false">IF(LEN($A62 )&lt;2,"",VLOOKUP($A62,All_Data,Q$112,0))</f>
        <v>Pecos BOP Fuel #3</v>
      </c>
      <c r="R62" s="26" t="n">
        <f aca="false">SUM(S62:Z62)</f>
        <v>14116.5424622598</v>
      </c>
      <c r="S62" s="14" t="n">
        <f aca="false">IF(LEN($A62 )&lt;2,"",VLOOKUP($A62,All_Data,S$112,0))</f>
        <v>13908.0755897084</v>
      </c>
      <c r="T62" s="15" t="n">
        <f aca="false">IF(LEN($A62 )&lt;2,"",VLOOKUP($A62,All_Data,T$112,0))</f>
        <v>192.569929161576</v>
      </c>
      <c r="U62" s="15" t="n">
        <f aca="false">IF(LEN($A62 )&lt;2,"",VLOOKUP($A62,All_Data,U$112,0))</f>
        <v>15.8969433898855</v>
      </c>
      <c r="V62" s="15" t="n">
        <f aca="false">IF(LEN($A62 )&lt;2,"",VLOOKUP($A62,All_Data,V$112,0))</f>
        <v>0</v>
      </c>
      <c r="W62" s="15" t="n">
        <f aca="false">IF(LEN($A62 )&lt;2,"",VLOOKUP($A62,All_Data,W$112,0))</f>
        <v>0</v>
      </c>
      <c r="X62" s="15" t="n">
        <f aca="false">IF(LEN($A62 )&lt;2,"",VLOOKUP($A62,All_Data,X$112,0))</f>
        <v>0</v>
      </c>
      <c r="Y62" s="15" t="n">
        <f aca="false">IF(LEN($A62 )&lt;2,"",VLOOKUP($A62,All_Data,Y$112,0))</f>
        <v>0</v>
      </c>
      <c r="Z62" s="16" t="n">
        <f aca="false">IF(LEN($A62 )&lt;2,"",VLOOKUP($A62,All_Data,Z$112,0))</f>
        <v>0</v>
      </c>
      <c r="AA62" s="25" t="n">
        <f aca="false">IF(N62=0,,R62/N62*1000)</f>
        <v>1004.26936535972</v>
      </c>
      <c r="AB62" s="26" t="n">
        <f aca="false">IF(LEN($A62 )&lt;2,,VLOOKUP($A62,All_Data,AB$112,0))</f>
        <v>14112.76</v>
      </c>
      <c r="AC62" s="27" t="n">
        <f aca="false">IF(AB62=0,,R62/AB62)</f>
        <v>1.00026801718869</v>
      </c>
    </row>
    <row r="63" customFormat="false" ht="15" hidden="false" customHeight="false" outlineLevel="0" collapsed="false">
      <c r="A63" s="53" t="s">
        <v>133</v>
      </c>
      <c r="B63" s="16" t="str">
        <f aca="false">IF(LEN($A63 )&lt;2,"",VLOOKUP($A63,All_Data,B$112,0))</f>
        <v>Pecos 1 LP Fuel</v>
      </c>
      <c r="C63" s="26" t="n">
        <f aca="false">IF(LEN($A63 )&lt;2,"",VLOOKUP($A63,All_Data,C$112,0))</f>
        <v>9614.86</v>
      </c>
      <c r="D63" s="14" t="n">
        <f aca="false">IF(LEN($A63 )&lt;2,"",VLOOKUP($A63,All_Data,D$112,0))</f>
        <v>0</v>
      </c>
      <c r="E63" s="15" t="n">
        <f aca="false">IF(LEN($A63 )&lt;2,"",VLOOKUP($A63,All_Data,E$112,0))</f>
        <v>105.282717</v>
      </c>
      <c r="F63" s="15" t="n">
        <f aca="false">IF(LEN($A63 )&lt;2,"",VLOOKUP($A63,All_Data,F$112,0))</f>
        <v>9368.5272868</v>
      </c>
      <c r="G63" s="15" t="n">
        <f aca="false">IF(LEN($A63 )&lt;2,"",VLOOKUP($A63,All_Data,G$112,0))</f>
        <v>119.4165612</v>
      </c>
      <c r="H63" s="15" t="n">
        <f aca="false">IF(LEN($A63 )&lt;2,"",VLOOKUP($A63,All_Data,H$112,0))</f>
        <v>18.1720854</v>
      </c>
      <c r="I63" s="15" t="n">
        <f aca="false">IF(LEN($A63 )&lt;2,"",VLOOKUP($A63,All_Data,I$112,0))</f>
        <v>1.3460804</v>
      </c>
      <c r="J63" s="15" t="n">
        <f aca="false">IF(LEN($A63 )&lt;2,"",VLOOKUP($A63,All_Data,J$112,0))</f>
        <v>2.1152692</v>
      </c>
      <c r="K63" s="15" t="n">
        <f aca="false">IF(LEN($A63 )&lt;2,"",VLOOKUP($A63,All_Data,K$112,0))</f>
        <v>0</v>
      </c>
      <c r="L63" s="15" t="n">
        <f aca="false">IF(LEN($A63 )&lt;2,"",VLOOKUP($A63,All_Data,L$112,0))</f>
        <v>0</v>
      </c>
      <c r="M63" s="15" t="n">
        <f aca="false">IF(LEN($A63 )&lt;2,"",VLOOKUP($A63,All_Data,M$112,0))</f>
        <v>0</v>
      </c>
      <c r="N63" s="87" t="n">
        <f aca="false">SUM(D63:M63)</f>
        <v>9614.86</v>
      </c>
      <c r="P63" s="53" t="str">
        <f aca="false">IF(LEN($A63)&lt;2,"",A63)</f>
        <v>5.00.7</v>
      </c>
      <c r="Q63" s="16" t="str">
        <f aca="false">IF(LEN($A63 )&lt;2,"",VLOOKUP($A63,All_Data,Q$112,0))</f>
        <v>Pecos 1 LP Fuel</v>
      </c>
      <c r="R63" s="26" t="n">
        <f aca="false">SUM(S63:Z63)</f>
        <v>9719.31775427193</v>
      </c>
      <c r="S63" s="14" t="n">
        <f aca="false">IF(LEN($A63 )&lt;2,"",VLOOKUP($A63,All_Data,S$112,0))</f>
        <v>9451.28098657532</v>
      </c>
      <c r="T63" s="15" t="n">
        <f aca="false">IF(LEN($A63 )&lt;2,"",VLOOKUP($A63,All_Data,T$112,0))</f>
        <v>211.100139612562</v>
      </c>
      <c r="U63" s="15" t="n">
        <f aca="false">IF(LEN($A63 )&lt;2,"",VLOOKUP($A63,All_Data,U$112,0))</f>
        <v>45.671268554211</v>
      </c>
      <c r="V63" s="15" t="n">
        <f aca="false">IF(LEN($A63 )&lt;2,"",VLOOKUP($A63,All_Data,V$112,0))</f>
        <v>4.3724007853407</v>
      </c>
      <c r="W63" s="15" t="n">
        <f aca="false">IF(LEN($A63 )&lt;2,"",VLOOKUP($A63,All_Data,W$112,0))</f>
        <v>6.89295874448907</v>
      </c>
      <c r="X63" s="15" t="n">
        <f aca="false">IF(LEN($A63 )&lt;2,"",VLOOKUP($A63,All_Data,X$112,0))</f>
        <v>0</v>
      </c>
      <c r="Y63" s="15" t="n">
        <f aca="false">IF(LEN($A63 )&lt;2,"",VLOOKUP($A63,All_Data,Y$112,0))</f>
        <v>0</v>
      </c>
      <c r="Z63" s="16" t="n">
        <f aca="false">IF(LEN($A63 )&lt;2,"",VLOOKUP($A63,All_Data,Z$112,0))</f>
        <v>0</v>
      </c>
      <c r="AA63" s="25" t="n">
        <f aca="false">IF(N63=0,,R63/N63*1000)</f>
        <v>1010.86419919499</v>
      </c>
      <c r="AB63" s="26" t="n">
        <f aca="false">IF(LEN($A63 )&lt;2,,VLOOKUP($A63,All_Data,AB$112,0))</f>
        <v>9720.62</v>
      </c>
      <c r="AC63" s="27" t="n">
        <f aca="false">IF(AB63=0,,R63/AB63)</f>
        <v>0.999866032647292</v>
      </c>
    </row>
    <row r="64" customFormat="false" ht="15" hidden="false" customHeight="false" outlineLevel="0" collapsed="false">
      <c r="A64" s="53" t="s">
        <v>134</v>
      </c>
      <c r="B64" s="16" t="str">
        <f aca="false">IF(LEN($A64 )&lt;2,"",VLOOKUP($A64,All_Data,B$112,0))</f>
        <v>Pecos 2 LP Fuel</v>
      </c>
      <c r="C64" s="26" t="n">
        <f aca="false">IF(LEN($A64 )&lt;2,"",VLOOKUP($A64,All_Data,C$112,0))</f>
        <v>11319.04</v>
      </c>
      <c r="D64" s="14" t="n">
        <f aca="false">IF(LEN($A64 )&lt;2,"",VLOOKUP($A64,All_Data,D$112,0))</f>
        <v>19.5819392</v>
      </c>
      <c r="E64" s="15" t="n">
        <f aca="false">IF(LEN($A64 )&lt;2,"",VLOOKUP($A64,All_Data,E$112,0))</f>
        <v>189.2543488</v>
      </c>
      <c r="F64" s="15" t="n">
        <f aca="false">IF(LEN($A64 )&lt;2,"",VLOOKUP($A64,All_Data,F$112,0))</f>
        <v>10297.7230208</v>
      </c>
      <c r="G64" s="15" t="n">
        <f aca="false">IF(LEN($A64 )&lt;2,"",VLOOKUP($A64,All_Data,G$112,0))</f>
        <v>777.2784768</v>
      </c>
      <c r="H64" s="15" t="n">
        <f aca="false">IF(LEN($A64 )&lt;2,"",VLOOKUP($A64,All_Data,H$112,0))</f>
        <v>35.2022144</v>
      </c>
      <c r="I64" s="15" t="n">
        <f aca="false">IF(LEN($A64 )&lt;2,"",VLOOKUP($A64,All_Data,I$112,0))</f>
        <v>0</v>
      </c>
      <c r="J64" s="15" t="n">
        <f aca="false">IF(LEN($A64 )&lt;2,"",VLOOKUP($A64,All_Data,J$112,0))</f>
        <v>0</v>
      </c>
      <c r="K64" s="15" t="n">
        <f aca="false">IF(LEN($A64 )&lt;2,"",VLOOKUP($A64,All_Data,K$112,0))</f>
        <v>0</v>
      </c>
      <c r="L64" s="15" t="n">
        <f aca="false">IF(LEN($A64 )&lt;2,"",VLOOKUP($A64,All_Data,L$112,0))</f>
        <v>0</v>
      </c>
      <c r="M64" s="15" t="n">
        <f aca="false">IF(LEN($A64 )&lt;2,"",VLOOKUP($A64,All_Data,M$112,0))</f>
        <v>0</v>
      </c>
      <c r="N64" s="87" t="n">
        <f aca="false">SUM(D64:M64)</f>
        <v>11319.04</v>
      </c>
      <c r="P64" s="53" t="str">
        <f aca="false">IF(LEN($A64)&lt;2,"",A64)</f>
        <v>5.00.11</v>
      </c>
      <c r="Q64" s="16" t="str">
        <f aca="false">IF(LEN($A64 )&lt;2,"",VLOOKUP($A64,All_Data,Q$112,0))</f>
        <v>Pecos 2 LP Fuel</v>
      </c>
      <c r="R64" s="26" t="n">
        <f aca="false">SUM(S64:Z64)</f>
        <v>11854.0325474597</v>
      </c>
      <c r="S64" s="14" t="n">
        <f aca="false">IF(LEN($A64 )&lt;2,"",VLOOKUP($A64,All_Data,S$112,0))</f>
        <v>10391.1667181628</v>
      </c>
      <c r="T64" s="15" t="n">
        <f aca="false">IF(LEN($A64 )&lt;2,"",VLOOKUP($A64,All_Data,T$112,0))</f>
        <v>1374.37219184694</v>
      </c>
      <c r="U64" s="15" t="n">
        <f aca="false">IF(LEN($A64 )&lt;2,"",VLOOKUP($A64,All_Data,U$112,0))</f>
        <v>88.4936374499829</v>
      </c>
      <c r="V64" s="15" t="n">
        <f aca="false">IF(LEN($A64 )&lt;2,"",VLOOKUP($A64,All_Data,V$112,0))</f>
        <v>0</v>
      </c>
      <c r="W64" s="15" t="n">
        <f aca="false">IF(LEN($A64 )&lt;2,"",VLOOKUP($A64,All_Data,W$112,0))</f>
        <v>0</v>
      </c>
      <c r="X64" s="15" t="n">
        <f aca="false">IF(LEN($A64 )&lt;2,"",VLOOKUP($A64,All_Data,X$112,0))</f>
        <v>0</v>
      </c>
      <c r="Y64" s="15" t="n">
        <f aca="false">IF(LEN($A64 )&lt;2,"",VLOOKUP($A64,All_Data,Y$112,0))</f>
        <v>0</v>
      </c>
      <c r="Z64" s="16" t="n">
        <f aca="false">IF(LEN($A64 )&lt;2,"",VLOOKUP($A64,All_Data,Z$112,0))</f>
        <v>0</v>
      </c>
      <c r="AA64" s="25" t="n">
        <f aca="false">IF(N64=0,,R64/N64*1000)</f>
        <v>1047.26483407248</v>
      </c>
      <c r="AB64" s="26" t="n">
        <f aca="false">IF(LEN($A64 )&lt;2,,VLOOKUP($A64,All_Data,AB$112,0))</f>
        <v>11851.04</v>
      </c>
      <c r="AC64" s="27" t="n">
        <f aca="false">IF(AB64=0,,R64/AB64)</f>
        <v>1.00025251348909</v>
      </c>
    </row>
    <row r="65" customFormat="false" ht="15" hidden="false" customHeight="false" outlineLevel="0" collapsed="false">
      <c r="A65" s="53" t="s">
        <v>135</v>
      </c>
      <c r="B65" s="16" t="str">
        <f aca="false">IF(LEN($A65 )&lt;2,"",VLOOKUP($A65,All_Data,B$112,0))</f>
        <v>Pecos 1 HP Fuel</v>
      </c>
      <c r="C65" s="26" t="n">
        <f aca="false">IF(LEN($A65 )&lt;2,"",VLOOKUP($A65,All_Data,C$112,0))</f>
        <v>216704.95</v>
      </c>
      <c r="D65" s="14" t="n">
        <f aca="false">IF(LEN($A65 )&lt;2,"",VLOOKUP($A65,All_Data,D$112,0))</f>
        <v>0</v>
      </c>
      <c r="E65" s="15" t="n">
        <f aca="false">IF(LEN($A65 )&lt;2,"",VLOOKUP($A65,All_Data,E$112,0))</f>
        <v>2734.816469</v>
      </c>
      <c r="F65" s="15" t="n">
        <f aca="false">IF(LEN($A65 )&lt;2,"",VLOOKUP($A65,All_Data,F$112,0))</f>
        <v>211575.5438335</v>
      </c>
      <c r="G65" s="15" t="n">
        <f aca="false">IF(LEN($A65 )&lt;2,"",VLOOKUP($A65,All_Data,G$112,0))</f>
        <v>2082.5345695</v>
      </c>
      <c r="H65" s="15" t="n">
        <f aca="false">IF(LEN($A65 )&lt;2,"",VLOOKUP($A65,All_Data,H$112,0))</f>
        <v>264.380039</v>
      </c>
      <c r="I65" s="15" t="n">
        <f aca="false">IF(LEN($A65 )&lt;2,"",VLOOKUP($A65,All_Data,I$112,0))</f>
        <v>19.5034455</v>
      </c>
      <c r="J65" s="15" t="n">
        <f aca="false">IF(LEN($A65 )&lt;2,"",VLOOKUP($A65,All_Data,J$112,0))</f>
        <v>28.1716435</v>
      </c>
      <c r="K65" s="15" t="n">
        <f aca="false">IF(LEN($A65 )&lt;2,"",VLOOKUP($A65,All_Data,K$112,0))</f>
        <v>0</v>
      </c>
      <c r="L65" s="15" t="n">
        <f aca="false">IF(LEN($A65 )&lt;2,"",VLOOKUP($A65,All_Data,L$112,0))</f>
        <v>0</v>
      </c>
      <c r="M65" s="15" t="n">
        <f aca="false">IF(LEN($A65 )&lt;2,"",VLOOKUP($A65,All_Data,M$112,0))</f>
        <v>0</v>
      </c>
      <c r="N65" s="87" t="n">
        <f aca="false">SUM(D65:M65)</f>
        <v>216704.95</v>
      </c>
      <c r="P65" s="53" t="str">
        <f aca="false">IF(LEN($A65)&lt;2,"",A65)</f>
        <v>5.00.18</v>
      </c>
      <c r="Q65" s="16" t="str">
        <f aca="false">IF(LEN($A65 )&lt;2,"",VLOOKUP($A65,All_Data,Q$112,0))</f>
        <v>Pecos 1 HP Fuel</v>
      </c>
      <c r="R65" s="26" t="n">
        <f aca="false">SUM(S65:Z65)</f>
        <v>217940.481409192</v>
      </c>
      <c r="S65" s="14" t="n">
        <f aca="false">IF(LEN($A65 )&lt;2,"",VLOOKUP($A65,All_Data,S$112,0))</f>
        <v>213439.546253597</v>
      </c>
      <c r="T65" s="15" t="n">
        <f aca="false">IF(LEN($A65 )&lt;2,"",VLOOKUP($A65,All_Data,T$112,0))</f>
        <v>3681.34274275349</v>
      </c>
      <c r="U65" s="15" t="n">
        <f aca="false">IF(LEN($A65 )&lt;2,"",VLOOKUP($A65,All_Data,U$112,0))</f>
        <v>664.441946855646</v>
      </c>
      <c r="V65" s="15" t="n">
        <f aca="false">IF(LEN($A65 )&lt;2,"",VLOOKUP($A65,All_Data,V$112,0))</f>
        <v>63.3505483394712</v>
      </c>
      <c r="W65" s="15" t="n">
        <f aca="false">IF(LEN($A65 )&lt;2,"",VLOOKUP($A65,All_Data,W$112,0))</f>
        <v>91.7999176465135</v>
      </c>
      <c r="X65" s="15" t="n">
        <f aca="false">IF(LEN($A65 )&lt;2,"",VLOOKUP($A65,All_Data,X$112,0))</f>
        <v>0</v>
      </c>
      <c r="Y65" s="15" t="n">
        <f aca="false">IF(LEN($A65 )&lt;2,"",VLOOKUP($A65,All_Data,Y$112,0))</f>
        <v>0</v>
      </c>
      <c r="Z65" s="16" t="n">
        <f aca="false">IF(LEN($A65 )&lt;2,"",VLOOKUP($A65,All_Data,Z$112,0))</f>
        <v>0</v>
      </c>
      <c r="AA65" s="25" t="n">
        <f aca="false">IF(N65=0,,R65/N65*1000)</f>
        <v>1005.70144525629</v>
      </c>
      <c r="AB65" s="26" t="n">
        <f aca="false">IF(LEN($A65 )&lt;2,,VLOOKUP($A65,All_Data,AB$112,0))</f>
        <v>218005.18</v>
      </c>
      <c r="AC65" s="27" t="n">
        <f aca="false">IF(AB65=0,,R65/AB65)</f>
        <v>0.999703224525181</v>
      </c>
    </row>
    <row r="66" customFormat="false" ht="15" hidden="false" customHeight="false" outlineLevel="0" collapsed="false">
      <c r="A66" s="53" t="s">
        <v>136</v>
      </c>
      <c r="B66" s="16" t="str">
        <f aca="false">IF(LEN($A66 )&lt;2,"",VLOOKUP($A66,All_Data,B$112,0))</f>
        <v>Pecos 2 HP Fuel</v>
      </c>
      <c r="C66" s="26" t="n">
        <f aca="false">IF(LEN($A66 )&lt;2,"",VLOOKUP($A66,All_Data,C$112,0))</f>
        <v>42390.88</v>
      </c>
      <c r="D66" s="14" t="n">
        <f aca="false">IF(LEN($A66 )&lt;2,"",VLOOKUP($A66,All_Data,D$112,0))</f>
        <v>72.064496</v>
      </c>
      <c r="E66" s="15" t="n">
        <f aca="false">IF(LEN($A66 )&lt;2,"",VLOOKUP($A66,All_Data,E$112,0))</f>
        <v>688.8518</v>
      </c>
      <c r="F66" s="15" t="n">
        <f aca="false">IF(LEN($A66 )&lt;2,"",VLOOKUP($A66,All_Data,F$112,0))</f>
        <v>38576.1247088</v>
      </c>
      <c r="G66" s="15" t="n">
        <f aca="false">IF(LEN($A66 )&lt;2,"",VLOOKUP($A66,All_Data,G$112,0))</f>
        <v>2915.2208176</v>
      </c>
      <c r="H66" s="15" t="n">
        <f aca="false">IF(LEN($A66 )&lt;2,"",VLOOKUP($A66,All_Data,H$112,0))</f>
        <v>138.6181776</v>
      </c>
      <c r="I66" s="15" t="n">
        <f aca="false">IF(LEN($A66 )&lt;2,"",VLOOKUP($A66,All_Data,I$112,0))</f>
        <v>0</v>
      </c>
      <c r="J66" s="15" t="n">
        <f aca="false">IF(LEN($A66 )&lt;2,"",VLOOKUP($A66,All_Data,J$112,0))</f>
        <v>0</v>
      </c>
      <c r="K66" s="15" t="n">
        <f aca="false">IF(LEN($A66 )&lt;2,"",VLOOKUP($A66,All_Data,K$112,0))</f>
        <v>0</v>
      </c>
      <c r="L66" s="15" t="n">
        <f aca="false">IF(LEN($A66 )&lt;2,"",VLOOKUP($A66,All_Data,L$112,0))</f>
        <v>0</v>
      </c>
      <c r="M66" s="15" t="n">
        <f aca="false">IF(LEN($A66 )&lt;2,"",VLOOKUP($A66,All_Data,M$112,0))</f>
        <v>0</v>
      </c>
      <c r="N66" s="87" t="n">
        <f aca="false">SUM(D66:M66)</f>
        <v>42390.88</v>
      </c>
      <c r="P66" s="53" t="str">
        <f aca="false">IF(LEN($A66)&lt;2,"",A66)</f>
        <v>5.00.19</v>
      </c>
      <c r="Q66" s="16" t="str">
        <f aca="false">IF(LEN($A66 )&lt;2,"",VLOOKUP($A66,All_Data,Q$112,0))</f>
        <v>Pecos 2 HP Fuel</v>
      </c>
      <c r="R66" s="26" t="n">
        <f aca="false">SUM(S66:Z66)</f>
        <v>44429.4203001966</v>
      </c>
      <c r="S66" s="14" t="n">
        <f aca="false">IF(LEN($A66 )&lt;2,"",VLOOKUP($A66,All_Data,S$112,0))</f>
        <v>38926.2867747209</v>
      </c>
      <c r="T66" s="15" t="n">
        <f aca="false">IF(LEN($A66 )&lt;2,"",VLOOKUP($A66,All_Data,T$112,0))</f>
        <v>5154.6650283375</v>
      </c>
      <c r="U66" s="15" t="n">
        <f aca="false">IF(LEN($A66 )&lt;2,"",VLOOKUP($A66,All_Data,U$112,0))</f>
        <v>348.468497138241</v>
      </c>
      <c r="V66" s="15" t="n">
        <f aca="false">IF(LEN($A66 )&lt;2,"",VLOOKUP($A66,All_Data,V$112,0))</f>
        <v>0</v>
      </c>
      <c r="W66" s="15" t="n">
        <f aca="false">IF(LEN($A66 )&lt;2,"",VLOOKUP($A66,All_Data,W$112,0))</f>
        <v>0</v>
      </c>
      <c r="X66" s="15" t="n">
        <f aca="false">IF(LEN($A66 )&lt;2,"",VLOOKUP($A66,All_Data,X$112,0))</f>
        <v>0</v>
      </c>
      <c r="Y66" s="15" t="n">
        <f aca="false">IF(LEN($A66 )&lt;2,"",VLOOKUP($A66,All_Data,Y$112,0))</f>
        <v>0</v>
      </c>
      <c r="Z66" s="16" t="n">
        <f aca="false">IF(LEN($A66 )&lt;2,"",VLOOKUP($A66,All_Data,Z$112,0))</f>
        <v>0</v>
      </c>
      <c r="AA66" s="25" t="n">
        <f aca="false">IF(N66=0,,R66/N66*1000)</f>
        <v>1048.08912436346</v>
      </c>
      <c r="AB66" s="26" t="n">
        <f aca="false">IF(LEN($A66 )&lt;2,,VLOOKUP($A66,All_Data,AB$112,0))</f>
        <v>44425.64</v>
      </c>
      <c r="AC66" s="27" t="n">
        <f aca="false">IF(AB66=0,,R66/AB66)</f>
        <v>1.00008509275717</v>
      </c>
    </row>
    <row r="67" customFormat="false" ht="15" hidden="false" customHeight="false" outlineLevel="0" collapsed="false">
      <c r="A67" s="53"/>
      <c r="B67" s="16" t="str">
        <f aca="false">IF(LEN($A67 )&lt;2,"",VLOOKUP($A67,All_Data,B$112,0))</f>
        <v/>
      </c>
      <c r="C67" s="26" t="str">
        <f aca="false">IF(LEN($A67 )&lt;2,"",VLOOKUP($A67,All_Data,C$112,0))</f>
        <v/>
      </c>
      <c r="D67" s="14" t="str">
        <f aca="false">IF(LEN($A67 )&lt;2,"",VLOOKUP($A67,All_Data,D$112,0))</f>
        <v/>
      </c>
      <c r="E67" s="15" t="str">
        <f aca="false">IF(LEN($A67 )&lt;2,"",VLOOKUP($A67,All_Data,E$112,0))</f>
        <v/>
      </c>
      <c r="F67" s="15" t="str">
        <f aca="false">IF(LEN($A67 )&lt;2,"",VLOOKUP($A67,All_Data,F$112,0))</f>
        <v/>
      </c>
      <c r="G67" s="15" t="str">
        <f aca="false">IF(LEN($A67 )&lt;2,"",VLOOKUP($A67,All_Data,G$112,0))</f>
        <v/>
      </c>
      <c r="H67" s="15" t="str">
        <f aca="false">IF(LEN($A67 )&lt;2,"",VLOOKUP($A67,All_Data,H$112,0))</f>
        <v/>
      </c>
      <c r="I67" s="15" t="str">
        <f aca="false">IF(LEN($A67 )&lt;2,"",VLOOKUP($A67,All_Data,I$112,0))</f>
        <v/>
      </c>
      <c r="J67" s="15" t="str">
        <f aca="false">IF(LEN($A67 )&lt;2,"",VLOOKUP($A67,All_Data,J$112,0))</f>
        <v/>
      </c>
      <c r="K67" s="15" t="str">
        <f aca="false">IF(LEN($A67 )&lt;2,"",VLOOKUP($A67,All_Data,K$112,0))</f>
        <v/>
      </c>
      <c r="L67" s="15" t="str">
        <f aca="false">IF(LEN($A67 )&lt;2,"",VLOOKUP($A67,All_Data,L$112,0))</f>
        <v/>
      </c>
      <c r="M67" s="15" t="str">
        <f aca="false">IF(LEN($A67 )&lt;2,"",VLOOKUP($A67,All_Data,M$112,0))</f>
        <v/>
      </c>
      <c r="N67" s="87" t="n">
        <f aca="false">SUM(D67:M67)</f>
        <v>0</v>
      </c>
      <c r="P67" s="53" t="str">
        <f aca="false">IF(LEN($A67)&lt;2,"",A67)</f>
        <v/>
      </c>
      <c r="Q67" s="16" t="str">
        <f aca="false">IF(LEN($A67 )&lt;2,"",VLOOKUP($A67,All_Data,Q$112,0))</f>
        <v/>
      </c>
      <c r="R67" s="26" t="n">
        <f aca="false">SUM(S67:Z67)</f>
        <v>0</v>
      </c>
      <c r="S67" s="14" t="str">
        <f aca="false">IF(LEN($A67 )&lt;2,"",VLOOKUP($A67,All_Data,S$112,0))</f>
        <v/>
      </c>
      <c r="T67" s="15" t="str">
        <f aca="false">IF(LEN($A67 )&lt;2,"",VLOOKUP($A67,All_Data,T$112,0))</f>
        <v/>
      </c>
      <c r="U67" s="15" t="str">
        <f aca="false">IF(LEN($A67 )&lt;2,"",VLOOKUP($A67,All_Data,U$112,0))</f>
        <v/>
      </c>
      <c r="V67" s="15" t="str">
        <f aca="false">IF(LEN($A67 )&lt;2,"",VLOOKUP($A67,All_Data,V$112,0))</f>
        <v/>
      </c>
      <c r="W67" s="15" t="str">
        <f aca="false">IF(LEN($A67 )&lt;2,"",VLOOKUP($A67,All_Data,W$112,0))</f>
        <v/>
      </c>
      <c r="X67" s="15" t="str">
        <f aca="false">IF(LEN($A67 )&lt;2,"",VLOOKUP($A67,All_Data,X$112,0))</f>
        <v/>
      </c>
      <c r="Y67" s="15" t="str">
        <f aca="false">IF(LEN($A67 )&lt;2,"",VLOOKUP($A67,All_Data,Y$112,0))</f>
        <v/>
      </c>
      <c r="Z67" s="16" t="str">
        <f aca="false">IF(LEN($A67 )&lt;2,"",VLOOKUP($A67,All_Data,Z$112,0))</f>
        <v/>
      </c>
      <c r="AA67" s="25" t="n">
        <f aca="false">IF(N67=0,,R67/N67*1000)</f>
        <v>0</v>
      </c>
      <c r="AB67" s="26" t="n">
        <f aca="false">IF(LEN($A67 )&lt;2,,VLOOKUP($A67,All_Data,AB$112,0))</f>
        <v>0</v>
      </c>
      <c r="AC67" s="27" t="n">
        <f aca="false">IF(AB67=0,,R67/AB67)</f>
        <v>0</v>
      </c>
    </row>
    <row r="68" customFormat="false" ht="15" hidden="false" customHeight="false" outlineLevel="0" collapsed="false">
      <c r="A68" s="53"/>
      <c r="B68" s="16" t="str">
        <f aca="false">IF(LEN($A68 )&lt;2,"",VLOOKUP($A68,All_Data,B$112,0))</f>
        <v/>
      </c>
      <c r="C68" s="26" t="str">
        <f aca="false">IF(LEN($A68 )&lt;2,"",VLOOKUP($A68,All_Data,C$112,0))</f>
        <v/>
      </c>
      <c r="D68" s="14" t="str">
        <f aca="false">IF(LEN($A68 )&lt;2,"",VLOOKUP($A68,All_Data,D$112,0))</f>
        <v/>
      </c>
      <c r="E68" s="15" t="str">
        <f aca="false">IF(LEN($A68 )&lt;2,"",VLOOKUP($A68,All_Data,E$112,0))</f>
        <v/>
      </c>
      <c r="F68" s="15" t="str">
        <f aca="false">IF(LEN($A68 )&lt;2,"",VLOOKUP($A68,All_Data,F$112,0))</f>
        <v/>
      </c>
      <c r="G68" s="15" t="str">
        <f aca="false">IF(LEN($A68 )&lt;2,"",VLOOKUP($A68,All_Data,G$112,0))</f>
        <v/>
      </c>
      <c r="H68" s="15" t="str">
        <f aca="false">IF(LEN($A68 )&lt;2,"",VLOOKUP($A68,All_Data,H$112,0))</f>
        <v/>
      </c>
      <c r="I68" s="15" t="str">
        <f aca="false">IF(LEN($A68 )&lt;2,"",VLOOKUP($A68,All_Data,I$112,0))</f>
        <v/>
      </c>
      <c r="J68" s="15" t="str">
        <f aca="false">IF(LEN($A68 )&lt;2,"",VLOOKUP($A68,All_Data,J$112,0))</f>
        <v/>
      </c>
      <c r="K68" s="15" t="str">
        <f aca="false">IF(LEN($A68 )&lt;2,"",VLOOKUP($A68,All_Data,K$112,0))</f>
        <v/>
      </c>
      <c r="L68" s="15" t="str">
        <f aca="false">IF(LEN($A68 )&lt;2,"",VLOOKUP($A68,All_Data,L$112,0))</f>
        <v/>
      </c>
      <c r="M68" s="15" t="str">
        <f aca="false">IF(LEN($A68 )&lt;2,"",VLOOKUP($A68,All_Data,M$112,0))</f>
        <v/>
      </c>
      <c r="N68" s="87" t="n">
        <f aca="false">SUM(D68:M68)</f>
        <v>0</v>
      </c>
      <c r="P68" s="53" t="str">
        <f aca="false">IF(LEN($A68)&lt;2,"",A68)</f>
        <v/>
      </c>
      <c r="Q68" s="16" t="str">
        <f aca="false">IF(LEN($A68 )&lt;2,"",VLOOKUP($A68,All_Data,Q$112,0))</f>
        <v/>
      </c>
      <c r="R68" s="26" t="n">
        <f aca="false">SUM(S68:Z68)</f>
        <v>0</v>
      </c>
      <c r="S68" s="14" t="str">
        <f aca="false">IF(LEN($A68 )&lt;2,"",VLOOKUP($A68,All_Data,S$112,0))</f>
        <v/>
      </c>
      <c r="T68" s="15" t="str">
        <f aca="false">IF(LEN($A68 )&lt;2,"",VLOOKUP($A68,All_Data,T$112,0))</f>
        <v/>
      </c>
      <c r="U68" s="15" t="str">
        <f aca="false">IF(LEN($A68 )&lt;2,"",VLOOKUP($A68,All_Data,U$112,0))</f>
        <v/>
      </c>
      <c r="V68" s="15" t="str">
        <f aca="false">IF(LEN($A68 )&lt;2,"",VLOOKUP($A68,All_Data,V$112,0))</f>
        <v/>
      </c>
      <c r="W68" s="15" t="str">
        <f aca="false">IF(LEN($A68 )&lt;2,"",VLOOKUP($A68,All_Data,W$112,0))</f>
        <v/>
      </c>
      <c r="X68" s="15" t="str">
        <f aca="false">IF(LEN($A68 )&lt;2,"",VLOOKUP($A68,All_Data,X$112,0))</f>
        <v/>
      </c>
      <c r="Y68" s="15" t="str">
        <f aca="false">IF(LEN($A68 )&lt;2,"",VLOOKUP($A68,All_Data,Y$112,0))</f>
        <v/>
      </c>
      <c r="Z68" s="16" t="str">
        <f aca="false">IF(LEN($A68 )&lt;2,"",VLOOKUP($A68,All_Data,Z$112,0))</f>
        <v/>
      </c>
      <c r="AA68" s="25" t="n">
        <f aca="false">IF(N68=0,,R68/N68*1000)</f>
        <v>0</v>
      </c>
      <c r="AB68" s="26" t="n">
        <f aca="false">IF(LEN($A68 )&lt;2,,VLOOKUP($A68,All_Data,AB$112,0))</f>
        <v>0</v>
      </c>
      <c r="AC68" s="27" t="n">
        <f aca="false">IF(AB68=0,,R68/AB68)</f>
        <v>0</v>
      </c>
    </row>
    <row r="69" customFormat="false" ht="15" hidden="false" customHeight="false" outlineLevel="0" collapsed="false">
      <c r="A69" s="53"/>
      <c r="B69" s="16" t="str">
        <f aca="false">IF(LEN($A69 )&lt;2,"",VLOOKUP($A69,All_Data,B$112,0))</f>
        <v/>
      </c>
      <c r="C69" s="26" t="str">
        <f aca="false">IF(LEN($A69 )&lt;2,"",VLOOKUP($A69,All_Data,C$112,0))</f>
        <v/>
      </c>
      <c r="D69" s="14" t="str">
        <f aca="false">IF(LEN($A69 )&lt;2,"",VLOOKUP($A69,All_Data,D$112,0))</f>
        <v/>
      </c>
      <c r="E69" s="15" t="str">
        <f aca="false">IF(LEN($A69 )&lt;2,"",VLOOKUP($A69,All_Data,E$112,0))</f>
        <v/>
      </c>
      <c r="F69" s="15" t="str">
        <f aca="false">IF(LEN($A69 )&lt;2,"",VLOOKUP($A69,All_Data,F$112,0))</f>
        <v/>
      </c>
      <c r="G69" s="15" t="str">
        <f aca="false">IF(LEN($A69 )&lt;2,"",VLOOKUP($A69,All_Data,G$112,0))</f>
        <v/>
      </c>
      <c r="H69" s="15" t="str">
        <f aca="false">IF(LEN($A69 )&lt;2,"",VLOOKUP($A69,All_Data,H$112,0))</f>
        <v/>
      </c>
      <c r="I69" s="15" t="str">
        <f aca="false">IF(LEN($A69 )&lt;2,"",VLOOKUP($A69,All_Data,I$112,0))</f>
        <v/>
      </c>
      <c r="J69" s="15" t="str">
        <f aca="false">IF(LEN($A69 )&lt;2,"",VLOOKUP($A69,All_Data,J$112,0))</f>
        <v/>
      </c>
      <c r="K69" s="15" t="str">
        <f aca="false">IF(LEN($A69 )&lt;2,"",VLOOKUP($A69,All_Data,K$112,0))</f>
        <v/>
      </c>
      <c r="L69" s="15" t="str">
        <f aca="false">IF(LEN($A69 )&lt;2,"",VLOOKUP($A69,All_Data,L$112,0))</f>
        <v/>
      </c>
      <c r="M69" s="15" t="str">
        <f aca="false">IF(LEN($A69 )&lt;2,"",VLOOKUP($A69,All_Data,M$112,0))</f>
        <v/>
      </c>
      <c r="N69" s="87" t="n">
        <f aca="false">SUM(D69:M69)</f>
        <v>0</v>
      </c>
      <c r="P69" s="53" t="str">
        <f aca="false">IF(LEN($A69)&lt;2,"",A69)</f>
        <v/>
      </c>
      <c r="Q69" s="16" t="str">
        <f aca="false">IF(LEN($A69 )&lt;2,"",VLOOKUP($A69,All_Data,Q$112,0))</f>
        <v/>
      </c>
      <c r="R69" s="26" t="n">
        <f aca="false">SUM(S69:Z69)</f>
        <v>0</v>
      </c>
      <c r="S69" s="14" t="str">
        <f aca="false">IF(LEN($A69 )&lt;2,"",VLOOKUP($A69,All_Data,S$112,0))</f>
        <v/>
      </c>
      <c r="T69" s="15" t="str">
        <f aca="false">IF(LEN($A69 )&lt;2,"",VLOOKUP($A69,All_Data,T$112,0))</f>
        <v/>
      </c>
      <c r="U69" s="15" t="str">
        <f aca="false">IF(LEN($A69 )&lt;2,"",VLOOKUP($A69,All_Data,U$112,0))</f>
        <v/>
      </c>
      <c r="V69" s="15" t="str">
        <f aca="false">IF(LEN($A69 )&lt;2,"",VLOOKUP($A69,All_Data,V$112,0))</f>
        <v/>
      </c>
      <c r="W69" s="15" t="str">
        <f aca="false">IF(LEN($A69 )&lt;2,"",VLOOKUP($A69,All_Data,W$112,0))</f>
        <v/>
      </c>
      <c r="X69" s="15" t="str">
        <f aca="false">IF(LEN($A69 )&lt;2,"",VLOOKUP($A69,All_Data,X$112,0))</f>
        <v/>
      </c>
      <c r="Y69" s="15" t="str">
        <f aca="false">IF(LEN($A69 )&lt;2,"",VLOOKUP($A69,All_Data,Y$112,0))</f>
        <v/>
      </c>
      <c r="Z69" s="16" t="str">
        <f aca="false">IF(LEN($A69 )&lt;2,"",VLOOKUP($A69,All_Data,Z$112,0))</f>
        <v/>
      </c>
      <c r="AA69" s="25" t="n">
        <f aca="false">IF(N69=0,,R69/N69*1000)</f>
        <v>0</v>
      </c>
      <c r="AB69" s="26" t="n">
        <f aca="false">IF(LEN($A69 )&lt;2,,VLOOKUP($A69,All_Data,AB$112,0))</f>
        <v>0</v>
      </c>
      <c r="AC69" s="27" t="n">
        <f aca="false">IF(AB69=0,,R69/AB69)</f>
        <v>0</v>
      </c>
    </row>
    <row r="70" customFormat="false" ht="15" hidden="false" customHeight="false" outlineLevel="0" collapsed="false">
      <c r="A70" s="53"/>
      <c r="B70" s="16" t="str">
        <f aca="false">IF(LEN($A70 )&lt;2,"",VLOOKUP($A70,All_Data,B$112,0))</f>
        <v/>
      </c>
      <c r="C70" s="26" t="str">
        <f aca="false">IF(LEN($A70 )&lt;2,"",VLOOKUP($A70,All_Data,C$112,0))</f>
        <v/>
      </c>
      <c r="D70" s="14" t="str">
        <f aca="false">IF(LEN($A70 )&lt;2,"",VLOOKUP($A70,All_Data,D$112,0))</f>
        <v/>
      </c>
      <c r="E70" s="15" t="str">
        <f aca="false">IF(LEN($A70 )&lt;2,"",VLOOKUP($A70,All_Data,E$112,0))</f>
        <v/>
      </c>
      <c r="F70" s="15" t="str">
        <f aca="false">IF(LEN($A70 )&lt;2,"",VLOOKUP($A70,All_Data,F$112,0))</f>
        <v/>
      </c>
      <c r="G70" s="15" t="str">
        <f aca="false">IF(LEN($A70 )&lt;2,"",VLOOKUP($A70,All_Data,G$112,0))</f>
        <v/>
      </c>
      <c r="H70" s="15" t="str">
        <f aca="false">IF(LEN($A70 )&lt;2,"",VLOOKUP($A70,All_Data,H$112,0))</f>
        <v/>
      </c>
      <c r="I70" s="15" t="str">
        <f aca="false">IF(LEN($A70 )&lt;2,"",VLOOKUP($A70,All_Data,I$112,0))</f>
        <v/>
      </c>
      <c r="J70" s="15" t="str">
        <f aca="false">IF(LEN($A70 )&lt;2,"",VLOOKUP($A70,All_Data,J$112,0))</f>
        <v/>
      </c>
      <c r="K70" s="15" t="str">
        <f aca="false">IF(LEN($A70 )&lt;2,"",VLOOKUP($A70,All_Data,K$112,0))</f>
        <v/>
      </c>
      <c r="L70" s="15" t="str">
        <f aca="false">IF(LEN($A70 )&lt;2,"",VLOOKUP($A70,All_Data,L$112,0))</f>
        <v/>
      </c>
      <c r="M70" s="15" t="str">
        <f aca="false">IF(LEN($A70 )&lt;2,"",VLOOKUP($A70,All_Data,M$112,0))</f>
        <v/>
      </c>
      <c r="N70" s="87" t="n">
        <f aca="false">SUM(D70:M70)</f>
        <v>0</v>
      </c>
      <c r="P70" s="53" t="str">
        <f aca="false">IF(LEN($A70)&lt;2,"",A70)</f>
        <v/>
      </c>
      <c r="Q70" s="16" t="str">
        <f aca="false">IF(LEN($A70 )&lt;2,"",VLOOKUP($A70,All_Data,Q$112,0))</f>
        <v/>
      </c>
      <c r="R70" s="26" t="n">
        <f aca="false">SUM(S70:Z70)</f>
        <v>0</v>
      </c>
      <c r="S70" s="14" t="str">
        <f aca="false">IF(LEN($A70 )&lt;2,"",VLOOKUP($A70,All_Data,S$112,0))</f>
        <v/>
      </c>
      <c r="T70" s="15" t="str">
        <f aca="false">IF(LEN($A70 )&lt;2,"",VLOOKUP($A70,All_Data,T$112,0))</f>
        <v/>
      </c>
      <c r="U70" s="15" t="str">
        <f aca="false">IF(LEN($A70 )&lt;2,"",VLOOKUP($A70,All_Data,U$112,0))</f>
        <v/>
      </c>
      <c r="V70" s="15" t="str">
        <f aca="false">IF(LEN($A70 )&lt;2,"",VLOOKUP($A70,All_Data,V$112,0))</f>
        <v/>
      </c>
      <c r="W70" s="15" t="str">
        <f aca="false">IF(LEN($A70 )&lt;2,"",VLOOKUP($A70,All_Data,W$112,0))</f>
        <v/>
      </c>
      <c r="X70" s="15" t="str">
        <f aca="false">IF(LEN($A70 )&lt;2,"",VLOOKUP($A70,All_Data,X$112,0))</f>
        <v/>
      </c>
      <c r="Y70" s="15" t="str">
        <f aca="false">IF(LEN($A70 )&lt;2,"",VLOOKUP($A70,All_Data,Y$112,0))</f>
        <v/>
      </c>
      <c r="Z70" s="16" t="str">
        <f aca="false">IF(LEN($A70 )&lt;2,"",VLOOKUP($A70,All_Data,Z$112,0))</f>
        <v/>
      </c>
      <c r="AA70" s="25" t="n">
        <f aca="false">IF(N70=0,,R70/N70*1000)</f>
        <v>0</v>
      </c>
      <c r="AB70" s="26" t="n">
        <f aca="false">IF(LEN($A70 )&lt;2,,VLOOKUP($A70,All_Data,AB$112,0))</f>
        <v>0</v>
      </c>
      <c r="AC70" s="27" t="n">
        <f aca="false">IF(AB70=0,,R70/AB70)</f>
        <v>0</v>
      </c>
    </row>
    <row r="71" customFormat="false" ht="15" hidden="false" customHeight="false" outlineLevel="0" collapsed="false">
      <c r="A71" s="53"/>
      <c r="B71" s="16" t="str">
        <f aca="false">IF(LEN($A71 )&lt;2,"",VLOOKUP($A71,All_Data,B$112,0))</f>
        <v/>
      </c>
      <c r="C71" s="26" t="str">
        <f aca="false">IF(LEN($A71 )&lt;2,"",VLOOKUP($A71,All_Data,C$112,0))</f>
        <v/>
      </c>
      <c r="D71" s="14" t="str">
        <f aca="false">IF(LEN($A71 )&lt;2,"",VLOOKUP($A71,All_Data,D$112,0))</f>
        <v/>
      </c>
      <c r="E71" s="15" t="str">
        <f aca="false">IF(LEN($A71 )&lt;2,"",VLOOKUP($A71,All_Data,E$112,0))</f>
        <v/>
      </c>
      <c r="F71" s="15" t="str">
        <f aca="false">IF(LEN($A71 )&lt;2,"",VLOOKUP($A71,All_Data,F$112,0))</f>
        <v/>
      </c>
      <c r="G71" s="15" t="str">
        <f aca="false">IF(LEN($A71 )&lt;2,"",VLOOKUP($A71,All_Data,G$112,0))</f>
        <v/>
      </c>
      <c r="H71" s="15" t="str">
        <f aca="false">IF(LEN($A71 )&lt;2,"",VLOOKUP($A71,All_Data,H$112,0))</f>
        <v/>
      </c>
      <c r="I71" s="15" t="str">
        <f aca="false">IF(LEN($A71 )&lt;2,"",VLOOKUP($A71,All_Data,I$112,0))</f>
        <v/>
      </c>
      <c r="J71" s="15" t="str">
        <f aca="false">IF(LEN($A71 )&lt;2,"",VLOOKUP($A71,All_Data,J$112,0))</f>
        <v/>
      </c>
      <c r="K71" s="15" t="str">
        <f aca="false">IF(LEN($A71 )&lt;2,"",VLOOKUP($A71,All_Data,K$112,0))</f>
        <v/>
      </c>
      <c r="L71" s="15" t="str">
        <f aca="false">IF(LEN($A71 )&lt;2,"",VLOOKUP($A71,All_Data,L$112,0))</f>
        <v/>
      </c>
      <c r="M71" s="15" t="str">
        <f aca="false">IF(LEN($A71 )&lt;2,"",VLOOKUP($A71,All_Data,M$112,0))</f>
        <v/>
      </c>
      <c r="N71" s="87" t="n">
        <f aca="false">SUM(D71:M71)</f>
        <v>0</v>
      </c>
      <c r="P71" s="53" t="str">
        <f aca="false">IF(LEN($A71)&lt;2,"",A71)</f>
        <v/>
      </c>
      <c r="Q71" s="16" t="str">
        <f aca="false">IF(LEN($A71 )&lt;2,"",VLOOKUP($A71,All_Data,Q$112,0))</f>
        <v/>
      </c>
      <c r="R71" s="26" t="n">
        <f aca="false">SUM(S71:Z71)</f>
        <v>0</v>
      </c>
      <c r="S71" s="14" t="str">
        <f aca="false">IF(LEN($A71 )&lt;2,"",VLOOKUP($A71,All_Data,S$112,0))</f>
        <v/>
      </c>
      <c r="T71" s="15" t="str">
        <f aca="false">IF(LEN($A71 )&lt;2,"",VLOOKUP($A71,All_Data,T$112,0))</f>
        <v/>
      </c>
      <c r="U71" s="15" t="str">
        <f aca="false">IF(LEN($A71 )&lt;2,"",VLOOKUP($A71,All_Data,U$112,0))</f>
        <v/>
      </c>
      <c r="V71" s="15" t="str">
        <f aca="false">IF(LEN($A71 )&lt;2,"",VLOOKUP($A71,All_Data,V$112,0))</f>
        <v/>
      </c>
      <c r="W71" s="15" t="str">
        <f aca="false">IF(LEN($A71 )&lt;2,"",VLOOKUP($A71,All_Data,W$112,0))</f>
        <v/>
      </c>
      <c r="X71" s="15" t="str">
        <f aca="false">IF(LEN($A71 )&lt;2,"",VLOOKUP($A71,All_Data,X$112,0))</f>
        <v/>
      </c>
      <c r="Y71" s="15" t="str">
        <f aca="false">IF(LEN($A71 )&lt;2,"",VLOOKUP($A71,All_Data,Y$112,0))</f>
        <v/>
      </c>
      <c r="Z71" s="16" t="str">
        <f aca="false">IF(LEN($A71 )&lt;2,"",VLOOKUP($A71,All_Data,Z$112,0))</f>
        <v/>
      </c>
      <c r="AA71" s="25" t="n">
        <f aca="false">IF(N71=0,,R71/N71*1000)</f>
        <v>0</v>
      </c>
      <c r="AB71" s="26" t="n">
        <f aca="false">IF(LEN($A71 )&lt;2,,VLOOKUP($A71,All_Data,AB$112,0))</f>
        <v>0</v>
      </c>
      <c r="AC71" s="27" t="n">
        <f aca="false">IF(AB71=0,,R71/AB71)</f>
        <v>0</v>
      </c>
    </row>
    <row r="72" customFormat="false" ht="15" hidden="false" customHeight="false" outlineLevel="0" collapsed="false">
      <c r="A72" s="105" t="s">
        <v>137</v>
      </c>
      <c r="B72" s="106"/>
      <c r="C72" s="107" t="e">
        <f aca="false">D72</f>
        <v>#REF!</v>
      </c>
      <c r="D72" s="108" t="e">
        <f aca="false">Plant!D49</f>
        <v>#REF!</v>
      </c>
      <c r="E72" s="15"/>
      <c r="F72" s="15"/>
      <c r="G72" s="15"/>
      <c r="H72" s="15"/>
      <c r="I72" s="15"/>
      <c r="J72" s="15"/>
      <c r="K72" s="15"/>
      <c r="L72" s="15"/>
      <c r="M72" s="15"/>
      <c r="N72" s="87"/>
      <c r="P72" s="53"/>
      <c r="Q72" s="16"/>
      <c r="R72" s="26"/>
      <c r="S72" s="14"/>
      <c r="T72" s="15"/>
      <c r="U72" s="15"/>
      <c r="V72" s="15"/>
      <c r="W72" s="15"/>
      <c r="X72" s="15"/>
      <c r="Y72" s="15"/>
      <c r="Z72" s="16"/>
      <c r="AA72" s="25"/>
      <c r="AB72" s="26"/>
      <c r="AC72" s="27"/>
    </row>
    <row r="73" customFormat="false" ht="15" hidden="false" customHeight="false" outlineLevel="0" collapsed="false">
      <c r="A73" s="109"/>
      <c r="B73" s="110"/>
      <c r="C73" s="111" t="e">
        <f aca="false">SUM(C62:C72)</f>
        <v>#REF!</v>
      </c>
      <c r="D73" s="112" t="e">
        <f aca="false">SUM(D62:D72)</f>
        <v>#REF!</v>
      </c>
      <c r="E73" s="113" t="n">
        <f aca="false">SUM(E62:E66)</f>
        <v>3872.6865995</v>
      </c>
      <c r="F73" s="113" t="n">
        <f aca="false">SUM(F62:F66)</f>
        <v>283604.7040392</v>
      </c>
      <c r="G73" s="113" t="n">
        <f aca="false">SUM(G62:G66)</f>
        <v>6003.3885326</v>
      </c>
      <c r="H73" s="113" t="n">
        <f aca="false">SUM(H62:H66)</f>
        <v>462.6979549</v>
      </c>
      <c r="I73" s="113" t="n">
        <f aca="false">SUM(I62:I66)</f>
        <v>20.8495259</v>
      </c>
      <c r="J73" s="113" t="n">
        <f aca="false">SUM(J62:J66)</f>
        <v>30.2869127</v>
      </c>
      <c r="K73" s="113" t="n">
        <f aca="false">SUM(K62:K66)</f>
        <v>0</v>
      </c>
      <c r="L73" s="113" t="n">
        <f aca="false">SUM(L62:L66)</f>
        <v>0</v>
      </c>
      <c r="M73" s="113" t="n">
        <f aca="false">SUM(M62:M66)</f>
        <v>0</v>
      </c>
      <c r="N73" s="114" t="e">
        <f aca="false">SUM(D73:M73)</f>
        <v>#REF!</v>
      </c>
      <c r="P73" s="109"/>
      <c r="Q73" s="110"/>
      <c r="R73" s="111" t="n">
        <f aca="false">SUM(R62:R66)</f>
        <v>298059.79447338</v>
      </c>
      <c r="S73" s="112" t="n">
        <f aca="false">SUM(S62:S66)</f>
        <v>286116.356322765</v>
      </c>
      <c r="T73" s="113" t="n">
        <f aca="false">SUM(T62:T66)</f>
        <v>10614.0500317121</v>
      </c>
      <c r="U73" s="113" t="n">
        <f aca="false">SUM(U62:U66)</f>
        <v>1162.97229338797</v>
      </c>
      <c r="V73" s="113" t="n">
        <f aca="false">SUM(V62:V66)</f>
        <v>67.7229491248119</v>
      </c>
      <c r="W73" s="113" t="n">
        <f aca="false">SUM(W62:W66)</f>
        <v>98.6928763910026</v>
      </c>
      <c r="X73" s="113" t="n">
        <f aca="false">SUM(X62:X66)</f>
        <v>0</v>
      </c>
      <c r="Y73" s="113" t="n">
        <f aca="false">SUM(Y62:Y66)</f>
        <v>0</v>
      </c>
      <c r="Z73" s="115" t="n">
        <f aca="false">SUM(Z62:Z66)</f>
        <v>0</v>
      </c>
      <c r="AA73" s="116" t="n">
        <f aca="false">SUM(AA62:AA66)</f>
        <v>5116.18896824694</v>
      </c>
      <c r="AB73" s="111" t="n">
        <f aca="false">SUM(AB62:AB66)</f>
        <v>298115.24</v>
      </c>
      <c r="AC73" s="117" t="n">
        <f aca="false">IF(AB73=0,,R73/AB73)</f>
        <v>0.999814013109093</v>
      </c>
    </row>
    <row r="74" customFormat="false" ht="15" hidden="false" customHeight="false" outlineLevel="0" collapsed="false">
      <c r="A74" s="53" t="s">
        <v>138</v>
      </c>
      <c r="B74" s="16" t="str">
        <f aca="false">VLOOKUP($A74,All_Data,B$112,0)</f>
        <v>BOP VRU Makeup #2</v>
      </c>
      <c r="C74" s="26" t="n">
        <f aca="false">VLOOKUP($A74,All_Data,C$112,0)</f>
        <v>0</v>
      </c>
      <c r="D74" s="14" t="n">
        <f aca="false">VLOOKUP($A74,All_Data,D$112,0)</f>
        <v>0</v>
      </c>
      <c r="E74" s="15" t="n">
        <f aca="false">VLOOKUP($A74,All_Data,E$112,0)</f>
        <v>0</v>
      </c>
      <c r="F74" s="15" t="n">
        <f aca="false">VLOOKUP($A74,All_Data,F$112,0)</f>
        <v>0</v>
      </c>
      <c r="G74" s="15" t="n">
        <f aca="false">VLOOKUP($A74,All_Data,G$112,0)</f>
        <v>0</v>
      </c>
      <c r="H74" s="15" t="n">
        <f aca="false">VLOOKUP($A74,All_Data,H$112,0)</f>
        <v>0</v>
      </c>
      <c r="I74" s="15" t="n">
        <f aca="false">VLOOKUP($A74,All_Data,I$112,0)</f>
        <v>0</v>
      </c>
      <c r="J74" s="15" t="n">
        <f aca="false">VLOOKUP($A74,All_Data,J$112,0)</f>
        <v>0</v>
      </c>
      <c r="K74" s="15" t="n">
        <f aca="false">VLOOKUP($A74,All_Data,K$112,0)</f>
        <v>0</v>
      </c>
      <c r="L74" s="15" t="n">
        <f aca="false">VLOOKUP($A74,All_Data,L$112,0)</f>
        <v>0</v>
      </c>
      <c r="M74" s="15" t="n">
        <f aca="false">VLOOKUP($A74,All_Data,M$112,0)</f>
        <v>0</v>
      </c>
      <c r="N74" s="87" t="n">
        <f aca="false">SUM(D74:M74)</f>
        <v>0</v>
      </c>
      <c r="P74" s="53" t="str">
        <f aca="false">A74</f>
        <v>5.00.5</v>
      </c>
      <c r="Q74" s="16" t="str">
        <f aca="false">VLOOKUP($A74,All_Data,Q$112,0)</f>
        <v>BOP VRU Makeup #2</v>
      </c>
      <c r="R74" s="26" t="n">
        <f aca="false">SUM(S74:Z74)</f>
        <v>0</v>
      </c>
      <c r="S74" s="14" t="n">
        <f aca="false">VLOOKUP($A74,All_Data,S$112,0)</f>
        <v>0</v>
      </c>
      <c r="T74" s="15" t="n">
        <f aca="false">VLOOKUP($A74,All_Data,T$112,0)</f>
        <v>0</v>
      </c>
      <c r="U74" s="15" t="n">
        <f aca="false">VLOOKUP($A74,All_Data,U$112,0)</f>
        <v>0</v>
      </c>
      <c r="V74" s="15" t="n">
        <f aca="false">VLOOKUP($A74,All_Data,V$112,0)</f>
        <v>0</v>
      </c>
      <c r="W74" s="15" t="n">
        <f aca="false">VLOOKUP($A74,All_Data,W$112,0)</f>
        <v>0</v>
      </c>
      <c r="X74" s="15" t="n">
        <f aca="false">VLOOKUP($A74,All_Data,X$112,0)</f>
        <v>0</v>
      </c>
      <c r="Y74" s="15" t="n">
        <f aca="false">VLOOKUP($A74,All_Data,Y$112,0)</f>
        <v>0</v>
      </c>
      <c r="Z74" s="16" t="n">
        <f aca="false">VLOOKUP($A74,All_Data,Z$112,0)</f>
        <v>0</v>
      </c>
      <c r="AA74" s="25" t="n">
        <f aca="false">IF(N74=0,,R74/N74*1000)</f>
        <v>0</v>
      </c>
      <c r="AB74" s="26" t="n">
        <f aca="false">VLOOKUP($A74,All_Data,AB$112,0)</f>
        <v>0</v>
      </c>
      <c r="AC74" s="27" t="n">
        <f aca="false">IF(AB74=0,,R74/AB74)</f>
        <v>0</v>
      </c>
    </row>
    <row r="75" customFormat="false" ht="15" hidden="false" customHeight="false" outlineLevel="0" collapsed="false">
      <c r="A75" s="53"/>
      <c r="B75" s="54"/>
      <c r="C75" s="26"/>
      <c r="D75" s="14"/>
      <c r="E75" s="15"/>
      <c r="F75" s="15"/>
      <c r="G75" s="15"/>
      <c r="H75" s="15"/>
      <c r="I75" s="15"/>
      <c r="J75" s="15"/>
      <c r="K75" s="15"/>
      <c r="L75" s="15"/>
      <c r="M75" s="15"/>
      <c r="N75" s="88"/>
      <c r="P75" s="53"/>
      <c r="Q75" s="54"/>
      <c r="R75" s="26"/>
      <c r="S75" s="14"/>
      <c r="T75" s="15"/>
      <c r="U75" s="15"/>
      <c r="V75" s="15"/>
      <c r="W75" s="15"/>
      <c r="X75" s="15"/>
      <c r="Y75" s="15"/>
      <c r="Z75" s="16"/>
      <c r="AA75" s="25"/>
      <c r="AB75" s="26"/>
      <c r="AC75" s="27"/>
    </row>
    <row r="76" customFormat="false" ht="15" hidden="false" customHeight="false" outlineLevel="0" collapsed="false">
      <c r="A76" s="89"/>
      <c r="B76" s="90"/>
      <c r="C76" s="91" t="e">
        <f aca="false">C73-C74</f>
        <v>#REF!</v>
      </c>
      <c r="D76" s="92" t="e">
        <f aca="false">D73-D74</f>
        <v>#REF!</v>
      </c>
      <c r="E76" s="93" t="n">
        <f aca="false">E73-E74</f>
        <v>3872.6865995</v>
      </c>
      <c r="F76" s="93" t="n">
        <f aca="false">F73-F74</f>
        <v>283604.7040392</v>
      </c>
      <c r="G76" s="93" t="n">
        <f aca="false">G73-G74</f>
        <v>6003.3885326</v>
      </c>
      <c r="H76" s="93" t="n">
        <f aca="false">H73-H74</f>
        <v>462.6979549</v>
      </c>
      <c r="I76" s="93" t="n">
        <f aca="false">I73-I74</f>
        <v>20.8495259</v>
      </c>
      <c r="J76" s="93" t="n">
        <f aca="false">J73-J74</f>
        <v>30.2869127</v>
      </c>
      <c r="K76" s="93" t="n">
        <f aca="false">K73-K74</f>
        <v>0</v>
      </c>
      <c r="L76" s="93" t="n">
        <f aca="false">L73-L74</f>
        <v>0</v>
      </c>
      <c r="M76" s="93" t="n">
        <f aca="false">M73-M74</f>
        <v>0</v>
      </c>
      <c r="N76" s="94" t="e">
        <f aca="false">SUM(D76:M76)</f>
        <v>#REF!</v>
      </c>
      <c r="P76" s="89"/>
      <c r="Q76" s="90"/>
      <c r="R76" s="91" t="n">
        <f aca="false">R73-R74</f>
        <v>298059.79447338</v>
      </c>
      <c r="S76" s="92" t="n">
        <f aca="false">S73-S74</f>
        <v>286116.356322765</v>
      </c>
      <c r="T76" s="93" t="n">
        <f aca="false">T73-T74</f>
        <v>10614.0500317121</v>
      </c>
      <c r="U76" s="93" t="n">
        <f aca="false">U73-U74</f>
        <v>1162.97229338797</v>
      </c>
      <c r="V76" s="93" t="n">
        <f aca="false">V73-V74</f>
        <v>67.7229491248119</v>
      </c>
      <c r="W76" s="93" t="n">
        <f aca="false">W73-W74</f>
        <v>98.6928763910026</v>
      </c>
      <c r="X76" s="93" t="n">
        <f aca="false">X73-X74</f>
        <v>0</v>
      </c>
      <c r="Y76" s="93" t="n">
        <f aca="false">Y73-Y74</f>
        <v>0</v>
      </c>
      <c r="Z76" s="95" t="n">
        <f aca="false">Z73-Z74</f>
        <v>0</v>
      </c>
      <c r="AA76" s="96" t="n">
        <f aca="false">AA73-AA74</f>
        <v>5116.18896824694</v>
      </c>
      <c r="AB76" s="91" t="n">
        <f aca="false">AB73-AB74</f>
        <v>298115.24</v>
      </c>
      <c r="AC76" s="97" t="n">
        <f aca="false">IF(AB76=0,,R76/AB76)</f>
        <v>0.999814013109093</v>
      </c>
    </row>
    <row r="77" customFormat="false" ht="15" hidden="false" customHeight="false" outlineLevel="0" collapsed="false">
      <c r="A77" s="79" t="s">
        <v>139</v>
      </c>
      <c r="B77" s="80"/>
      <c r="C77" s="98"/>
      <c r="D77" s="99"/>
      <c r="E77" s="100"/>
      <c r="F77" s="100"/>
      <c r="G77" s="100"/>
      <c r="H77" s="100"/>
      <c r="I77" s="100"/>
      <c r="J77" s="100"/>
      <c r="K77" s="100"/>
      <c r="L77" s="100"/>
      <c r="M77" s="100"/>
      <c r="N77" s="84"/>
      <c r="P77" s="79" t="s">
        <v>139</v>
      </c>
      <c r="Q77" s="80"/>
      <c r="R77" s="98"/>
      <c r="S77" s="99"/>
      <c r="T77" s="100"/>
      <c r="U77" s="100"/>
      <c r="V77" s="100"/>
      <c r="W77" s="100"/>
      <c r="X77" s="100"/>
      <c r="Y77" s="100"/>
      <c r="Z77" s="101"/>
      <c r="AA77" s="102"/>
      <c r="AB77" s="98"/>
      <c r="AC77" s="103"/>
    </row>
    <row r="78" customFormat="false" ht="15" hidden="false" customHeight="false" outlineLevel="0" collapsed="false">
      <c r="A78" s="53" t="s">
        <v>140</v>
      </c>
      <c r="B78" s="54"/>
      <c r="C78" s="26" t="n">
        <f aca="false">IF(LEN($A78)&lt;2,"",VLOOKUP($A78,Equiv_MCF,C$113,0))</f>
        <v>160.014644303232</v>
      </c>
      <c r="D78" s="14" t="n">
        <f aca="false">IF(LEN($A78)&lt;2,"",VLOOKUP($A78,Equiv_MCF,D$113,0))</f>
        <v>0.00370151669740082</v>
      </c>
      <c r="E78" s="15" t="n">
        <f aca="false">IF(LEN($A78)&lt;2,"",VLOOKUP($A78,Equiv_MCF,E$113,0))</f>
        <v>0.0861280292106888</v>
      </c>
      <c r="F78" s="15" t="n">
        <f aca="false">IF(LEN($A78)&lt;2,"",VLOOKUP($A78,Equiv_MCF,F$113,0))</f>
        <v>0.175132159452419</v>
      </c>
      <c r="G78" s="15" t="n">
        <f aca="false">IF(LEN($A78)&lt;2,"",VLOOKUP($A78,Equiv_MCF,G$113,0))</f>
        <v>0.781846825012181</v>
      </c>
      <c r="H78" s="15" t="n">
        <f aca="false">IF(LEN($A78)&lt;2,"",VLOOKUP($A78,Equiv_MCF,H$113,0))</f>
        <v>5.63608170401573</v>
      </c>
      <c r="I78" s="15" t="n">
        <f aca="false">IF(LEN($A78)&lt;2,"",VLOOKUP($A78,Equiv_MCF,I$113,0))</f>
        <v>2.90332386980622</v>
      </c>
      <c r="J78" s="15" t="n">
        <f aca="false">IF(LEN($A78)&lt;2,"",VLOOKUP($A78,Equiv_MCF,J$113,0))</f>
        <v>18.1819711206031</v>
      </c>
      <c r="K78" s="15" t="n">
        <f aca="false">IF(LEN($A78)&lt;2,"",VLOOKUP($A78,Equiv_MCF,K$113,0))</f>
        <v>14.1001462342186</v>
      </c>
      <c r="L78" s="15" t="n">
        <f aca="false">IF(LEN($A78)&lt;2,"",VLOOKUP($A78,Equiv_MCF,L$113,0))</f>
        <v>24.3228388628136</v>
      </c>
      <c r="M78" s="15" t="n">
        <f aca="false">IF(LEN($A78)&lt;2,"",VLOOKUP($A78,Equiv_MCF,M$113,0))</f>
        <v>93.823473981402</v>
      </c>
      <c r="N78" s="87" t="n">
        <f aca="false">SUM(D78:M78)</f>
        <v>160.014644303232</v>
      </c>
      <c r="P78" s="53" t="str">
        <f aca="false">IF(LEN($A78)&lt;2,"",A78)</f>
        <v>University Cond</v>
      </c>
      <c r="Q78" s="54"/>
      <c r="R78" s="26" t="n">
        <f aca="false">SUM(S78:Z78)</f>
        <v>783.913118247105</v>
      </c>
      <c r="S78" s="14" t="n">
        <f aca="false">IF(LEN($A78)&lt;2,"",VLOOKUP($A78,Equiv_MCF,S$113,0))</f>
        <v>0.191000067753703</v>
      </c>
      <c r="T78" s="15" t="n">
        <f aca="false">IF(LEN($A78)&lt;2,"",VLOOKUP($A78,Equiv_MCF,T$113,0))</f>
        <v>1.4941489925264</v>
      </c>
      <c r="U78" s="15" t="n">
        <f aca="false">IF(LEN($A78)&lt;2,"",VLOOKUP($A78,Equiv_MCF,U$113,0))</f>
        <v>15.3131259811404</v>
      </c>
      <c r="V78" s="15" t="n">
        <f aca="false">IF(LEN($A78)&lt;2,"",VLOOKUP($A78,Equiv_MCF,V$113,0))</f>
        <v>10.1951288137009</v>
      </c>
      <c r="W78" s="15" t="n">
        <f aca="false">IF(LEN($A78)&lt;2,"",VLOOKUP($A78,Equiv_MCF,W$113,0))</f>
        <v>64.0514943838139</v>
      </c>
      <c r="X78" s="15" t="n">
        <f aca="false">IF(LEN($A78)&lt;2,"",VLOOKUP($A78,Equiv_MCF,X$113,0))</f>
        <v>60.9181542262374</v>
      </c>
      <c r="Y78" s="15" t="n">
        <f aca="false">IF(LEN($A78)&lt;2,"",VLOOKUP($A78,Equiv_MCF,Y$113,0))</f>
        <v>105.289700374512</v>
      </c>
      <c r="Z78" s="16" t="n">
        <f aca="false">IF(LEN($A78)&lt;2,"",VLOOKUP($A78,Equiv_MCF,Z$113,0))</f>
        <v>526.46036540742</v>
      </c>
      <c r="AA78" s="25" t="n">
        <f aca="false">IF(N78=0,,R78/N78*1000)</f>
        <v>4899.00859799788</v>
      </c>
      <c r="AB78" s="26" t="n">
        <f aca="false">R78</f>
        <v>783.913118247105</v>
      </c>
      <c r="AC78" s="27" t="n">
        <f aca="false">IF(AB78=0,,R78/AB78)</f>
        <v>1</v>
      </c>
    </row>
    <row r="79" customFormat="false" ht="15" hidden="false" customHeight="false" outlineLevel="0" collapsed="false">
      <c r="A79" s="53" t="s">
        <v>141</v>
      </c>
      <c r="B79" s="54"/>
      <c r="C79" s="26" t="n">
        <f aca="false">IF(LEN($A79)&lt;2,"",VLOOKUP($A79,Equiv_MCF,C$113,0))</f>
        <v>0</v>
      </c>
      <c r="D79" s="14" t="n">
        <f aca="false">IF(LEN($A79)&lt;2,"",VLOOKUP($A79,Equiv_MCF,D$113,0))</f>
        <v>0</v>
      </c>
      <c r="E79" s="15" t="n">
        <f aca="false">IF(LEN($A79)&lt;2,"",VLOOKUP($A79,Equiv_MCF,E$113,0))</f>
        <v>0</v>
      </c>
      <c r="F79" s="15" t="n">
        <f aca="false">IF(LEN($A79)&lt;2,"",VLOOKUP($A79,Equiv_MCF,F$113,0))</f>
        <v>0</v>
      </c>
      <c r="G79" s="15" t="n">
        <f aca="false">IF(LEN($A79)&lt;2,"",VLOOKUP($A79,Equiv_MCF,G$113,0))</f>
        <v>0</v>
      </c>
      <c r="H79" s="15" t="n">
        <f aca="false">IF(LEN($A79)&lt;2,"",VLOOKUP($A79,Equiv_MCF,H$113,0))</f>
        <v>0</v>
      </c>
      <c r="I79" s="15" t="n">
        <f aca="false">IF(LEN($A79)&lt;2,"",VLOOKUP($A79,Equiv_MCF,I$113,0))</f>
        <v>0</v>
      </c>
      <c r="J79" s="15" t="n">
        <f aca="false">IF(LEN($A79)&lt;2,"",VLOOKUP($A79,Equiv_MCF,J$113,0))</f>
        <v>0</v>
      </c>
      <c r="K79" s="15" t="n">
        <f aca="false">IF(LEN($A79)&lt;2,"",VLOOKUP($A79,Equiv_MCF,K$113,0))</f>
        <v>0</v>
      </c>
      <c r="L79" s="15" t="n">
        <f aca="false">IF(LEN($A79)&lt;2,"",VLOOKUP($A79,Equiv_MCF,L$113,0))</f>
        <v>0</v>
      </c>
      <c r="M79" s="15" t="n">
        <f aca="false">IF(LEN($A79)&lt;2,"",VLOOKUP($A79,Equiv_MCF,M$113,0))</f>
        <v>0</v>
      </c>
      <c r="N79" s="87" t="n">
        <f aca="false">SUM(D79:M79)</f>
        <v>0</v>
      </c>
      <c r="P79" s="53" t="str">
        <f aca="false">IF(LEN($A79)&lt;2,"",A79)</f>
        <v>Ameredev Cond</v>
      </c>
      <c r="Q79" s="54"/>
      <c r="R79" s="26" t="n">
        <f aca="false">SUM(S79:Z79)</f>
        <v>0</v>
      </c>
      <c r="S79" s="14" t="n">
        <f aca="false">IF(LEN($A79)&lt;2,"",VLOOKUP($A79,Equiv_MCF,S$113,0))</f>
        <v>0</v>
      </c>
      <c r="T79" s="15" t="n">
        <f aca="false">IF(LEN($A79)&lt;2,"",VLOOKUP($A79,Equiv_MCF,T$113,0))</f>
        <v>0</v>
      </c>
      <c r="U79" s="15" t="n">
        <f aca="false">IF(LEN($A79)&lt;2,"",VLOOKUP($A79,Equiv_MCF,U$113,0))</f>
        <v>0</v>
      </c>
      <c r="V79" s="15" t="n">
        <f aca="false">IF(LEN($A79)&lt;2,"",VLOOKUP($A79,Equiv_MCF,V$113,0))</f>
        <v>0</v>
      </c>
      <c r="W79" s="15" t="n">
        <f aca="false">IF(LEN($A79)&lt;2,"",VLOOKUP($A79,Equiv_MCF,W$113,0))</f>
        <v>0</v>
      </c>
      <c r="X79" s="15" t="n">
        <f aca="false">IF(LEN($A79)&lt;2,"",VLOOKUP($A79,Equiv_MCF,X$113,0))</f>
        <v>0</v>
      </c>
      <c r="Y79" s="15" t="n">
        <f aca="false">IF(LEN($A79)&lt;2,"",VLOOKUP($A79,Equiv_MCF,Y$113,0))</f>
        <v>0</v>
      </c>
      <c r="Z79" s="16" t="n">
        <f aca="false">IF(LEN($A79)&lt;2,"",VLOOKUP($A79,Equiv_MCF,Z$113,0))</f>
        <v>0</v>
      </c>
      <c r="AA79" s="25" t="n">
        <f aca="false">IF(N79=0,,R79/N79*1000)</f>
        <v>0</v>
      </c>
      <c r="AB79" s="26" t="n">
        <f aca="false">R79</f>
        <v>0</v>
      </c>
      <c r="AC79" s="27" t="n">
        <f aca="false">IF(AB79=0,,R79/AB79)</f>
        <v>0</v>
      </c>
    </row>
    <row r="80" customFormat="false" ht="15" hidden="false" customHeight="false" outlineLevel="0" collapsed="false">
      <c r="A80" s="53" t="s">
        <v>142</v>
      </c>
      <c r="B80" s="54"/>
      <c r="C80" s="26" t="n">
        <f aca="false">IF(LEN($A80)&lt;2,"",VLOOKUP($A80,Equiv_MCF,C$113,0))</f>
        <v>0</v>
      </c>
      <c r="D80" s="14" t="n">
        <f aca="false">IF(LEN($A80)&lt;2,"",VLOOKUP($A80,Equiv_MCF,D$113,0))</f>
        <v>0</v>
      </c>
      <c r="E80" s="15" t="n">
        <f aca="false">IF(LEN($A80)&lt;2,"",VLOOKUP($A80,Equiv_MCF,E$113,0))</f>
        <v>0</v>
      </c>
      <c r="F80" s="15" t="n">
        <f aca="false">IF(LEN($A80)&lt;2,"",VLOOKUP($A80,Equiv_MCF,F$113,0))</f>
        <v>0</v>
      </c>
      <c r="G80" s="15" t="n">
        <f aca="false">IF(LEN($A80)&lt;2,"",VLOOKUP($A80,Equiv_MCF,G$113,0))</f>
        <v>0</v>
      </c>
      <c r="H80" s="15" t="n">
        <f aca="false">IF(LEN($A80)&lt;2,"",VLOOKUP($A80,Equiv_MCF,H$113,0))</f>
        <v>0</v>
      </c>
      <c r="I80" s="15" t="n">
        <f aca="false">IF(LEN($A80)&lt;2,"",VLOOKUP($A80,Equiv_MCF,I$113,0))</f>
        <v>0</v>
      </c>
      <c r="J80" s="15" t="n">
        <f aca="false">IF(LEN($A80)&lt;2,"",VLOOKUP($A80,Equiv_MCF,J$113,0))</f>
        <v>0</v>
      </c>
      <c r="K80" s="15" t="n">
        <f aca="false">IF(LEN($A80)&lt;2,"",VLOOKUP($A80,Equiv_MCF,K$113,0))</f>
        <v>0</v>
      </c>
      <c r="L80" s="15" t="n">
        <f aca="false">IF(LEN($A80)&lt;2,"",VLOOKUP($A80,Equiv_MCF,L$113,0))</f>
        <v>0</v>
      </c>
      <c r="M80" s="15" t="n">
        <f aca="false">IF(LEN($A80)&lt;2,"",VLOOKUP($A80,Equiv_MCF,M$113,0))</f>
        <v>0</v>
      </c>
      <c r="N80" s="87" t="n">
        <f aca="false">SUM(D80:M80)</f>
        <v>0</v>
      </c>
      <c r="P80" s="53" t="str">
        <f aca="false">IF(LEN($A80)&lt;2,"",A80)</f>
        <v>Bluto Cond</v>
      </c>
      <c r="Q80" s="54"/>
      <c r="R80" s="26" t="n">
        <f aca="false">SUM(S80:Z80)</f>
        <v>0</v>
      </c>
      <c r="S80" s="14" t="n">
        <f aca="false">IF(LEN($A80)&lt;2,"",VLOOKUP($A80,Equiv_MCF,S$113,0))</f>
        <v>0</v>
      </c>
      <c r="T80" s="15" t="n">
        <f aca="false">IF(LEN($A80)&lt;2,"",VLOOKUP($A80,Equiv_MCF,T$113,0))</f>
        <v>0</v>
      </c>
      <c r="U80" s="15" t="n">
        <f aca="false">IF(LEN($A80)&lt;2,"",VLOOKUP($A80,Equiv_MCF,U$113,0))</f>
        <v>0</v>
      </c>
      <c r="V80" s="15" t="n">
        <f aca="false">IF(LEN($A80)&lt;2,"",VLOOKUP($A80,Equiv_MCF,V$113,0))</f>
        <v>0</v>
      </c>
      <c r="W80" s="15" t="n">
        <f aca="false">IF(LEN($A80)&lt;2,"",VLOOKUP($A80,Equiv_MCF,W$113,0))</f>
        <v>0</v>
      </c>
      <c r="X80" s="15" t="n">
        <f aca="false">IF(LEN($A80)&lt;2,"",VLOOKUP($A80,Equiv_MCF,X$113,0))</f>
        <v>0</v>
      </c>
      <c r="Y80" s="15" t="n">
        <f aca="false">IF(LEN($A80)&lt;2,"",VLOOKUP($A80,Equiv_MCF,Y$113,0))</f>
        <v>0</v>
      </c>
      <c r="Z80" s="16" t="n">
        <f aca="false">IF(LEN($A80)&lt;2,"",VLOOKUP($A80,Equiv_MCF,Z$113,0))</f>
        <v>0</v>
      </c>
      <c r="AA80" s="25" t="n">
        <f aca="false">IF(N80=0,,R80/N80*1000)</f>
        <v>0</v>
      </c>
      <c r="AB80" s="26" t="n">
        <f aca="false">R80</f>
        <v>0</v>
      </c>
      <c r="AC80" s="27" t="n">
        <f aca="false">IF(AB80=0,,R80/AB80)</f>
        <v>0</v>
      </c>
    </row>
    <row r="81" customFormat="false" ht="15" hidden="false" customHeight="false" outlineLevel="0" collapsed="false">
      <c r="A81" s="53" t="s">
        <v>143</v>
      </c>
      <c r="B81" s="54"/>
      <c r="C81" s="26" t="n">
        <f aca="false">IF(LEN($A81)&lt;2,"",VLOOKUP($A81,Equiv_MCF,C$113,0))</f>
        <v>0</v>
      </c>
      <c r="D81" s="14" t="n">
        <f aca="false">IF(LEN($A81)&lt;2,"",VLOOKUP($A81,Equiv_MCF,D$113,0))</f>
        <v>0</v>
      </c>
      <c r="E81" s="15" t="n">
        <f aca="false">IF(LEN($A81)&lt;2,"",VLOOKUP($A81,Equiv_MCF,E$113,0))</f>
        <v>0</v>
      </c>
      <c r="F81" s="15" t="n">
        <f aca="false">IF(LEN($A81)&lt;2,"",VLOOKUP($A81,Equiv_MCF,F$113,0))</f>
        <v>0</v>
      </c>
      <c r="G81" s="15" t="n">
        <f aca="false">IF(LEN($A81)&lt;2,"",VLOOKUP($A81,Equiv_MCF,G$113,0))</f>
        <v>0</v>
      </c>
      <c r="H81" s="15" t="n">
        <f aca="false">IF(LEN($A81)&lt;2,"",VLOOKUP($A81,Equiv_MCF,H$113,0))</f>
        <v>0</v>
      </c>
      <c r="I81" s="15" t="n">
        <f aca="false">IF(LEN($A81)&lt;2,"",VLOOKUP($A81,Equiv_MCF,I$113,0))</f>
        <v>0</v>
      </c>
      <c r="J81" s="15" t="n">
        <f aca="false">IF(LEN($A81)&lt;2,"",VLOOKUP($A81,Equiv_MCF,J$113,0))</f>
        <v>0</v>
      </c>
      <c r="K81" s="15" t="n">
        <f aca="false">IF(LEN($A81)&lt;2,"",VLOOKUP($A81,Equiv_MCF,K$113,0))</f>
        <v>0</v>
      </c>
      <c r="L81" s="15" t="n">
        <f aca="false">IF(LEN($A81)&lt;2,"",VLOOKUP($A81,Equiv_MCF,L$113,0))</f>
        <v>0</v>
      </c>
      <c r="M81" s="15" t="n">
        <f aca="false">IF(LEN($A81)&lt;2,"",VLOOKUP($A81,Equiv_MCF,M$113,0))</f>
        <v>0</v>
      </c>
      <c r="N81" s="87" t="n">
        <f aca="false">SUM(D81:M81)</f>
        <v>0</v>
      </c>
      <c r="P81" s="53" t="str">
        <f aca="false">IF(LEN($A81)&lt;2,"",A81)</f>
        <v>Abigail Cond</v>
      </c>
      <c r="Q81" s="54"/>
      <c r="R81" s="26" t="n">
        <f aca="false">SUM(S81:Z81)</f>
        <v>0</v>
      </c>
      <c r="S81" s="14" t="n">
        <f aca="false">IF(LEN($A81)&lt;2,"",VLOOKUP($A81,Equiv_MCF,S$113,0))</f>
        <v>0</v>
      </c>
      <c r="T81" s="15" t="n">
        <f aca="false">IF(LEN($A81)&lt;2,"",VLOOKUP($A81,Equiv_MCF,T$113,0))</f>
        <v>0</v>
      </c>
      <c r="U81" s="15" t="n">
        <f aca="false">IF(LEN($A81)&lt;2,"",VLOOKUP($A81,Equiv_MCF,U$113,0))</f>
        <v>0</v>
      </c>
      <c r="V81" s="15" t="n">
        <f aca="false">IF(LEN($A81)&lt;2,"",VLOOKUP($A81,Equiv_MCF,V$113,0))</f>
        <v>0</v>
      </c>
      <c r="W81" s="15" t="n">
        <f aca="false">IF(LEN($A81)&lt;2,"",VLOOKUP($A81,Equiv_MCF,W$113,0))</f>
        <v>0</v>
      </c>
      <c r="X81" s="15" t="n">
        <f aca="false">IF(LEN($A81)&lt;2,"",VLOOKUP($A81,Equiv_MCF,X$113,0))</f>
        <v>0</v>
      </c>
      <c r="Y81" s="15" t="n">
        <f aca="false">IF(LEN($A81)&lt;2,"",VLOOKUP($A81,Equiv_MCF,Y$113,0))</f>
        <v>0</v>
      </c>
      <c r="Z81" s="16" t="n">
        <f aca="false">IF(LEN($A81)&lt;2,"",VLOOKUP($A81,Equiv_MCF,Z$113,0))</f>
        <v>0</v>
      </c>
      <c r="AA81" s="25" t="n">
        <f aca="false">IF(N81=0,,R81/N81*1000)</f>
        <v>0</v>
      </c>
      <c r="AB81" s="26" t="n">
        <f aca="false">R81</f>
        <v>0</v>
      </c>
      <c r="AC81" s="27" t="n">
        <f aca="false">IF(AB81=0,,R81/AB81)</f>
        <v>0</v>
      </c>
    </row>
    <row r="82" customFormat="false" ht="15" hidden="false" customHeight="false" outlineLevel="0" collapsed="false">
      <c r="A82" s="53" t="s">
        <v>144</v>
      </c>
      <c r="B82" s="54"/>
      <c r="C82" s="26" t="n">
        <f aca="false">IF(LEN($A82)&lt;2,"",VLOOKUP($A82,Equiv_MCF,C$113,0))</f>
        <v>8322.20702711332</v>
      </c>
      <c r="D82" s="14" t="n">
        <f aca="false">IF(LEN($A82)&lt;2,"",VLOOKUP($A82,Equiv_MCF,D$113,0))</f>
        <v>0</v>
      </c>
      <c r="E82" s="15" t="n">
        <f aca="false">IF(LEN($A82)&lt;2,"",VLOOKUP($A82,Equiv_MCF,E$113,0))</f>
        <v>0.292243862149622</v>
      </c>
      <c r="F82" s="15" t="n">
        <f aca="false">IF(LEN($A82)&lt;2,"",VLOOKUP($A82,Equiv_MCF,F$113,0))</f>
        <v>0.189653207793481</v>
      </c>
      <c r="G82" s="15" t="n">
        <f aca="false">IF(LEN($A82)&lt;2,"",VLOOKUP($A82,Equiv_MCF,G$113,0))</f>
        <v>20.3176060686155</v>
      </c>
      <c r="H82" s="15" t="n">
        <f aca="false">IF(LEN($A82)&lt;2,"",VLOOKUP($A82,Equiv_MCF,H$113,0))</f>
        <v>383.490940537287</v>
      </c>
      <c r="I82" s="15" t="n">
        <f aca="false">IF(LEN($A82)&lt;2,"",VLOOKUP($A82,Equiv_MCF,I$113,0))</f>
        <v>218.216886462885</v>
      </c>
      <c r="J82" s="15" t="n">
        <f aca="false">IF(LEN($A82)&lt;2,"",VLOOKUP($A82,Equiv_MCF,J$113,0))</f>
        <v>1293.67387585476</v>
      </c>
      <c r="K82" s="15" t="n">
        <f aca="false">IF(LEN($A82)&lt;2,"",VLOOKUP($A82,Equiv_MCF,K$113,0))</f>
        <v>809.966467300963</v>
      </c>
      <c r="L82" s="15" t="n">
        <f aca="false">IF(LEN($A82)&lt;2,"",VLOOKUP($A82,Equiv_MCF,L$113,0))</f>
        <v>1396.28553900667</v>
      </c>
      <c r="M82" s="15" t="n">
        <f aca="false">IF(LEN($A82)&lt;2,"",VLOOKUP($A82,Equiv_MCF,M$113,0))</f>
        <v>4199.7738148122</v>
      </c>
      <c r="N82" s="87" t="n">
        <f aca="false">SUM(D82:M82)</f>
        <v>8322.20702711332</v>
      </c>
      <c r="P82" s="53" t="str">
        <f aca="false">IF(LEN($A82)&lt;2,"",A82)</f>
        <v>Oasis Cond</v>
      </c>
      <c r="Q82" s="54"/>
      <c r="R82" s="26" t="n">
        <f aca="false">SUM(S82:Z82)</f>
        <v>39253.6769514142</v>
      </c>
      <c r="S82" s="14" t="n">
        <f aca="false">IF(LEN($A82)&lt;2,"",VLOOKUP($A82,Equiv_MCF,S$113,0))</f>
        <v>0.205474330834067</v>
      </c>
      <c r="T82" s="15" t="n">
        <f aca="false">IF(LEN($A82)&lt;2,"",VLOOKUP($A82,Equiv_MCF,T$113,0))</f>
        <v>38.5722105334649</v>
      </c>
      <c r="U82" s="15" t="n">
        <f aca="false">IF(LEN($A82)&lt;2,"",VLOOKUP($A82,Equiv_MCF,U$113,0))</f>
        <v>1035.07411375116</v>
      </c>
      <c r="V82" s="15" t="n">
        <f aca="false">IF(LEN($A82)&lt;2,"",VLOOKUP($A82,Equiv_MCF,V$113,0))</f>
        <v>761.229045799785</v>
      </c>
      <c r="W82" s="15" t="n">
        <f aca="false">IF(LEN($A82)&lt;2,"",VLOOKUP($A82,Equiv_MCF,W$113,0))</f>
        <v>4527.33753776551</v>
      </c>
      <c r="X82" s="15" t="n">
        <f aca="false">IF(LEN($A82)&lt;2,"",VLOOKUP($A82,Equiv_MCF,X$113,0))</f>
        <v>3476.32140165266</v>
      </c>
      <c r="Y82" s="15" t="n">
        <f aca="false">IF(LEN($A82)&lt;2,"",VLOOKUP($A82,Equiv_MCF,Y$113,0))</f>
        <v>6004.48315454522</v>
      </c>
      <c r="Z82" s="16" t="n">
        <f aca="false">IF(LEN($A82)&lt;2,"",VLOOKUP($A82,Equiv_MCF,Z$113,0))</f>
        <v>23410.4540130356</v>
      </c>
      <c r="AA82" s="25" t="n">
        <f aca="false">IF(N82=0,,R82/N82*1000)</f>
        <v>4716.73881982601</v>
      </c>
      <c r="AB82" s="26" t="n">
        <f aca="false">R82</f>
        <v>39253.6769514142</v>
      </c>
      <c r="AC82" s="27" t="n">
        <f aca="false">IF(AB82=0,,R82/AB82)</f>
        <v>1</v>
      </c>
    </row>
    <row r="83" customFormat="false" ht="15" hidden="false" customHeight="false" outlineLevel="0" collapsed="false">
      <c r="A83" s="53" t="s">
        <v>145</v>
      </c>
      <c r="B83" s="54"/>
      <c r="C83" s="26" t="n">
        <f aca="false">IF(LEN($A83)&lt;2,"",VLOOKUP($A83,Equiv_MCF,C$113,0))</f>
        <v>0</v>
      </c>
      <c r="D83" s="14" t="n">
        <f aca="false">IF(LEN($A83)&lt;2,"",VLOOKUP($A83,Equiv_MCF,D$113,0))</f>
        <v>0</v>
      </c>
      <c r="E83" s="15" t="n">
        <f aca="false">IF(LEN($A83)&lt;2,"",VLOOKUP($A83,Equiv_MCF,E$113,0))</f>
        <v>0</v>
      </c>
      <c r="F83" s="15" t="n">
        <f aca="false">IF(LEN($A83)&lt;2,"",VLOOKUP($A83,Equiv_MCF,F$113,0))</f>
        <v>0</v>
      </c>
      <c r="G83" s="15" t="n">
        <f aca="false">IF(LEN($A83)&lt;2,"",VLOOKUP($A83,Equiv_MCF,G$113,0))</f>
        <v>0</v>
      </c>
      <c r="H83" s="15" t="n">
        <f aca="false">IF(LEN($A83)&lt;2,"",VLOOKUP($A83,Equiv_MCF,H$113,0))</f>
        <v>0</v>
      </c>
      <c r="I83" s="15" t="n">
        <f aca="false">IF(LEN($A83)&lt;2,"",VLOOKUP($A83,Equiv_MCF,I$113,0))</f>
        <v>0</v>
      </c>
      <c r="J83" s="15" t="n">
        <f aca="false">IF(LEN($A83)&lt;2,"",VLOOKUP($A83,Equiv_MCF,J$113,0))</f>
        <v>0</v>
      </c>
      <c r="K83" s="15" t="n">
        <f aca="false">IF(LEN($A83)&lt;2,"",VLOOKUP($A83,Equiv_MCF,K$113,0))</f>
        <v>0</v>
      </c>
      <c r="L83" s="15" t="n">
        <f aca="false">IF(LEN($A83)&lt;2,"",VLOOKUP($A83,Equiv_MCF,L$113,0))</f>
        <v>0</v>
      </c>
      <c r="M83" s="15" t="n">
        <f aca="false">IF(LEN($A83)&lt;2,"",VLOOKUP($A83,Equiv_MCF,M$113,0))</f>
        <v>0</v>
      </c>
      <c r="N83" s="87" t="n">
        <f aca="false">SUM(D83:M83)</f>
        <v>0</v>
      </c>
      <c r="P83" s="53" t="str">
        <f aca="false">IF(LEN($A83)&lt;2,"",A83)</f>
        <v>Coyote Cond</v>
      </c>
      <c r="Q83" s="54"/>
      <c r="R83" s="26" t="n">
        <f aca="false">SUM(S83:Z83)</f>
        <v>0</v>
      </c>
      <c r="S83" s="14" t="n">
        <f aca="false">IF(LEN($A83)&lt;2,"",VLOOKUP($A83,Equiv_MCF,S$113,0))</f>
        <v>0</v>
      </c>
      <c r="T83" s="15" t="n">
        <f aca="false">IF(LEN($A83)&lt;2,"",VLOOKUP($A83,Equiv_MCF,T$113,0))</f>
        <v>0</v>
      </c>
      <c r="U83" s="15" t="n">
        <f aca="false">IF(LEN($A83)&lt;2,"",VLOOKUP($A83,Equiv_MCF,U$113,0))</f>
        <v>0</v>
      </c>
      <c r="V83" s="15" t="n">
        <f aca="false">IF(LEN($A83)&lt;2,"",VLOOKUP($A83,Equiv_MCF,V$113,0))</f>
        <v>0</v>
      </c>
      <c r="W83" s="15" t="n">
        <f aca="false">IF(LEN($A83)&lt;2,"",VLOOKUP($A83,Equiv_MCF,W$113,0))</f>
        <v>0</v>
      </c>
      <c r="X83" s="15" t="n">
        <f aca="false">IF(LEN($A83)&lt;2,"",VLOOKUP($A83,Equiv_MCF,X$113,0))</f>
        <v>0</v>
      </c>
      <c r="Y83" s="15" t="n">
        <f aca="false">IF(LEN($A83)&lt;2,"",VLOOKUP($A83,Equiv_MCF,Y$113,0))</f>
        <v>0</v>
      </c>
      <c r="Z83" s="16" t="n">
        <f aca="false">IF(LEN($A83)&lt;2,"",VLOOKUP($A83,Equiv_MCF,Z$113,0))</f>
        <v>0</v>
      </c>
      <c r="AA83" s="25" t="n">
        <f aca="false">IF(N83=0,,R83/N83*1000)</f>
        <v>0</v>
      </c>
      <c r="AB83" s="26" t="n">
        <f aca="false">R83</f>
        <v>0</v>
      </c>
      <c r="AC83" s="27" t="n">
        <f aca="false">IF(AB83=0,,R83/AB83)</f>
        <v>0</v>
      </c>
    </row>
    <row r="84" customFormat="false" ht="15" hidden="false" customHeight="false" outlineLevel="0" collapsed="false">
      <c r="A84" s="53" t="s">
        <v>146</v>
      </c>
      <c r="B84" s="54"/>
      <c r="C84" s="26" t="n">
        <f aca="false">IF(LEN($A84)&lt;2,"",VLOOKUP($A84,Equiv_MCF,C$113,0))</f>
        <v>1127.74523101863</v>
      </c>
      <c r="D84" s="14" t="n">
        <f aca="false">IF(LEN($A84)&lt;2,"",VLOOKUP($A84,Equiv_MCF,D$113,0))</f>
        <v>0</v>
      </c>
      <c r="E84" s="15" t="n">
        <f aca="false">IF(LEN($A84)&lt;2,"",VLOOKUP($A84,Equiv_MCF,E$113,0))</f>
        <v>0.0839930885708476</v>
      </c>
      <c r="F84" s="15" t="n">
        <f aca="false">IF(LEN($A84)&lt;2,"",VLOOKUP($A84,Equiv_MCF,F$113,0))</f>
        <v>1.11740910668518</v>
      </c>
      <c r="G84" s="15" t="n">
        <f aca="false">IF(LEN($A84)&lt;2,"",VLOOKUP($A84,Equiv_MCF,G$113,0))</f>
        <v>8.27540965005677</v>
      </c>
      <c r="H84" s="15" t="n">
        <f aca="false">IF(LEN($A84)&lt;2,"",VLOOKUP($A84,Equiv_MCF,H$113,0))</f>
        <v>32.5858089755677</v>
      </c>
      <c r="I84" s="15" t="n">
        <f aca="false">IF(LEN($A84)&lt;2,"",VLOOKUP($A84,Equiv_MCF,I$113,0))</f>
        <v>16.999433162542</v>
      </c>
      <c r="J84" s="15" t="n">
        <f aca="false">IF(LEN($A84)&lt;2,"",VLOOKUP($A84,Equiv_MCF,J$113,0))</f>
        <v>65.7888203246028</v>
      </c>
      <c r="K84" s="15" t="n">
        <f aca="false">IF(LEN($A84)&lt;2,"",VLOOKUP($A84,Equiv_MCF,K$113,0))</f>
        <v>60.1621732960602</v>
      </c>
      <c r="L84" s="15" t="n">
        <f aca="false">IF(LEN($A84)&lt;2,"",VLOOKUP($A84,Equiv_MCF,L$113,0))</f>
        <v>94.4114860922569</v>
      </c>
      <c r="M84" s="15" t="n">
        <f aca="false">IF(LEN($A84)&lt;2,"",VLOOKUP($A84,Equiv_MCF,M$113,0))</f>
        <v>848.320697322292</v>
      </c>
      <c r="N84" s="87" t="n">
        <f aca="false">SUM(D84:M84)</f>
        <v>1127.74523101863</v>
      </c>
      <c r="P84" s="53" t="str">
        <f aca="false">IF(LEN($A84)&lt;2,"",A84)</f>
        <v>Pliny The Elder Cond</v>
      </c>
      <c r="Q84" s="54"/>
      <c r="R84" s="26" t="n">
        <f aca="false">SUM(S84:Z84)</f>
        <v>5900.04767776936</v>
      </c>
      <c r="S84" s="14" t="n">
        <f aca="false">IF(LEN($A84)&lt;2,"",VLOOKUP($A84,Equiv_MCF,S$113,0))</f>
        <v>1.234200595414</v>
      </c>
      <c r="T84" s="15" t="n">
        <f aca="false">IF(LEN($A84)&lt;2,"",VLOOKUP($A84,Equiv_MCF,T$113,0))</f>
        <v>16.0165014528398</v>
      </c>
      <c r="U84" s="15" t="n">
        <f aca="false">IF(LEN($A84)&lt;2,"",VLOOKUP($A84,Equiv_MCF,U$113,0))</f>
        <v>89.6645986841327</v>
      </c>
      <c r="V84" s="15" t="n">
        <f aca="false">IF(LEN($A84)&lt;2,"",VLOOKUP($A84,Equiv_MCF,V$113,0))</f>
        <v>60.4557480875485</v>
      </c>
      <c r="W84" s="15" t="n">
        <f aca="false">IF(LEN($A84)&lt;2,"",VLOOKUP($A84,Equiv_MCF,W$113,0))</f>
        <v>234.717963647818</v>
      </c>
      <c r="X84" s="15" t="n">
        <f aca="false">IF(LEN($A84)&lt;2,"",VLOOKUP($A84,Equiv_MCF,X$113,0))</f>
        <v>263.240412180836</v>
      </c>
      <c r="Y84" s="15" t="n">
        <f aca="false">IF(LEN($A84)&lt;2,"",VLOOKUP($A84,Equiv_MCF,Y$113,0))</f>
        <v>413.906634225232</v>
      </c>
      <c r="Z84" s="16" t="n">
        <f aca="false">IF(LEN($A84)&lt;2,"",VLOOKUP($A84,Equiv_MCF,Z$113,0))</f>
        <v>4820.81161889554</v>
      </c>
      <c r="AA84" s="25" t="n">
        <f aca="false">IF(N84=0,,R84/N84*1000)</f>
        <v>5231.72035269008</v>
      </c>
      <c r="AB84" s="26" t="n">
        <f aca="false">R84</f>
        <v>5900.04767776936</v>
      </c>
      <c r="AC84" s="27" t="n">
        <f aca="false">IF(AB84=0,,R84/AB84)</f>
        <v>1</v>
      </c>
    </row>
    <row r="85" customFormat="false" ht="15" hidden="false" customHeight="false" outlineLevel="0" collapsed="false">
      <c r="A85" s="53" t="s">
        <v>147</v>
      </c>
      <c r="B85" s="54"/>
      <c r="C85" s="26" t="n">
        <f aca="false">IF(LEN($A85)&lt;2,"",VLOOKUP($A85,Equiv_MCF,C$113,0))</f>
        <v>1080.13229106036</v>
      </c>
      <c r="D85" s="14" t="n">
        <f aca="false">IF(LEN($A85)&lt;2,"",VLOOKUP($A85,Equiv_MCF,D$113,0))</f>
        <v>0.0262856346271115</v>
      </c>
      <c r="E85" s="15" t="n">
        <f aca="false">IF(LEN($A85)&lt;2,"",VLOOKUP($A85,Equiv_MCF,E$113,0))</f>
        <v>1.6309926206376</v>
      </c>
      <c r="F85" s="15" t="n">
        <f aca="false">IF(LEN($A85)&lt;2,"",VLOOKUP($A85,Equiv_MCF,F$113,0))</f>
        <v>2.69902539371137</v>
      </c>
      <c r="G85" s="15" t="n">
        <f aca="false">IF(LEN($A85)&lt;2,"",VLOOKUP($A85,Equiv_MCF,G$113,0))</f>
        <v>4.27732861947698</v>
      </c>
      <c r="H85" s="15" t="n">
        <f aca="false">IF(LEN($A85)&lt;2,"",VLOOKUP($A85,Equiv_MCF,H$113,0))</f>
        <v>12.4402043492735</v>
      </c>
      <c r="I85" s="15" t="n">
        <f aca="false">IF(LEN($A85)&lt;2,"",VLOOKUP($A85,Equiv_MCF,I$113,0))</f>
        <v>8.11536596428561</v>
      </c>
      <c r="J85" s="15" t="n">
        <f aca="false">IF(LEN($A85)&lt;2,"",VLOOKUP($A85,Equiv_MCF,J$113,0))</f>
        <v>40.5105752206699</v>
      </c>
      <c r="K85" s="15" t="n">
        <f aca="false">IF(LEN($A85)&lt;2,"",VLOOKUP($A85,Equiv_MCF,K$113,0))</f>
        <v>53.2478847387942</v>
      </c>
      <c r="L85" s="15" t="n">
        <f aca="false">IF(LEN($A85)&lt;2,"",VLOOKUP($A85,Equiv_MCF,L$113,0))</f>
        <v>96.2438609902288</v>
      </c>
      <c r="M85" s="15" t="n">
        <f aca="false">IF(LEN($A85)&lt;2,"",VLOOKUP($A85,Equiv_MCF,M$113,0))</f>
        <v>860.940767528656</v>
      </c>
      <c r="N85" s="87" t="n">
        <f aca="false">SUM(D85:M85)</f>
        <v>1080.13229106036</v>
      </c>
      <c r="P85" s="53" t="str">
        <f aca="false">IF(LEN($A85)&lt;2,"",A85)</f>
        <v>Cypress Cond</v>
      </c>
      <c r="Q85" s="54"/>
      <c r="R85" s="26" t="n">
        <f aca="false">SUM(S85:Z85)</f>
        <v>5795.58571310895</v>
      </c>
      <c r="S85" s="14" t="n">
        <f aca="false">IF(LEN($A85)&lt;2,"",VLOOKUP($A85,Equiv_MCF,S$113,0))</f>
        <v>2.99624771376909</v>
      </c>
      <c r="T85" s="15" t="n">
        <f aca="false">IF(LEN($A85)&lt;2,"",VLOOKUP($A85,Equiv_MCF,T$113,0))</f>
        <v>8.32047219263262</v>
      </c>
      <c r="U85" s="15" t="n">
        <f aca="false">IF(LEN($A85)&lt;2,"",VLOOKUP($A85,Equiv_MCF,U$113,0))</f>
        <v>34.4046556978758</v>
      </c>
      <c r="V85" s="15" t="n">
        <f aca="false">IF(LEN($A85)&lt;2,"",VLOOKUP($A85,Equiv_MCF,V$113,0))</f>
        <v>29.0073776012095</v>
      </c>
      <c r="W85" s="15" t="n">
        <f aca="false">IF(LEN($A85)&lt;2,"",VLOOKUP($A85,Equiv_MCF,W$113,0))</f>
        <v>145.264615685333</v>
      </c>
      <c r="X85" s="15" t="n">
        <f aca="false">IF(LEN($A85)&lt;2,"",VLOOKUP($A85,Equiv_MCF,X$113,0))</f>
        <v>234.168571133169</v>
      </c>
      <c r="Y85" s="15" t="n">
        <f aca="false">IF(LEN($A85)&lt;2,"",VLOOKUP($A85,Equiv_MCF,Y$113,0))</f>
        <v>424.079999584496</v>
      </c>
      <c r="Z85" s="16" t="n">
        <f aca="false">IF(LEN($A85)&lt;2,"",VLOOKUP($A85,Equiv_MCF,Z$113,0))</f>
        <v>4917.34377350047</v>
      </c>
      <c r="AA85" s="25" t="n">
        <f aca="false">IF(N85=0,,R85/N85*1000)</f>
        <v>5365.62582294383</v>
      </c>
      <c r="AB85" s="26" t="n">
        <f aca="false">R85</f>
        <v>5795.58571310895</v>
      </c>
      <c r="AC85" s="27" t="n">
        <f aca="false">IF(AB85=0,,R85/AB85)</f>
        <v>1</v>
      </c>
    </row>
    <row r="86" customFormat="false" ht="15" hidden="false" customHeight="false" outlineLevel="0" collapsed="false">
      <c r="A86" s="53" t="s">
        <v>148</v>
      </c>
      <c r="B86" s="54"/>
      <c r="C86" s="26" t="n">
        <f aca="false">IF(LEN($A86)&lt;2,"",VLOOKUP($A86,Equiv_MCF,C$113,0))</f>
        <v>0</v>
      </c>
      <c r="D86" s="14" t="n">
        <f aca="false">IF(LEN($A86)&lt;2,"",VLOOKUP($A86,Equiv_MCF,D$113,0))</f>
        <v>0</v>
      </c>
      <c r="E86" s="15" t="n">
        <f aca="false">IF(LEN($A86)&lt;2,"",VLOOKUP($A86,Equiv_MCF,E$113,0))</f>
        <v>0</v>
      </c>
      <c r="F86" s="15" t="n">
        <f aca="false">IF(LEN($A86)&lt;2,"",VLOOKUP($A86,Equiv_MCF,F$113,0))</f>
        <v>0</v>
      </c>
      <c r="G86" s="15" t="n">
        <f aca="false">IF(LEN($A86)&lt;2,"",VLOOKUP($A86,Equiv_MCF,G$113,0))</f>
        <v>0</v>
      </c>
      <c r="H86" s="15" t="n">
        <f aca="false">IF(LEN($A86)&lt;2,"",VLOOKUP($A86,Equiv_MCF,H$113,0))</f>
        <v>0</v>
      </c>
      <c r="I86" s="15" t="n">
        <f aca="false">IF(LEN($A86)&lt;2,"",VLOOKUP($A86,Equiv_MCF,I$113,0))</f>
        <v>0</v>
      </c>
      <c r="J86" s="15" t="n">
        <f aca="false">IF(LEN($A86)&lt;2,"",VLOOKUP($A86,Equiv_MCF,J$113,0))</f>
        <v>0</v>
      </c>
      <c r="K86" s="15" t="n">
        <f aca="false">IF(LEN($A86)&lt;2,"",VLOOKUP($A86,Equiv_MCF,K$113,0))</f>
        <v>0</v>
      </c>
      <c r="L86" s="15" t="n">
        <f aca="false">IF(LEN($A86)&lt;2,"",VLOOKUP($A86,Equiv_MCF,L$113,0))</f>
        <v>0</v>
      </c>
      <c r="M86" s="15" t="n">
        <f aca="false">IF(LEN($A86)&lt;2,"",VLOOKUP($A86,Equiv_MCF,M$113,0))</f>
        <v>0</v>
      </c>
      <c r="N86" s="87" t="n">
        <f aca="false">SUM(D86:M86)</f>
        <v>0</v>
      </c>
      <c r="P86" s="53" t="str">
        <f aca="false">IF(LEN($A86)&lt;2,"",A86)</f>
        <v>Money Graham Cond</v>
      </c>
      <c r="Q86" s="54"/>
      <c r="R86" s="26" t="n">
        <f aca="false">SUM(S86:Z86)</f>
        <v>0</v>
      </c>
      <c r="S86" s="14" t="n">
        <f aca="false">IF(LEN($A86)&lt;2,"",VLOOKUP($A86,Equiv_MCF,S$113,0))</f>
        <v>0</v>
      </c>
      <c r="T86" s="15" t="n">
        <f aca="false">IF(LEN($A86)&lt;2,"",VLOOKUP($A86,Equiv_MCF,T$113,0))</f>
        <v>0</v>
      </c>
      <c r="U86" s="15" t="n">
        <f aca="false">IF(LEN($A86)&lt;2,"",VLOOKUP($A86,Equiv_MCF,U$113,0))</f>
        <v>0</v>
      </c>
      <c r="V86" s="15" t="n">
        <f aca="false">IF(LEN($A86)&lt;2,"",VLOOKUP($A86,Equiv_MCF,V$113,0))</f>
        <v>0</v>
      </c>
      <c r="W86" s="15" t="n">
        <f aca="false">IF(LEN($A86)&lt;2,"",VLOOKUP($A86,Equiv_MCF,W$113,0))</f>
        <v>0</v>
      </c>
      <c r="X86" s="15" t="n">
        <f aca="false">IF(LEN($A86)&lt;2,"",VLOOKUP($A86,Equiv_MCF,X$113,0))</f>
        <v>0</v>
      </c>
      <c r="Y86" s="15" t="n">
        <f aca="false">IF(LEN($A86)&lt;2,"",VLOOKUP($A86,Equiv_MCF,Y$113,0))</f>
        <v>0</v>
      </c>
      <c r="Z86" s="16" t="n">
        <f aca="false">IF(LEN($A86)&lt;2,"",VLOOKUP($A86,Equiv_MCF,Z$113,0))</f>
        <v>0</v>
      </c>
      <c r="AA86" s="25" t="n">
        <f aca="false">IF(N86=0,,R86/N86*1000)</f>
        <v>0</v>
      </c>
      <c r="AB86" s="26" t="n">
        <f aca="false">R86</f>
        <v>0</v>
      </c>
      <c r="AC86" s="27" t="n">
        <f aca="false">IF(AB86=0,,R86/AB86)</f>
        <v>0</v>
      </c>
    </row>
    <row r="87" customFormat="false" ht="15" hidden="false" customHeight="false" outlineLevel="0" collapsed="false">
      <c r="A87" s="53" t="s">
        <v>149</v>
      </c>
      <c r="B87" s="54"/>
      <c r="C87" s="26" t="n">
        <f aca="false">IF(LEN($A87)&lt;2,"",VLOOKUP($A87,Equiv_MCF,C$113,0))</f>
        <v>2306.46459849894</v>
      </c>
      <c r="D87" s="14" t="n">
        <f aca="false">IF(LEN($A87)&lt;2,"",VLOOKUP($A87,Equiv_MCF,D$113,0))</f>
        <v>0.269686753102334</v>
      </c>
      <c r="E87" s="15" t="n">
        <f aca="false">IF(LEN($A87)&lt;2,"",VLOOKUP($A87,Equiv_MCF,E$113,0))</f>
        <v>1.33869959141849</v>
      </c>
      <c r="F87" s="15" t="n">
        <f aca="false">IF(LEN($A87)&lt;2,"",VLOOKUP($A87,Equiv_MCF,F$113,0))</f>
        <v>5.53832087599672</v>
      </c>
      <c r="G87" s="15" t="n">
        <f aca="false">IF(LEN($A87)&lt;2,"",VLOOKUP($A87,Equiv_MCF,G$113,0))</f>
        <v>14.5938351824033</v>
      </c>
      <c r="H87" s="15" t="n">
        <f aca="false">IF(LEN($A87)&lt;2,"",VLOOKUP($A87,Equiv_MCF,H$113,0))</f>
        <v>73.2729928720202</v>
      </c>
      <c r="I87" s="15" t="n">
        <f aca="false">IF(LEN($A87)&lt;2,"",VLOOKUP($A87,Equiv_MCF,I$113,0))</f>
        <v>50.5481916027263</v>
      </c>
      <c r="J87" s="15" t="n">
        <f aca="false">IF(LEN($A87)&lt;2,"",VLOOKUP($A87,Equiv_MCF,J$113,0))</f>
        <v>220.152403918467</v>
      </c>
      <c r="K87" s="15" t="n">
        <f aca="false">IF(LEN($A87)&lt;2,"",VLOOKUP($A87,Equiv_MCF,K$113,0))</f>
        <v>183.665702392494</v>
      </c>
      <c r="L87" s="15" t="n">
        <f aca="false">IF(LEN($A87)&lt;2,"",VLOOKUP($A87,Equiv_MCF,L$113,0))</f>
        <v>284.108704181395</v>
      </c>
      <c r="M87" s="15" t="n">
        <f aca="false">IF(LEN($A87)&lt;2,"",VLOOKUP($A87,Equiv_MCF,M$113,0))</f>
        <v>1472.97606112892</v>
      </c>
      <c r="N87" s="87" t="n">
        <f aca="false">SUM(D87:M87)</f>
        <v>2306.46459849894</v>
      </c>
      <c r="P87" s="53" t="str">
        <f aca="false">IF(LEN($A87)&lt;2,"",A87)</f>
        <v>Welcome to Golden Cond</v>
      </c>
      <c r="Q87" s="54"/>
      <c r="R87" s="26" t="n">
        <f aca="false">SUM(S87:Z87)</f>
        <v>11515.333478452</v>
      </c>
      <c r="S87" s="14" t="n">
        <f aca="false">IF(LEN($A87)&lt;2,"",VLOOKUP($A87,Equiv_MCF,S$113,0))</f>
        <v>6.06158055842782</v>
      </c>
      <c r="T87" s="15" t="n">
        <f aca="false">IF(LEN($A87)&lt;2,"",VLOOKUP($A87,Equiv_MCF,T$113,0))</f>
        <v>27.9886412374977</v>
      </c>
      <c r="U87" s="15" t="n">
        <f aca="false">IF(LEN($A87)&lt;2,"",VLOOKUP($A87,Equiv_MCF,U$113,0))</f>
        <v>199.788577535591</v>
      </c>
      <c r="V87" s="15" t="n">
        <f aca="false">IF(LEN($A87)&lt;2,"",VLOOKUP($A87,Equiv_MCF,V$113,0))</f>
        <v>178.132434934431</v>
      </c>
      <c r="W87" s="15" t="n">
        <f aca="false">IF(LEN($A87)&lt;2,"",VLOOKUP($A87,Equiv_MCF,W$113,0))</f>
        <v>778.308697807209</v>
      </c>
      <c r="X87" s="15" t="n">
        <f aca="false">IF(LEN($A87)&lt;2,"",VLOOKUP($A87,Equiv_MCF,X$113,0))</f>
        <v>796.326800105411</v>
      </c>
      <c r="Y87" s="15" t="n">
        <f aca="false">IF(LEN($A87)&lt;2,"",VLOOKUP($A87,Equiv_MCF,Y$113,0))</f>
        <v>1234.23061594589</v>
      </c>
      <c r="Z87" s="16" t="n">
        <f aca="false">IF(LEN($A87)&lt;2,"",VLOOKUP($A87,Equiv_MCF,Z$113,0))</f>
        <v>8294.49613032756</v>
      </c>
      <c r="AA87" s="25" t="n">
        <f aca="false">IF(N87=0,,R87/N87*1000)</f>
        <v>4992.63395846017</v>
      </c>
      <c r="AB87" s="26" t="n">
        <f aca="false">R87</f>
        <v>11515.333478452</v>
      </c>
      <c r="AC87" s="27" t="n">
        <f aca="false">IF(AB87=0,,R87/AB87)</f>
        <v>1</v>
      </c>
    </row>
    <row r="88" customFormat="false" ht="15" hidden="false" customHeight="false" outlineLevel="0" collapsed="false">
      <c r="A88" s="53" t="s">
        <v>150</v>
      </c>
      <c r="B88" s="54"/>
      <c r="C88" s="26" t="n">
        <f aca="false">IF(LEN($A88)&lt;2,"",VLOOKUP($A88,Equiv_MCF,C$113,0))</f>
        <v>1082.88530216574</v>
      </c>
      <c r="D88" s="14" t="n">
        <f aca="false">IF(LEN($A88)&lt;2,"",VLOOKUP($A88,Equiv_MCF,D$113,0))</f>
        <v>0.0523084052130414</v>
      </c>
      <c r="E88" s="15" t="n">
        <f aca="false">IF(LEN($A88)&lt;2,"",VLOOKUP($A88,Equiv_MCF,E$113,0))</f>
        <v>1.58226648333425</v>
      </c>
      <c r="F88" s="15" t="n">
        <f aca="false">IF(LEN($A88)&lt;2,"",VLOOKUP($A88,Equiv_MCF,F$113,0))</f>
        <v>1.71136707509256</v>
      </c>
      <c r="G88" s="15" t="n">
        <f aca="false">IF(LEN($A88)&lt;2,"",VLOOKUP($A88,Equiv_MCF,G$113,0))</f>
        <v>4.37277111285996</v>
      </c>
      <c r="H88" s="15" t="n">
        <f aca="false">IF(LEN($A88)&lt;2,"",VLOOKUP($A88,Equiv_MCF,H$113,0))</f>
        <v>22.1799529615086</v>
      </c>
      <c r="I88" s="15" t="n">
        <f aca="false">IF(LEN($A88)&lt;2,"",VLOOKUP($A88,Equiv_MCF,I$113,0))</f>
        <v>14.1445187510715</v>
      </c>
      <c r="J88" s="15" t="n">
        <f aca="false">IF(LEN($A88)&lt;2,"",VLOOKUP($A88,Equiv_MCF,J$113,0))</f>
        <v>58.8126098306559</v>
      </c>
      <c r="K88" s="15" t="n">
        <f aca="false">IF(LEN($A88)&lt;2,"",VLOOKUP($A88,Equiv_MCF,K$113,0))</f>
        <v>52.2737510949315</v>
      </c>
      <c r="L88" s="15" t="n">
        <f aca="false">IF(LEN($A88)&lt;2,"",VLOOKUP($A88,Equiv_MCF,L$113,0))</f>
        <v>87.8450026081888</v>
      </c>
      <c r="M88" s="15" t="n">
        <f aca="false">IF(LEN($A88)&lt;2,"",VLOOKUP($A88,Equiv_MCF,M$113,0))</f>
        <v>839.910753842886</v>
      </c>
      <c r="N88" s="87" t="n">
        <f aca="false">SUM(D88:M88)</f>
        <v>1082.88530216574</v>
      </c>
      <c r="P88" s="53" t="str">
        <f aca="false">IF(LEN($A88)&lt;2,"",A88)</f>
        <v>Nailed It A Cond</v>
      </c>
      <c r="Q88" s="54"/>
      <c r="R88" s="26" t="n">
        <f aca="false">SUM(S88:Z88)</f>
        <v>5731.87044499074</v>
      </c>
      <c r="S88" s="14" t="n">
        <f aca="false">IF(LEN($A88)&lt;2,"",VLOOKUP($A88,Equiv_MCF,S$113,0))</f>
        <v>1.89469859698414</v>
      </c>
      <c r="T88" s="15" t="n">
        <f aca="false">IF(LEN($A88)&lt;2,"",VLOOKUP($A88,Equiv_MCF,T$113,0))</f>
        <v>8.48317287457961</v>
      </c>
      <c r="U88" s="15" t="n">
        <f aca="false">IF(LEN($A88)&lt;2,"",VLOOKUP($A88,Equiv_MCF,U$113,0))</f>
        <v>61.175360681741</v>
      </c>
      <c r="V88" s="15" t="n">
        <f aca="false">IF(LEN($A88)&lt;2,"",VLOOKUP($A88,Equiv_MCF,V$113,0))</f>
        <v>50.4213826903429</v>
      </c>
      <c r="W88" s="15" t="n">
        <f aca="false">IF(LEN($A88)&lt;2,"",VLOOKUP($A88,Equiv_MCF,W$113,0))</f>
        <v>210.323643943326</v>
      </c>
      <c r="X88" s="15" t="n">
        <f aca="false">IF(LEN($A88)&lt;2,"",VLOOKUP($A88,Equiv_MCF,X$113,0))</f>
        <v>229.264138387328</v>
      </c>
      <c r="Y88" s="15" t="n">
        <f aca="false">IF(LEN($A88)&lt;2,"",VLOOKUP($A88,Equiv_MCF,Y$113,0))</f>
        <v>386.02730941339</v>
      </c>
      <c r="Z88" s="16" t="n">
        <f aca="false">IF(LEN($A88)&lt;2,"",VLOOKUP($A88,Equiv_MCF,Z$113,0))</f>
        <v>4784.28073840305</v>
      </c>
      <c r="AA88" s="25" t="n">
        <f aca="false">IF(N88=0,,R88/N88*1000)</f>
        <v>5293.14640574321</v>
      </c>
      <c r="AB88" s="26" t="n">
        <f aca="false">R88</f>
        <v>5731.87044499074</v>
      </c>
      <c r="AC88" s="27" t="n">
        <f aca="false">IF(AB88=0,,R88/AB88)</f>
        <v>1</v>
      </c>
    </row>
    <row r="89" customFormat="false" ht="15" hidden="false" customHeight="false" outlineLevel="0" collapsed="false">
      <c r="A89" s="53" t="s">
        <v>151</v>
      </c>
      <c r="B89" s="54"/>
      <c r="C89" s="26" t="n">
        <f aca="false">IF(LEN($A89)&lt;2,"",VLOOKUP($A89,Equiv_MCF,C$113,0))</f>
        <v>1627.83533596271</v>
      </c>
      <c r="D89" s="14" t="n">
        <f aca="false">IF(LEN($A89)&lt;2,"",VLOOKUP($A89,Equiv_MCF,D$113,0))</f>
        <v>0</v>
      </c>
      <c r="E89" s="15" t="n">
        <f aca="false">IF(LEN($A89)&lt;2,"",VLOOKUP($A89,Equiv_MCF,E$113,0))</f>
        <v>0.121503674113493</v>
      </c>
      <c r="F89" s="15" t="n">
        <f aca="false">IF(LEN($A89)&lt;2,"",VLOOKUP($A89,Equiv_MCF,F$113,0))</f>
        <v>2.79919115892143</v>
      </c>
      <c r="G89" s="15" t="n">
        <f aca="false">IF(LEN($A89)&lt;2,"",VLOOKUP($A89,Equiv_MCF,G$113,0))</f>
        <v>6.6478541697081</v>
      </c>
      <c r="H89" s="15" t="n">
        <f aca="false">IF(LEN($A89)&lt;2,"",VLOOKUP($A89,Equiv_MCF,H$113,0))</f>
        <v>26.0073649119915</v>
      </c>
      <c r="I89" s="15" t="n">
        <f aca="false">IF(LEN($A89)&lt;2,"",VLOOKUP($A89,Equiv_MCF,I$113,0))</f>
        <v>20.4246118855625</v>
      </c>
      <c r="J89" s="15" t="n">
        <f aca="false">IF(LEN($A89)&lt;2,"",VLOOKUP($A89,Equiv_MCF,J$113,0))</f>
        <v>94.1519081406692</v>
      </c>
      <c r="K89" s="15" t="n">
        <f aca="false">IF(LEN($A89)&lt;2,"",VLOOKUP($A89,Equiv_MCF,K$113,0))</f>
        <v>99.2749657333864</v>
      </c>
      <c r="L89" s="15" t="n">
        <f aca="false">IF(LEN($A89)&lt;2,"",VLOOKUP($A89,Equiv_MCF,L$113,0))</f>
        <v>166.11350246492</v>
      </c>
      <c r="M89" s="15" t="n">
        <f aca="false">IF(LEN($A89)&lt;2,"",VLOOKUP($A89,Equiv_MCF,M$113,0))</f>
        <v>1212.29443382344</v>
      </c>
      <c r="N89" s="87" t="n">
        <f aca="false">SUM(D89:M89)</f>
        <v>1627.83533596271</v>
      </c>
      <c r="P89" s="53" t="str">
        <f aca="false">IF(LEN($A89)&lt;2,"",A89)</f>
        <v>Nailed It B Cond</v>
      </c>
      <c r="Q89" s="54"/>
      <c r="R89" s="26" t="n">
        <f aca="false">SUM(S89:Z89)</f>
        <v>8553.26081147721</v>
      </c>
      <c r="S89" s="14" t="n">
        <f aca="false">IF(LEN($A89)&lt;2,"",VLOOKUP($A89,Equiv_MCF,S$113,0))</f>
        <v>3.09370440712648</v>
      </c>
      <c r="T89" s="15" t="n">
        <f aca="false">IF(LEN($A89)&lt;2,"",VLOOKUP($A89,Equiv_MCF,T$113,0))</f>
        <v>12.8745587409064</v>
      </c>
      <c r="U89" s="15" t="n">
        <f aca="false">IF(LEN($A89)&lt;2,"",VLOOKUP($A89,Equiv_MCF,U$113,0))</f>
        <v>71.6080036387764</v>
      </c>
      <c r="V89" s="15" t="n">
        <f aca="false">IF(LEN($A89)&lt;2,"",VLOOKUP($A89,Equiv_MCF,V$113,0))</f>
        <v>72.682471226517</v>
      </c>
      <c r="W89" s="15" t="n">
        <f aca="false">IF(LEN($A89)&lt;2,"",VLOOKUP($A89,Equiv_MCF,W$113,0))</f>
        <v>336.121326536098</v>
      </c>
      <c r="X89" s="15" t="n">
        <f aca="false">IF(LEN($A89)&lt;2,"",VLOOKUP($A89,Equiv_MCF,X$113,0))</f>
        <v>434.651822281336</v>
      </c>
      <c r="Y89" s="15" t="n">
        <f aca="false">IF(LEN($A89)&lt;2,"",VLOOKUP($A89,Equiv_MCF,Y$113,0))</f>
        <v>728.71079330992</v>
      </c>
      <c r="Z89" s="16" t="n">
        <f aca="false">IF(LEN($A89)&lt;2,"",VLOOKUP($A89,Equiv_MCF,Z$113,0))</f>
        <v>6893.51813133653</v>
      </c>
      <c r="AA89" s="25" t="n">
        <f aca="false">IF(N89=0,,R89/N89*1000)</f>
        <v>5254.37716120026</v>
      </c>
      <c r="AB89" s="26" t="n">
        <f aca="false">R89</f>
        <v>8553.26081147721</v>
      </c>
      <c r="AC89" s="27" t="n">
        <f aca="false">IF(AB89=0,,R89/AB89)</f>
        <v>1</v>
      </c>
    </row>
    <row r="90" customFormat="false" ht="15" hidden="false" customHeight="false" outlineLevel="0" collapsed="false">
      <c r="A90" s="53" t="s">
        <v>152</v>
      </c>
      <c r="B90" s="54"/>
      <c r="C90" s="26" t="n">
        <f aca="false">IF(LEN($A90)&lt;2,"",VLOOKUP($A90,Equiv_MCF,C$113,0))</f>
        <v>186.4935128708</v>
      </c>
      <c r="D90" s="14" t="n">
        <f aca="false">IF(LEN($A90)&lt;2,"",VLOOKUP($A90,Equiv_MCF,D$113,0))</f>
        <v>0</v>
      </c>
      <c r="E90" s="15" t="n">
        <f aca="false">IF(LEN($A90)&lt;2,"",VLOOKUP($A90,Equiv_MCF,E$113,0))</f>
        <v>0.0139201100452418</v>
      </c>
      <c r="F90" s="15" t="n">
        <f aca="false">IF(LEN($A90)&lt;2,"",VLOOKUP($A90,Equiv_MCF,F$113,0))</f>
        <v>0.320690293969698</v>
      </c>
      <c r="G90" s="15" t="n">
        <f aca="false">IF(LEN($A90)&lt;2,"",VLOOKUP($A90,Equiv_MCF,G$113,0))</f>
        <v>0.76161369013927</v>
      </c>
      <c r="H90" s="15" t="n">
        <f aca="false">IF(LEN($A90)&lt;2,"",VLOOKUP($A90,Equiv_MCF,H$113,0))</f>
        <v>2.97954266982517</v>
      </c>
      <c r="I90" s="15" t="n">
        <f aca="false">IF(LEN($A90)&lt;2,"",VLOOKUP($A90,Equiv_MCF,I$113,0))</f>
        <v>2.33995265701032</v>
      </c>
      <c r="J90" s="15" t="n">
        <f aca="false">IF(LEN($A90)&lt;2,"",VLOOKUP($A90,Equiv_MCF,J$113,0))</f>
        <v>10.7865456073651</v>
      </c>
      <c r="K90" s="15" t="n">
        <f aca="false">IF(LEN($A90)&lt;2,"",VLOOKUP($A90,Equiv_MCF,K$113,0))</f>
        <v>11.3734704553505</v>
      </c>
      <c r="L90" s="15" t="n">
        <f aca="false">IF(LEN($A90)&lt;2,"",VLOOKUP($A90,Equiv_MCF,L$113,0))</f>
        <v>19.0308503111797</v>
      </c>
      <c r="M90" s="15" t="n">
        <f aca="false">IF(LEN($A90)&lt;2,"",VLOOKUP($A90,Equiv_MCF,M$113,0))</f>
        <v>138.886927075915</v>
      </c>
      <c r="N90" s="87" t="n">
        <f aca="false">SUM(D90:M90)</f>
        <v>186.4935128708</v>
      </c>
      <c r="P90" s="53"/>
      <c r="Q90" s="54"/>
      <c r="R90" s="26"/>
      <c r="S90" s="14"/>
      <c r="T90" s="15"/>
      <c r="U90" s="15"/>
      <c r="V90" s="15"/>
      <c r="W90" s="15"/>
      <c r="X90" s="15"/>
      <c r="Y90" s="15"/>
      <c r="Z90" s="16"/>
      <c r="AA90" s="25"/>
      <c r="AB90" s="26"/>
      <c r="AC90" s="27"/>
    </row>
    <row r="91" customFormat="false" ht="15" hidden="false" customHeight="false" outlineLevel="0" collapsed="false">
      <c r="A91" s="53" t="s">
        <v>153</v>
      </c>
      <c r="B91" s="54"/>
      <c r="C91" s="26" t="n">
        <f aca="false">IF(LEN($A91)&lt;2,"",VLOOKUP($A91,Equiv_MCF,C$113,0))</f>
        <v>4535.41802400524</v>
      </c>
      <c r="D91" s="14" t="n">
        <f aca="false">IF(LEN($A91)&lt;2,"",VLOOKUP($A91,Equiv_MCF,D$113,0))</f>
        <v>0</v>
      </c>
      <c r="E91" s="15" t="n">
        <f aca="false">IF(LEN($A91)&lt;2,"",VLOOKUP($A91,Equiv_MCF,E$113,0))</f>
        <v>0</v>
      </c>
      <c r="F91" s="15" t="n">
        <f aca="false">IF(LEN($A91)&lt;2,"",VLOOKUP($A91,Equiv_MCF,F$113,0))</f>
        <v>0.111780092565588</v>
      </c>
      <c r="G91" s="15" t="n">
        <f aca="false">IF(LEN($A91)&lt;2,"",VLOOKUP($A91,Equiv_MCF,G$113,0))</f>
        <v>3.4011935013822</v>
      </c>
      <c r="H91" s="15" t="n">
        <f aca="false">IF(LEN($A91)&lt;2,"",VLOOKUP($A91,Equiv_MCF,H$113,0))</f>
        <v>1.44447861475939</v>
      </c>
      <c r="I91" s="15" t="n">
        <f aca="false">IF(LEN($A91)&lt;2,"",VLOOKUP($A91,Equiv_MCF,I$113,0))</f>
        <v>0.347452402441603</v>
      </c>
      <c r="J91" s="15" t="n">
        <f aca="false">IF(LEN($A91)&lt;2,"",VLOOKUP($A91,Equiv_MCF,J$113,0))</f>
        <v>1.20217752500195</v>
      </c>
      <c r="K91" s="15" t="n">
        <f aca="false">IF(LEN($A91)&lt;2,"",VLOOKUP($A91,Equiv_MCF,K$113,0))</f>
        <v>302.713502506991</v>
      </c>
      <c r="L91" s="15" t="n">
        <f aca="false">IF(LEN($A91)&lt;2,"",VLOOKUP($A91,Equiv_MCF,L$113,0))</f>
        <v>720.442520549684</v>
      </c>
      <c r="M91" s="15" t="n">
        <f aca="false">IF(LEN($A91)&lt;2,"",VLOOKUP($A91,Equiv_MCF,M$113,0))</f>
        <v>3505.75491881241</v>
      </c>
      <c r="N91" s="87" t="n">
        <f aca="false">SUM(D91:M91)</f>
        <v>4535.41802400524</v>
      </c>
      <c r="P91" s="53"/>
      <c r="Q91" s="54"/>
      <c r="R91" s="26"/>
      <c r="S91" s="14"/>
      <c r="T91" s="15"/>
      <c r="U91" s="15"/>
      <c r="V91" s="15"/>
      <c r="W91" s="15"/>
      <c r="X91" s="15"/>
      <c r="Y91" s="15"/>
      <c r="Z91" s="16"/>
      <c r="AA91" s="25"/>
      <c r="AB91" s="26"/>
      <c r="AC91" s="27"/>
    </row>
    <row r="92" customFormat="false" ht="15" hidden="false" customHeight="false" outlineLevel="0" collapsed="false">
      <c r="A92" s="89" t="s">
        <v>154</v>
      </c>
      <c r="B92" s="90"/>
      <c r="C92" s="91" t="n">
        <f aca="false">SUM(C78:C91)</f>
        <v>20429.195966999</v>
      </c>
      <c r="D92" s="92" t="n">
        <f aca="false">SUM(D78:D91)</f>
        <v>0.351982309639888</v>
      </c>
      <c r="E92" s="93" t="n">
        <f aca="false">SUM(E78:E91)</f>
        <v>5.14974745948023</v>
      </c>
      <c r="F92" s="93" t="n">
        <f aca="false">SUM(F78:F91)</f>
        <v>14.6625693641885</v>
      </c>
      <c r="G92" s="93" t="n">
        <f aca="false">SUM(G78:G91)</f>
        <v>63.4294588196543</v>
      </c>
      <c r="H92" s="93" t="n">
        <f aca="false">SUM(H78:H91)</f>
        <v>560.037367596249</v>
      </c>
      <c r="I92" s="93" t="n">
        <f aca="false">SUM(I78:I91)</f>
        <v>334.039736758331</v>
      </c>
      <c r="J92" s="93" t="n">
        <f aca="false">SUM(J78:J91)</f>
        <v>1803.26088754279</v>
      </c>
      <c r="K92" s="93" t="n">
        <f aca="false">SUM(K78:K91)</f>
        <v>1586.77806375319</v>
      </c>
      <c r="L92" s="93" t="n">
        <f aca="false">SUM(L78:L91)</f>
        <v>2888.80430506734</v>
      </c>
      <c r="M92" s="93" t="n">
        <f aca="false">SUM(M78:M91)</f>
        <v>13172.6818483281</v>
      </c>
      <c r="N92" s="118" t="n">
        <f aca="false">SUM(D92:M92)</f>
        <v>20429.195966999</v>
      </c>
      <c r="P92" s="53"/>
      <c r="Q92" s="54"/>
      <c r="R92" s="26"/>
      <c r="S92" s="14"/>
      <c r="T92" s="15"/>
      <c r="U92" s="15"/>
      <c r="V92" s="15"/>
      <c r="W92" s="15"/>
      <c r="X92" s="15"/>
      <c r="Y92" s="15"/>
      <c r="Z92" s="16"/>
      <c r="AA92" s="25"/>
      <c r="AB92" s="26"/>
      <c r="AC92" s="27"/>
    </row>
    <row r="93" customFormat="false" ht="15" hidden="false" customHeight="false" outlineLevel="0" collapsed="false">
      <c r="A93" s="53" t="s">
        <v>155</v>
      </c>
      <c r="B93" s="54"/>
      <c r="C93" s="26" t="n">
        <f aca="false">IF(LEN($A93)&lt;2,"",VLOOKUP($A93,Equiv_MCF,C$113,0))</f>
        <v>29790.360481955</v>
      </c>
      <c r="D93" s="14" t="n">
        <f aca="false">IF(LEN($A93)&lt;2,"",VLOOKUP($A93,Equiv_MCF,D$113,0))</f>
        <v>2.18788216269009</v>
      </c>
      <c r="E93" s="15" t="n">
        <f aca="false">IF(LEN($A93)&lt;2,"",VLOOKUP($A93,Equiv_MCF,E$113,0))</f>
        <v>0</v>
      </c>
      <c r="F93" s="15" t="n">
        <f aca="false">IF(LEN($A93)&lt;2,"",VLOOKUP($A93,Equiv_MCF,F$113,0))</f>
        <v>0.734160483761542</v>
      </c>
      <c r="G93" s="15" t="n">
        <f aca="false">IF(LEN($A93)&lt;2,"",VLOOKUP($A93,Equiv_MCF,G$113,0))</f>
        <v>22.3386992176287</v>
      </c>
      <c r="H93" s="15" t="n">
        <f aca="false">IF(LEN($A93)&lt;2,"",VLOOKUP($A93,Equiv_MCF,H$113,0))</f>
        <v>9.48719127220893</v>
      </c>
      <c r="I93" s="15" t="n">
        <f aca="false">IF(LEN($A93)&lt;2,"",VLOOKUP($A93,Equiv_MCF,I$113,0))</f>
        <v>2.28203267689158</v>
      </c>
      <c r="J93" s="15" t="n">
        <f aca="false">IF(LEN($A93)&lt;2,"",VLOOKUP($A93,Equiv_MCF,J$113,0))</f>
        <v>7.89578191487733</v>
      </c>
      <c r="K93" s="15" t="n">
        <f aca="false">IF(LEN($A93)&lt;2,"",VLOOKUP($A93,Equiv_MCF,K$113,0))</f>
        <v>1988.19205048772</v>
      </c>
      <c r="L93" s="15" t="n">
        <f aca="false">IF(LEN($A93)&lt;2,"",VLOOKUP($A93,Equiv_MCF,L$113,0))</f>
        <v>4731.79451966183</v>
      </c>
      <c r="M93" s="15" t="n">
        <f aca="false">IF(LEN($A93)&lt;2,"",VLOOKUP($A93,Equiv_MCF,M$113,0))</f>
        <v>23025.4481640774</v>
      </c>
      <c r="N93" s="87" t="n">
        <f aca="false">SUM(D93:M93)</f>
        <v>29790.360481955</v>
      </c>
      <c r="P93" s="53" t="str">
        <f aca="false">IF(LEN($A93)&lt;2,"",A93)</f>
        <v>Plant Condensate</v>
      </c>
      <c r="Q93" s="54"/>
      <c r="R93" s="26" t="n">
        <f aca="false">SUM(S93:Z93)</f>
        <v>161448.614094959</v>
      </c>
      <c r="S93" s="14" t="n">
        <f aca="false">IF(LEN($A93)&lt;2,"",VLOOKUP($A93,Equiv_MCF,S$113,0))</f>
        <v>0.816202942540353</v>
      </c>
      <c r="T93" s="15" t="n">
        <f aca="false">IF(LEN($A93)&lt;2,"",VLOOKUP($A93,Equiv_MCF,T$113,0))</f>
        <v>43.5180716301502</v>
      </c>
      <c r="U93" s="15" t="n">
        <f aca="false">IF(LEN($A93)&lt;2,"",VLOOKUP($A93,Equiv_MCF,U$113,0))</f>
        <v>26.2762729435144</v>
      </c>
      <c r="V93" s="15" t="n">
        <f aca="false">IF(LEN($A93)&lt;2,"",VLOOKUP($A93,Equiv_MCF,V$113,0))</f>
        <v>8.16880679204554</v>
      </c>
      <c r="W93" s="15" t="n">
        <f aca="false">IF(LEN($A93)&lt;2,"",VLOOKUP($A93,Equiv_MCF,W$113,0))</f>
        <v>28.3545644286369</v>
      </c>
      <c r="X93" s="15" t="n">
        <f aca="false">IF(LEN($A93)&lt;2,"",VLOOKUP($A93,Equiv_MCF,X$113,0))</f>
        <v>8756.30710604245</v>
      </c>
      <c r="Y93" s="15" t="n">
        <f aca="false">IF(LEN($A93)&lt;2,"",VLOOKUP($A93,Equiv_MCF,Y$113,0))</f>
        <v>20880.3145509264</v>
      </c>
      <c r="Z93" s="16" t="n">
        <f aca="false">IF(LEN($A93)&lt;2,"",VLOOKUP($A93,Equiv_MCF,Z$113,0))</f>
        <v>131704.858519253</v>
      </c>
      <c r="AA93" s="25" t="n">
        <f aca="false">IF(N93=0,,R93/N93*1000)</f>
        <v>5419.49179140527</v>
      </c>
      <c r="AB93" s="26" t="n">
        <f aca="false">R93</f>
        <v>161448.614094959</v>
      </c>
      <c r="AC93" s="27" t="n">
        <f aca="false">IF(AB93=0,,R93/AB93)</f>
        <v>1</v>
      </c>
    </row>
    <row r="94" customFormat="false" ht="15" hidden="false" customHeight="false" outlineLevel="0" collapsed="false">
      <c r="A94" s="53"/>
      <c r="B94" s="54"/>
      <c r="C94" s="26" t="str">
        <f aca="false">IF(LEN($A94)&lt;2,"",VLOOKUP($A94,Equiv_MCF,C$113,0))</f>
        <v/>
      </c>
      <c r="D94" s="14" t="str">
        <f aca="false">IF(LEN($A94)&lt;2,"",VLOOKUP($A94,Equiv_MCF,D$113,0))</f>
        <v/>
      </c>
      <c r="E94" s="15" t="str">
        <f aca="false">IF(LEN($A94)&lt;2,"",VLOOKUP($A94,Equiv_MCF,E$113,0))</f>
        <v/>
      </c>
      <c r="F94" s="15" t="str">
        <f aca="false">IF(LEN($A94)&lt;2,"",VLOOKUP($A94,Equiv_MCF,F$113,0))</f>
        <v/>
      </c>
      <c r="G94" s="15" t="str">
        <f aca="false">IF(LEN($A94)&lt;2,"",VLOOKUP($A94,Equiv_MCF,G$113,0))</f>
        <v/>
      </c>
      <c r="H94" s="15" t="str">
        <f aca="false">IF(LEN($A94)&lt;2,"",VLOOKUP($A94,Equiv_MCF,H$113,0))</f>
        <v/>
      </c>
      <c r="I94" s="15" t="str">
        <f aca="false">IF(LEN($A94)&lt;2,"",VLOOKUP($A94,Equiv_MCF,I$113,0))</f>
        <v/>
      </c>
      <c r="J94" s="15" t="str">
        <f aca="false">IF(LEN($A94)&lt;2,"",VLOOKUP($A94,Equiv_MCF,J$113,0))</f>
        <v/>
      </c>
      <c r="K94" s="15" t="str">
        <f aca="false">IF(LEN($A94)&lt;2,"",VLOOKUP($A94,Equiv_MCF,K$113,0))</f>
        <v/>
      </c>
      <c r="L94" s="15" t="str">
        <f aca="false">IF(LEN($A94)&lt;2,"",VLOOKUP($A94,Equiv_MCF,L$113,0))</f>
        <v/>
      </c>
      <c r="M94" s="15" t="str">
        <f aca="false">IF(LEN($A94)&lt;2,"",VLOOKUP($A94,Equiv_MCF,M$113,0))</f>
        <v/>
      </c>
      <c r="N94" s="87" t="n">
        <f aca="false">SUM(D94:M94)</f>
        <v>0</v>
      </c>
      <c r="P94" s="53" t="str">
        <f aca="false">IF(LEN($A94)&lt;2,"",A94)</f>
        <v/>
      </c>
      <c r="Q94" s="54"/>
      <c r="R94" s="26" t="n">
        <f aca="false">SUM(S94:Z94)</f>
        <v>0</v>
      </c>
      <c r="S94" s="14" t="str">
        <f aca="false">IF(LEN($A94)&lt;2,"",VLOOKUP($A94,Equiv_MCF,S$113,0))</f>
        <v/>
      </c>
      <c r="T94" s="15" t="str">
        <f aca="false">IF(LEN($A94)&lt;2,"",VLOOKUP($A94,Equiv_MCF,T$113,0))</f>
        <v/>
      </c>
      <c r="U94" s="15" t="str">
        <f aca="false">IF(LEN($A94)&lt;2,"",VLOOKUP($A94,Equiv_MCF,U$113,0))</f>
        <v/>
      </c>
      <c r="V94" s="15" t="str">
        <f aca="false">IF(LEN($A94)&lt;2,"",VLOOKUP($A94,Equiv_MCF,V$113,0))</f>
        <v/>
      </c>
      <c r="W94" s="15" t="str">
        <f aca="false">IF(LEN($A94)&lt;2,"",VLOOKUP($A94,Equiv_MCF,W$113,0))</f>
        <v/>
      </c>
      <c r="X94" s="15" t="str">
        <f aca="false">IF(LEN($A94)&lt;2,"",VLOOKUP($A94,Equiv_MCF,X$113,0))</f>
        <v/>
      </c>
      <c r="Y94" s="15" t="str">
        <f aca="false">IF(LEN($A94)&lt;2,"",VLOOKUP($A94,Equiv_MCF,Y$113,0))</f>
        <v/>
      </c>
      <c r="Z94" s="16" t="str">
        <f aca="false">IF(LEN($A94)&lt;2,"",VLOOKUP($A94,Equiv_MCF,Z$113,0))</f>
        <v/>
      </c>
      <c r="AA94" s="25" t="n">
        <f aca="false">IF(N94=0,,R94/N94*1000)</f>
        <v>0</v>
      </c>
      <c r="AB94" s="26" t="n">
        <f aca="false">R94</f>
        <v>0</v>
      </c>
      <c r="AC94" s="27" t="n">
        <f aca="false">IF(AB94=0,,R94/AB94)</f>
        <v>0</v>
      </c>
    </row>
    <row r="95" customFormat="false" ht="15" hidden="false" customHeight="false" outlineLevel="0" collapsed="false">
      <c r="A95" s="53"/>
      <c r="B95" s="54"/>
      <c r="C95" s="26" t="str">
        <f aca="false">IF(LEN($A95)&lt;2,"",VLOOKUP($A95,Equiv_MCF,C$113,0))</f>
        <v/>
      </c>
      <c r="D95" s="14" t="str">
        <f aca="false">IF(LEN($A95)&lt;2,"",VLOOKUP($A95,Equiv_MCF,D$113,0))</f>
        <v/>
      </c>
      <c r="E95" s="15" t="str">
        <f aca="false">IF(LEN($A95)&lt;2,"",VLOOKUP($A95,Equiv_MCF,E$113,0))</f>
        <v/>
      </c>
      <c r="F95" s="15" t="str">
        <f aca="false">IF(LEN($A95)&lt;2,"",VLOOKUP($A95,Equiv_MCF,F$113,0))</f>
        <v/>
      </c>
      <c r="G95" s="15" t="str">
        <f aca="false">IF(LEN($A95)&lt;2,"",VLOOKUP($A95,Equiv_MCF,G$113,0))</f>
        <v/>
      </c>
      <c r="H95" s="15" t="str">
        <f aca="false">IF(LEN($A95)&lt;2,"",VLOOKUP($A95,Equiv_MCF,H$113,0))</f>
        <v/>
      </c>
      <c r="I95" s="15" t="str">
        <f aca="false">IF(LEN($A95)&lt;2,"",VLOOKUP($A95,Equiv_MCF,I$113,0))</f>
        <v/>
      </c>
      <c r="J95" s="15" t="str">
        <f aca="false">IF(LEN($A95)&lt;2,"",VLOOKUP($A95,Equiv_MCF,J$113,0))</f>
        <v/>
      </c>
      <c r="K95" s="15" t="str">
        <f aca="false">IF(LEN($A95)&lt;2,"",VLOOKUP($A95,Equiv_MCF,K$113,0))</f>
        <v/>
      </c>
      <c r="L95" s="15" t="str">
        <f aca="false">IF(LEN($A95)&lt;2,"",VLOOKUP($A95,Equiv_MCF,L$113,0))</f>
        <v/>
      </c>
      <c r="M95" s="15" t="str">
        <f aca="false">IF(LEN($A95)&lt;2,"",VLOOKUP($A95,Equiv_MCF,M$113,0))</f>
        <v/>
      </c>
      <c r="N95" s="87" t="n">
        <f aca="false">SUM(D95:M95)</f>
        <v>0</v>
      </c>
      <c r="P95" s="53" t="str">
        <f aca="false">IF(LEN($A95)&lt;2,"",A95)</f>
        <v/>
      </c>
      <c r="Q95" s="54"/>
      <c r="R95" s="26" t="n">
        <f aca="false">SUM(S95:Z95)</f>
        <v>0</v>
      </c>
      <c r="S95" s="14" t="str">
        <f aca="false">IF(LEN($A95)&lt;2,"",VLOOKUP($A95,Equiv_MCF,S$113,0))</f>
        <v/>
      </c>
      <c r="T95" s="15" t="str">
        <f aca="false">IF(LEN($A95)&lt;2,"",VLOOKUP($A95,Equiv_MCF,T$113,0))</f>
        <v/>
      </c>
      <c r="U95" s="15" t="str">
        <f aca="false">IF(LEN($A95)&lt;2,"",VLOOKUP($A95,Equiv_MCF,U$113,0))</f>
        <v/>
      </c>
      <c r="V95" s="15" t="str">
        <f aca="false">IF(LEN($A95)&lt;2,"",VLOOKUP($A95,Equiv_MCF,V$113,0))</f>
        <v/>
      </c>
      <c r="W95" s="15" t="str">
        <f aca="false">IF(LEN($A95)&lt;2,"",VLOOKUP($A95,Equiv_MCF,W$113,0))</f>
        <v/>
      </c>
      <c r="X95" s="15" t="str">
        <f aca="false">IF(LEN($A95)&lt;2,"",VLOOKUP($A95,Equiv_MCF,X$113,0))</f>
        <v/>
      </c>
      <c r="Y95" s="15" t="str">
        <f aca="false">IF(LEN($A95)&lt;2,"",VLOOKUP($A95,Equiv_MCF,Y$113,0))</f>
        <v/>
      </c>
      <c r="Z95" s="16" t="str">
        <f aca="false">IF(LEN($A95)&lt;2,"",VLOOKUP($A95,Equiv_MCF,Z$113,0))</f>
        <v/>
      </c>
      <c r="AA95" s="25" t="n">
        <f aca="false">IF(N95=0,,R95/N95*1000)</f>
        <v>0</v>
      </c>
      <c r="AB95" s="26" t="n">
        <f aca="false">R95</f>
        <v>0</v>
      </c>
      <c r="AC95" s="27" t="n">
        <f aca="false">IF(AB95=0,,R95/AB95)</f>
        <v>0</v>
      </c>
    </row>
    <row r="96" customFormat="false" ht="15" hidden="false" customHeight="false" outlineLevel="0" collapsed="false">
      <c r="A96" s="53" t="s">
        <v>156</v>
      </c>
      <c r="B96" s="54"/>
      <c r="C96" s="26" t="n">
        <f aca="false">IF(LEN($A96)&lt;2,"",VLOOKUP($A96,Equiv_MCF,C$113,0))</f>
        <v>1428908.77666468</v>
      </c>
      <c r="D96" s="14" t="n">
        <f aca="false">IF(LEN($A96)&lt;2,"",VLOOKUP($A96,Equiv_MCF,D$113,0))</f>
        <v>68.4829232563957</v>
      </c>
      <c r="E96" s="15" t="n">
        <f aca="false">IF(LEN($A96)&lt;2,"",VLOOKUP($A96,Equiv_MCF,E$113,0))</f>
        <v>23.5616980070076</v>
      </c>
      <c r="F96" s="15" t="n">
        <f aca="false">IF(LEN($A96)&lt;2,"",VLOOKUP($A96,Equiv_MCF,F$113,0))</f>
        <v>2641.55959432703</v>
      </c>
      <c r="G96" s="15" t="n">
        <f aca="false">IF(LEN($A96)&lt;2,"",VLOOKUP($A96,Equiv_MCF,G$113,0))</f>
        <v>748348.742509551</v>
      </c>
      <c r="H96" s="15" t="n">
        <f aca="false">IF(LEN($A96)&lt;2,"",VLOOKUP($A96,Equiv_MCF,H$113,0))</f>
        <v>389489.877299164</v>
      </c>
      <c r="I96" s="15" t="n">
        <f aca="false">IF(LEN($A96)&lt;2,"",VLOOKUP($A96,Equiv_MCF,I$113,0))</f>
        <v>60040.9698044277</v>
      </c>
      <c r="J96" s="15" t="n">
        <f aca="false">IF(LEN($A96)&lt;2,"",VLOOKUP($A96,Equiv_MCF,J$113,0))</f>
        <v>134807.587221844</v>
      </c>
      <c r="K96" s="15" t="n">
        <f aca="false">IF(LEN($A96)&lt;2,"",VLOOKUP($A96,Equiv_MCF,K$113,0))</f>
        <v>33974.1607779725</v>
      </c>
      <c r="L96" s="15" t="n">
        <f aca="false">IF(LEN($A96)&lt;2,"",VLOOKUP($A96,Equiv_MCF,L$113,0))</f>
        <v>33314.5444059845</v>
      </c>
      <c r="M96" s="15" t="n">
        <f aca="false">IF(LEN($A96)&lt;2,"",VLOOKUP($A96,Equiv_MCF,M$113,0))</f>
        <v>26199.2904301452</v>
      </c>
      <c r="N96" s="87" t="n">
        <f aca="false">SUM(D96:M96)</f>
        <v>1428908.77666468</v>
      </c>
      <c r="P96" s="53" t="str">
        <f aca="false">IF(LEN($A96)&lt;2,"",A96)</f>
        <v>NGL</v>
      </c>
      <c r="Q96" s="54"/>
      <c r="R96" s="26" t="n">
        <f aca="false">SUM(S96:Z96)</f>
        <v>3389979.48276012</v>
      </c>
      <c r="S96" s="14" t="n">
        <f aca="false">IF(LEN($A96)&lt;2,"",VLOOKUP($A96,Equiv_MCF,S$113,0))</f>
        <v>2701.58071280932</v>
      </c>
      <c r="T96" s="15" t="n">
        <f aca="false">IF(LEN($A96)&lt;2,"",VLOOKUP($A96,Equiv_MCF,T$113,0))</f>
        <v>1341115.48872453</v>
      </c>
      <c r="U96" s="15" t="n">
        <f aca="false">IF(LEN($A96)&lt;2,"",VLOOKUP($A96,Equiv_MCF,U$113,0))</f>
        <v>992367.804143093</v>
      </c>
      <c r="V96" s="15" t="n">
        <f aca="false">IF(LEN($A96)&lt;2,"",VLOOKUP($A96,Equiv_MCF,V$113,0))</f>
        <v>197712.827411643</v>
      </c>
      <c r="W96" s="15" t="n">
        <f aca="false">IF(LEN($A96)&lt;2,"",VLOOKUP($A96,Equiv_MCF,W$113,0))</f>
        <v>445340.8713176</v>
      </c>
      <c r="X96" s="15" t="n">
        <f aca="false">IF(LEN($A96)&lt;2,"",VLOOKUP($A96,Equiv_MCF,X$113,0))</f>
        <v>137645.422305973</v>
      </c>
      <c r="Y96" s="15" t="n">
        <f aca="false">IF(LEN($A96)&lt;2,"",VLOOKUP($A96,Equiv_MCF,Y$113,0))</f>
        <v>135236.966705877</v>
      </c>
      <c r="Z96" s="16" t="n">
        <f aca="false">IF(LEN($A96)&lt;2,"",VLOOKUP($A96,Equiv_MCF,Z$113,0))</f>
        <v>137858.521438591</v>
      </c>
      <c r="AA96" s="25" t="n">
        <f aca="false">IF(N96=0,,R96/N96*1000)</f>
        <v>2372.42540470143</v>
      </c>
      <c r="AB96" s="26" t="n">
        <f aca="false">R96</f>
        <v>3389979.48276012</v>
      </c>
      <c r="AC96" s="27" t="n">
        <f aca="false">IF(AB96=0,,R96/AB96)</f>
        <v>1</v>
      </c>
    </row>
    <row r="97" customFormat="false" ht="15" hidden="false" customHeight="false" outlineLevel="0" collapsed="false">
      <c r="A97" s="53" t="s">
        <v>157</v>
      </c>
      <c r="B97" s="54"/>
      <c r="C97" s="26" t="n">
        <f aca="false">IF(LEN($A97)&lt;2,"",VLOOKUP($A97,Equiv_MCF,C$113,0))</f>
        <v>0</v>
      </c>
      <c r="D97" s="14" t="n">
        <f aca="false">IF(LEN($A97)&lt;2,"",VLOOKUP($A97,Equiv_MCF,D$113,0))</f>
        <v>0</v>
      </c>
      <c r="E97" s="15" t="n">
        <f aca="false">IF(LEN($A97)&lt;2,"",VLOOKUP($A97,Equiv_MCF,E$113,0))</f>
        <v>0</v>
      </c>
      <c r="F97" s="15" t="n">
        <f aca="false">IF(LEN($A97)&lt;2,"",VLOOKUP($A97,Equiv_MCF,F$113,0))</f>
        <v>0</v>
      </c>
      <c r="G97" s="15" t="n">
        <f aca="false">IF(LEN($A97)&lt;2,"",VLOOKUP($A97,Equiv_MCF,G$113,0))</f>
        <v>0</v>
      </c>
      <c r="H97" s="15" t="n">
        <f aca="false">IF(LEN($A97)&lt;2,"",VLOOKUP($A97,Equiv_MCF,H$113,0))</f>
        <v>0</v>
      </c>
      <c r="I97" s="15" t="n">
        <f aca="false">IF(LEN($A97)&lt;2,"",VLOOKUP($A97,Equiv_MCF,I$113,0))</f>
        <v>0</v>
      </c>
      <c r="J97" s="15" t="n">
        <f aca="false">IF(LEN($A97)&lt;2,"",VLOOKUP($A97,Equiv_MCF,J$113,0))</f>
        <v>0</v>
      </c>
      <c r="K97" s="15" t="n">
        <f aca="false">IF(LEN($A97)&lt;2,"",VLOOKUP($A97,Equiv_MCF,K$113,0))</f>
        <v>0</v>
      </c>
      <c r="L97" s="15" t="n">
        <f aca="false">IF(LEN($A97)&lt;2,"",VLOOKUP($A97,Equiv_MCF,L$113,0))</f>
        <v>0</v>
      </c>
      <c r="M97" s="15" t="n">
        <f aca="false">IF(LEN($A97)&lt;2,"",VLOOKUP($A97,Equiv_MCF,M$113,0))</f>
        <v>0</v>
      </c>
      <c r="N97" s="87" t="n">
        <f aca="false">SUM(D97:M97)</f>
        <v>0</v>
      </c>
      <c r="P97" s="53" t="str">
        <f aca="false">IF(LEN($A97)&lt;2,"",A97)</f>
        <v>Elliq</v>
      </c>
      <c r="Q97" s="54"/>
      <c r="R97" s="26" t="n">
        <f aca="false">SUM(S97:Z97)</f>
        <v>0</v>
      </c>
      <c r="S97" s="14" t="n">
        <f aca="false">IF(LEN($A97)&lt;2,"",VLOOKUP($A97,Equiv_MCF,S$113,0))</f>
        <v>0</v>
      </c>
      <c r="T97" s="15" t="n">
        <f aca="false">IF(LEN($A97)&lt;2,"",VLOOKUP($A97,Equiv_MCF,T$113,0))</f>
        <v>0</v>
      </c>
      <c r="U97" s="15" t="n">
        <f aca="false">IF(LEN($A97)&lt;2,"",VLOOKUP($A97,Equiv_MCF,U$113,0))</f>
        <v>0</v>
      </c>
      <c r="V97" s="15" t="n">
        <f aca="false">IF(LEN($A97)&lt;2,"",VLOOKUP($A97,Equiv_MCF,V$113,0))</f>
        <v>0</v>
      </c>
      <c r="W97" s="15" t="n">
        <f aca="false">IF(LEN($A97)&lt;2,"",VLOOKUP($A97,Equiv_MCF,W$113,0))</f>
        <v>0</v>
      </c>
      <c r="X97" s="15" t="n">
        <f aca="false">IF(LEN($A97)&lt;2,"",VLOOKUP($A97,Equiv_MCF,X$113,0))</f>
        <v>0</v>
      </c>
      <c r="Y97" s="15" t="n">
        <f aca="false">IF(LEN($A97)&lt;2,"",VLOOKUP($A97,Equiv_MCF,Y$113,0))</f>
        <v>0</v>
      </c>
      <c r="Z97" s="16" t="n">
        <f aca="false">IF(LEN($A97)&lt;2,"",VLOOKUP($A97,Equiv_MCF,Z$113,0))</f>
        <v>0</v>
      </c>
      <c r="AA97" s="25" t="n">
        <f aca="false">IF(N97=0,,R97/N97*1000)</f>
        <v>0</v>
      </c>
      <c r="AB97" s="26" t="n">
        <f aca="false">R97</f>
        <v>0</v>
      </c>
      <c r="AC97" s="27" t="n">
        <f aca="false">IF(AB97=0,,R97/AB97)</f>
        <v>0</v>
      </c>
    </row>
    <row r="98" customFormat="false" ht="15" hidden="false" customHeight="false" outlineLevel="0" collapsed="false">
      <c r="A98" s="53"/>
      <c r="B98" s="54"/>
      <c r="C98" s="26" t="str">
        <f aca="false">IF(LEN($A98)&lt;2,"",VLOOKUP($A98,Equiv_MCF,C$113,0))</f>
        <v/>
      </c>
      <c r="D98" s="14" t="str">
        <f aca="false">IF(LEN($A98)&lt;2,"",VLOOKUP($A98,Equiv_MCF,D$113,0))</f>
        <v/>
      </c>
      <c r="E98" s="15" t="str">
        <f aca="false">IF(LEN($A98)&lt;2,"",VLOOKUP($A98,Equiv_MCF,E$113,0))</f>
        <v/>
      </c>
      <c r="F98" s="15" t="str">
        <f aca="false">IF(LEN($A98)&lt;2,"",VLOOKUP($A98,Equiv_MCF,F$113,0))</f>
        <v/>
      </c>
      <c r="G98" s="15" t="str">
        <f aca="false">IF(LEN($A98)&lt;2,"",VLOOKUP($A98,Equiv_MCF,G$113,0))</f>
        <v/>
      </c>
      <c r="H98" s="15" t="str">
        <f aca="false">IF(LEN($A98)&lt;2,"",VLOOKUP($A98,Equiv_MCF,H$113,0))</f>
        <v/>
      </c>
      <c r="I98" s="15" t="str">
        <f aca="false">IF(LEN($A98)&lt;2,"",VLOOKUP($A98,Equiv_MCF,I$113,0))</f>
        <v/>
      </c>
      <c r="J98" s="15" t="str">
        <f aca="false">IF(LEN($A98)&lt;2,"",VLOOKUP($A98,Equiv_MCF,J$113,0))</f>
        <v/>
      </c>
      <c r="K98" s="15" t="str">
        <f aca="false">IF(LEN($A98)&lt;2,"",VLOOKUP($A98,Equiv_MCF,K$113,0))</f>
        <v/>
      </c>
      <c r="L98" s="15" t="str">
        <f aca="false">IF(LEN($A98)&lt;2,"",VLOOKUP($A98,Equiv_MCF,L$113,0))</f>
        <v/>
      </c>
      <c r="M98" s="15" t="str">
        <f aca="false">IF(LEN($A98)&lt;2,"",VLOOKUP($A98,Equiv_MCF,M$113,0))</f>
        <v/>
      </c>
      <c r="N98" s="87" t="n">
        <f aca="false">SUM(D98:M98)</f>
        <v>0</v>
      </c>
      <c r="P98" s="53" t="str">
        <f aca="false">IF(LEN($A98)&lt;2,"",A98)</f>
        <v/>
      </c>
      <c r="Q98" s="54"/>
      <c r="R98" s="26" t="n">
        <f aca="false">SUM(S98:Z98)</f>
        <v>0</v>
      </c>
      <c r="S98" s="14" t="str">
        <f aca="false">IF(LEN($A98)&lt;2,"",VLOOKUP($A98,Equiv_MCF,S$113,0))</f>
        <v/>
      </c>
      <c r="T98" s="15" t="str">
        <f aca="false">IF(LEN($A98)&lt;2,"",VLOOKUP($A98,Equiv_MCF,T$113,0))</f>
        <v/>
      </c>
      <c r="U98" s="15" t="str">
        <f aca="false">IF(LEN($A98)&lt;2,"",VLOOKUP($A98,Equiv_MCF,U$113,0))</f>
        <v/>
      </c>
      <c r="V98" s="15" t="str">
        <f aca="false">IF(LEN($A98)&lt;2,"",VLOOKUP($A98,Equiv_MCF,V$113,0))</f>
        <v/>
      </c>
      <c r="W98" s="15" t="str">
        <f aca="false">IF(LEN($A98)&lt;2,"",VLOOKUP($A98,Equiv_MCF,W$113,0))</f>
        <v/>
      </c>
      <c r="X98" s="15" t="str">
        <f aca="false">IF(LEN($A98)&lt;2,"",VLOOKUP($A98,Equiv_MCF,X$113,0))</f>
        <v/>
      </c>
      <c r="Y98" s="15" t="str">
        <f aca="false">IF(LEN($A98)&lt;2,"",VLOOKUP($A98,Equiv_MCF,Y$113,0))</f>
        <v/>
      </c>
      <c r="Z98" s="16" t="str">
        <f aca="false">IF(LEN($A98)&lt;2,"",VLOOKUP($A98,Equiv_MCF,Z$113,0))</f>
        <v/>
      </c>
      <c r="AA98" s="25" t="n">
        <f aca="false">IF(N98=0,,R98/N98*1000)</f>
        <v>0</v>
      </c>
      <c r="AB98" s="26" t="n">
        <f aca="false">R98</f>
        <v>0</v>
      </c>
      <c r="AC98" s="27" t="n">
        <f aca="false">IF(AB98=0,,R98/AB98)</f>
        <v>0</v>
      </c>
    </row>
    <row r="99" customFormat="false" ht="15" hidden="false" customHeight="false" outlineLevel="0" collapsed="false">
      <c r="A99" s="53"/>
      <c r="B99" s="54"/>
      <c r="C99" s="26" t="str">
        <f aca="false">IF(LEN($A99)&lt;2,"",VLOOKUP($A99,Equiv_MCF,C$113,0))</f>
        <v/>
      </c>
      <c r="D99" s="14" t="str">
        <f aca="false">IF(LEN($A99)&lt;2,"",VLOOKUP($A99,Equiv_MCF,D$113,0))</f>
        <v/>
      </c>
      <c r="E99" s="15" t="str">
        <f aca="false">IF(LEN($A99)&lt;2,"",VLOOKUP($A99,Equiv_MCF,E$113,0))</f>
        <v/>
      </c>
      <c r="F99" s="15" t="str">
        <f aca="false">IF(LEN($A99)&lt;2,"",VLOOKUP($A99,Equiv_MCF,F$113,0))</f>
        <v/>
      </c>
      <c r="G99" s="15" t="str">
        <f aca="false">IF(LEN($A99)&lt;2,"",VLOOKUP($A99,Equiv_MCF,G$113,0))</f>
        <v/>
      </c>
      <c r="H99" s="15" t="str">
        <f aca="false">IF(LEN($A99)&lt;2,"",VLOOKUP($A99,Equiv_MCF,H$113,0))</f>
        <v/>
      </c>
      <c r="I99" s="15" t="str">
        <f aca="false">IF(LEN($A99)&lt;2,"",VLOOKUP($A99,Equiv_MCF,I$113,0))</f>
        <v/>
      </c>
      <c r="J99" s="15" t="str">
        <f aca="false">IF(LEN($A99)&lt;2,"",VLOOKUP($A99,Equiv_MCF,J$113,0))</f>
        <v/>
      </c>
      <c r="K99" s="15" t="str">
        <f aca="false">IF(LEN($A99)&lt;2,"",VLOOKUP($A99,Equiv_MCF,K$113,0))</f>
        <v/>
      </c>
      <c r="L99" s="15" t="str">
        <f aca="false">IF(LEN($A99)&lt;2,"",VLOOKUP($A99,Equiv_MCF,L$113,0))</f>
        <v/>
      </c>
      <c r="M99" s="15" t="str">
        <f aca="false">IF(LEN($A99)&lt;2,"",VLOOKUP($A99,Equiv_MCF,M$113,0))</f>
        <v/>
      </c>
      <c r="N99" s="87" t="n">
        <f aca="false">SUM(D99:M99)</f>
        <v>0</v>
      </c>
      <c r="P99" s="53" t="str">
        <f aca="false">IF(LEN($A99)&lt;2,"",A99)</f>
        <v/>
      </c>
      <c r="Q99" s="54"/>
      <c r="R99" s="26" t="n">
        <f aca="false">SUM(S99:Z99)</f>
        <v>0</v>
      </c>
      <c r="S99" s="14" t="str">
        <f aca="false">IF(LEN($A99)&lt;2,"",VLOOKUP($A99,Equiv_MCF,S$113,0))</f>
        <v/>
      </c>
      <c r="T99" s="15" t="str">
        <f aca="false">IF(LEN($A99)&lt;2,"",VLOOKUP($A99,Equiv_MCF,T$113,0))</f>
        <v/>
      </c>
      <c r="U99" s="15" t="str">
        <f aca="false">IF(LEN($A99)&lt;2,"",VLOOKUP($A99,Equiv_MCF,U$113,0))</f>
        <v/>
      </c>
      <c r="V99" s="15" t="str">
        <f aca="false">IF(LEN($A99)&lt;2,"",VLOOKUP($A99,Equiv_MCF,V$113,0))</f>
        <v/>
      </c>
      <c r="W99" s="15" t="str">
        <f aca="false">IF(LEN($A99)&lt;2,"",VLOOKUP($A99,Equiv_MCF,W$113,0))</f>
        <v/>
      </c>
      <c r="X99" s="15" t="str">
        <f aca="false">IF(LEN($A99)&lt;2,"",VLOOKUP($A99,Equiv_MCF,X$113,0))</f>
        <v/>
      </c>
      <c r="Y99" s="15" t="str">
        <f aca="false">IF(LEN($A99)&lt;2,"",VLOOKUP($A99,Equiv_MCF,Y$113,0))</f>
        <v/>
      </c>
      <c r="Z99" s="16" t="str">
        <f aca="false">IF(LEN($A99)&lt;2,"",VLOOKUP($A99,Equiv_MCF,Z$113,0))</f>
        <v/>
      </c>
      <c r="AA99" s="25" t="n">
        <f aca="false">IF(N99=0,,R99/N99*1000)</f>
        <v>0</v>
      </c>
      <c r="AB99" s="26" t="n">
        <f aca="false">R99</f>
        <v>0</v>
      </c>
      <c r="AC99" s="27" t="n">
        <f aca="false">IF(AB99=0,,R99/AB99)</f>
        <v>0</v>
      </c>
    </row>
    <row r="100" customFormat="false" ht="15" hidden="false" customHeight="false" outlineLevel="0" collapsed="false">
      <c r="A100" s="53"/>
      <c r="B100" s="54"/>
      <c r="C100" s="26" t="str">
        <f aca="false">IF(LEN($A100)&lt;2,"",VLOOKUP($A100,Equiv_MCF,C$113,0))</f>
        <v/>
      </c>
      <c r="D100" s="14" t="str">
        <f aca="false">IF(LEN($A100)&lt;2,"",VLOOKUP($A100,Equiv_MCF,D$113,0))</f>
        <v/>
      </c>
      <c r="E100" s="15" t="str">
        <f aca="false">IF(LEN($A100)&lt;2,"",VLOOKUP($A100,Equiv_MCF,E$113,0))</f>
        <v/>
      </c>
      <c r="F100" s="15" t="str">
        <f aca="false">IF(LEN($A100)&lt;2,"",VLOOKUP($A100,Equiv_MCF,F$113,0))</f>
        <v/>
      </c>
      <c r="G100" s="15" t="str">
        <f aca="false">IF(LEN($A100)&lt;2,"",VLOOKUP($A100,Equiv_MCF,G$113,0))</f>
        <v/>
      </c>
      <c r="H100" s="15" t="str">
        <f aca="false">IF(LEN($A100)&lt;2,"",VLOOKUP($A100,Equiv_MCF,H$113,0))</f>
        <v/>
      </c>
      <c r="I100" s="15" t="str">
        <f aca="false">IF(LEN($A100)&lt;2,"",VLOOKUP($A100,Equiv_MCF,I$113,0))</f>
        <v/>
      </c>
      <c r="J100" s="15" t="str">
        <f aca="false">IF(LEN($A100)&lt;2,"",VLOOKUP($A100,Equiv_MCF,J$113,0))</f>
        <v/>
      </c>
      <c r="K100" s="15" t="str">
        <f aca="false">IF(LEN($A100)&lt;2,"",VLOOKUP($A100,Equiv_MCF,K$113,0))</f>
        <v/>
      </c>
      <c r="L100" s="15" t="str">
        <f aca="false">IF(LEN($A100)&lt;2,"",VLOOKUP($A100,Equiv_MCF,L$113,0))</f>
        <v/>
      </c>
      <c r="M100" s="15" t="str">
        <f aca="false">IF(LEN($A100)&lt;2,"",VLOOKUP($A100,Equiv_MCF,M$113,0))</f>
        <v/>
      </c>
      <c r="N100" s="87" t="n">
        <f aca="false">SUM(D100:M100)</f>
        <v>0</v>
      </c>
      <c r="P100" s="53" t="str">
        <f aca="false">IF(LEN($A100)&lt;2,"",A100)</f>
        <v/>
      </c>
      <c r="Q100" s="54"/>
      <c r="R100" s="26" t="n">
        <f aca="false">SUM(S100:Z100)</f>
        <v>0</v>
      </c>
      <c r="S100" s="14" t="str">
        <f aca="false">IF(LEN($A100)&lt;2,"",VLOOKUP($A100,Equiv_MCF,S$113,0))</f>
        <v/>
      </c>
      <c r="T100" s="15" t="str">
        <f aca="false">IF(LEN($A100)&lt;2,"",VLOOKUP($A100,Equiv_MCF,T$113,0))</f>
        <v/>
      </c>
      <c r="U100" s="15" t="str">
        <f aca="false">IF(LEN($A100)&lt;2,"",VLOOKUP($A100,Equiv_MCF,U$113,0))</f>
        <v/>
      </c>
      <c r="V100" s="15" t="str">
        <f aca="false">IF(LEN($A100)&lt;2,"",VLOOKUP($A100,Equiv_MCF,V$113,0))</f>
        <v/>
      </c>
      <c r="W100" s="15" t="str">
        <f aca="false">IF(LEN($A100)&lt;2,"",VLOOKUP($A100,Equiv_MCF,W$113,0))</f>
        <v/>
      </c>
      <c r="X100" s="15" t="str">
        <f aca="false">IF(LEN($A100)&lt;2,"",VLOOKUP($A100,Equiv_MCF,X$113,0))</f>
        <v/>
      </c>
      <c r="Y100" s="15" t="str">
        <f aca="false">IF(LEN($A100)&lt;2,"",VLOOKUP($A100,Equiv_MCF,Y$113,0))</f>
        <v/>
      </c>
      <c r="Z100" s="16" t="str">
        <f aca="false">IF(LEN($A100)&lt;2,"",VLOOKUP($A100,Equiv_MCF,Z$113,0))</f>
        <v/>
      </c>
      <c r="AA100" s="25" t="n">
        <f aca="false">IF(N100=0,,R100/N100*1000)</f>
        <v>0</v>
      </c>
      <c r="AB100" s="26" t="n">
        <f aca="false">R100</f>
        <v>0</v>
      </c>
      <c r="AC100" s="27" t="n">
        <f aca="false">IF(AB100=0,,R100/AB100)</f>
        <v>0</v>
      </c>
    </row>
    <row r="101" customFormat="false" ht="15" hidden="false" customHeight="false" outlineLevel="0" collapsed="false">
      <c r="A101" s="89"/>
      <c r="B101" s="90"/>
      <c r="C101" s="91" t="n">
        <f aca="false">SUM(C92:C100)</f>
        <v>1479128.33311363</v>
      </c>
      <c r="D101" s="92" t="n">
        <f aca="false">SUM(D92:D100)</f>
        <v>71.0227877287257</v>
      </c>
      <c r="E101" s="93" t="n">
        <f aca="false">SUM(E92:E100)</f>
        <v>28.7114454664878</v>
      </c>
      <c r="F101" s="93" t="n">
        <f aca="false">SUM(F92:F100)</f>
        <v>2656.95632417498</v>
      </c>
      <c r="G101" s="93" t="n">
        <f aca="false">SUM(G92:G100)</f>
        <v>748434.510667588</v>
      </c>
      <c r="H101" s="93" t="n">
        <f aca="false">SUM(H92:H100)</f>
        <v>390059.401858032</v>
      </c>
      <c r="I101" s="93" t="n">
        <f aca="false">SUM(I92:I100)</f>
        <v>60377.2915738629</v>
      </c>
      <c r="J101" s="93" t="n">
        <f aca="false">SUM(J92:J100)</f>
        <v>136618.743891301</v>
      </c>
      <c r="K101" s="93" t="n">
        <f aca="false">SUM(K92:K100)</f>
        <v>37549.1308922134</v>
      </c>
      <c r="L101" s="93" t="n">
        <f aca="false">SUM(L92:L100)</f>
        <v>40935.1432307137</v>
      </c>
      <c r="M101" s="93" t="n">
        <f aca="false">SUM(M92:M100)</f>
        <v>62397.4204425508</v>
      </c>
      <c r="N101" s="94" t="n">
        <f aca="false">SUM(D101:M101)</f>
        <v>1479128.33311363</v>
      </c>
      <c r="P101" s="89"/>
      <c r="Q101" s="90"/>
      <c r="R101" s="91" t="n">
        <f aca="false">SUM(R78:R100)</f>
        <v>3628961.78505054</v>
      </c>
      <c r="S101" s="92" t="n">
        <f aca="false">SUM(S78:S100)</f>
        <v>2718.07382202216</v>
      </c>
      <c r="T101" s="93" t="n">
        <f aca="false">SUM(T78:T100)</f>
        <v>1341272.75650219</v>
      </c>
      <c r="U101" s="93" t="n">
        <f aca="false">SUM(U78:U100)</f>
        <v>993901.108852007</v>
      </c>
      <c r="V101" s="93" t="n">
        <f aca="false">SUM(V78:V100)</f>
        <v>198883.119807588</v>
      </c>
      <c r="W101" s="93" t="n">
        <f aca="false">SUM(W78:W100)</f>
        <v>451665.351161798</v>
      </c>
      <c r="X101" s="93" t="n">
        <f aca="false">SUM(X78:X100)</f>
        <v>151896.620711982</v>
      </c>
      <c r="Y101" s="93" t="n">
        <f aca="false">SUM(Y78:Y100)</f>
        <v>165414.009464202</v>
      </c>
      <c r="Z101" s="95" t="n">
        <f aca="false">SUM(Z78:Z100)</f>
        <v>323210.744728751</v>
      </c>
      <c r="AA101" s="96" t="n">
        <f aca="false">SUM(AA78:AA100)</f>
        <v>43545.1683149681</v>
      </c>
      <c r="AB101" s="91" t="n">
        <f aca="false">SUM(AB78:AB100)</f>
        <v>3628961.78505054</v>
      </c>
      <c r="AC101" s="97" t="n">
        <f aca="false">IF(AB101=0,,R101/AB101)</f>
        <v>1</v>
      </c>
    </row>
    <row r="102" customFormat="false" ht="15" hidden="false" customHeight="false" outlineLevel="0" collapsed="false">
      <c r="A102" s="79" t="s">
        <v>158</v>
      </c>
      <c r="B102" s="80"/>
      <c r="C102" s="98"/>
      <c r="D102" s="99"/>
      <c r="E102" s="100"/>
      <c r="F102" s="100"/>
      <c r="G102" s="100"/>
      <c r="H102" s="100"/>
      <c r="I102" s="100"/>
      <c r="J102" s="100"/>
      <c r="K102" s="100"/>
      <c r="L102" s="100"/>
      <c r="M102" s="100"/>
      <c r="N102" s="84"/>
      <c r="P102" s="79" t="s">
        <v>158</v>
      </c>
      <c r="Q102" s="80"/>
      <c r="R102" s="98"/>
      <c r="S102" s="99"/>
      <c r="T102" s="100"/>
      <c r="U102" s="100"/>
      <c r="V102" s="100"/>
      <c r="W102" s="100"/>
      <c r="X102" s="100"/>
      <c r="Y102" s="100"/>
      <c r="Z102" s="101"/>
      <c r="AA102" s="102"/>
      <c r="AB102" s="98"/>
      <c r="AC102" s="103"/>
    </row>
    <row r="103" customFormat="false" ht="15" hidden="false" customHeight="false" outlineLevel="0" collapsed="false">
      <c r="A103" s="53" t="s">
        <v>159</v>
      </c>
      <c r="B103" s="54" t="str">
        <f aca="false">IF(LEN($A103 )&lt;2,"",VLOOKUP($A103,All_Data,B$112,0))</f>
        <v>EPNG Check MTR #1</v>
      </c>
      <c r="C103" s="26" t="n">
        <f aca="false">IF(LEN($A103 )&lt;2,"",VLOOKUP($A103,All_Data,C$112,0))</f>
        <v>428115.53</v>
      </c>
      <c r="D103" s="14" t="n">
        <f aca="false">IF(LEN($A103 )&lt;2,"",VLOOKUP($A103,All_Data,D$112,0))</f>
        <v>122.326524451793</v>
      </c>
      <c r="E103" s="15" t="n">
        <f aca="false">IF(LEN($A103 )&lt;2,"",VLOOKUP($A103,All_Data,E$112,0))</f>
        <v>4403.84306677252</v>
      </c>
      <c r="F103" s="15" t="n">
        <f aca="false">IF(LEN($A103 )&lt;2,"",VLOOKUP($A103,All_Data,F$112,0))</f>
        <v>409677.845717062</v>
      </c>
      <c r="G103" s="15" t="n">
        <f aca="false">IF(LEN($A103 )&lt;2,"",VLOOKUP($A103,All_Data,G$112,0))</f>
        <v>13537.0347658842</v>
      </c>
      <c r="H103" s="15" t="n">
        <f aca="false">IF(LEN($A103 )&lt;2,"",VLOOKUP($A103,All_Data,H$112,0))</f>
        <v>358.515619554066</v>
      </c>
      <c r="I103" s="15" t="n">
        <f aca="false">IF(LEN($A103 )&lt;2,"",VLOOKUP($A103,All_Data,I$112,0))</f>
        <v>6.44600871405155</v>
      </c>
      <c r="J103" s="15" t="n">
        <f aca="false">IF(LEN($A103 )&lt;2,"",VLOOKUP($A103,All_Data,J$112,0))</f>
        <v>9.11614992673303</v>
      </c>
      <c r="K103" s="15" t="n">
        <f aca="false">IF(LEN($A103 )&lt;2,"",VLOOKUP($A103,All_Data,K$112,0))</f>
        <v>0.202625105741432</v>
      </c>
      <c r="L103" s="15" t="n">
        <f aca="false">IF(LEN($A103 )&lt;2,"",VLOOKUP($A103,All_Data,L$112,0))</f>
        <v>0.187937127345596</v>
      </c>
      <c r="M103" s="15" t="n">
        <f aca="false">IF(LEN($A103 )&lt;2,"",VLOOKUP($A103,All_Data,M$112,0))</f>
        <v>0.0115854016025313</v>
      </c>
      <c r="N103" s="87" t="n">
        <f aca="false">SUM(D103:M103)</f>
        <v>428115.53</v>
      </c>
      <c r="P103" s="53" t="str">
        <f aca="false">IF(LEN($A103)&lt;2,"",A103)</f>
        <v>10.00.1</v>
      </c>
      <c r="Q103" s="54" t="str">
        <f aca="false">IF(LEN($A103 )&lt;2,"",VLOOKUP($A103,All_Data,Q$112,0))</f>
        <v>EPNG Check MTR #1</v>
      </c>
      <c r="R103" s="26" t="n">
        <f aca="false">SUM(S103:Z103)</f>
        <v>438211.513945455</v>
      </c>
      <c r="S103" s="14" t="n">
        <f aca="false">IF(LEN($A103 )&lt;2,"",VLOOKUP($A103,All_Data,S$112,0))</f>
        <v>413326.158060862</v>
      </c>
      <c r="T103" s="15" t="n">
        <f aca="false">IF(LEN($A103 )&lt;2,"",VLOOKUP($A103,All_Data,T$112,0))</f>
        <v>23931.9764751043</v>
      </c>
      <c r="U103" s="15" t="n">
        <f aca="false">IF(LEN($A103 )&lt;2,"",VLOOKUP($A103,All_Data,U$112,0))</f>
        <v>901.109255001673</v>
      </c>
      <c r="V103" s="15" t="n">
        <f aca="false">IF(LEN($A103 )&lt;2,"",VLOOKUP($A103,All_Data,V$112,0))</f>
        <v>20.9397221415989</v>
      </c>
      <c r="W103" s="15" t="n">
        <f aca="false">IF(LEN($A103 )&lt;2,"",VLOOKUP($A103,All_Data,W$112,0))</f>
        <v>29.7086252647066</v>
      </c>
      <c r="X103" s="15" t="n">
        <f aca="false">IF(LEN($A103 )&lt;2,"",VLOOKUP($A103,All_Data,X$112,0))</f>
        <v>0.809839894622736</v>
      </c>
      <c r="Y103" s="15" t="n">
        <f aca="false">IF(LEN($A103 )&lt;2,"",VLOOKUP($A103,All_Data,Y$112,0))</f>
        <v>0.752604836668142</v>
      </c>
      <c r="Z103" s="16" t="n">
        <f aca="false">IF(LEN($A103 )&lt;2,"",VLOOKUP($A103,All_Data,Z$112,0))</f>
        <v>0.0593623490851435</v>
      </c>
      <c r="AA103" s="25" t="n">
        <f aca="false">IF(N103=0,,R103/N103*1000)</f>
        <v>1023.58238194595</v>
      </c>
      <c r="AB103" s="26" t="n">
        <f aca="false">IF(LEN($A103 )&lt;2,,VLOOKUP($A103,All_Data,AB$112,0))</f>
        <v>440602.56</v>
      </c>
      <c r="AC103" s="27" t="n">
        <f aca="false">IF(AB103=0,,R103/AB103)</f>
        <v>0.99457323612794</v>
      </c>
    </row>
    <row r="104" customFormat="false" ht="15" hidden="false" customHeight="false" outlineLevel="0" collapsed="false">
      <c r="A104" s="53" t="s">
        <v>160</v>
      </c>
      <c r="B104" s="54" t="str">
        <f aca="false">IF(LEN($A104 )&lt;2,"",VLOOKUP($A104,All_Data,B$112,0))</f>
        <v>EPNG Check MTR #2</v>
      </c>
      <c r="C104" s="26" t="n">
        <f aca="false">IF(LEN($A104 )&lt;2,"",VLOOKUP($A104,All_Data,C$112,0))</f>
        <v>4239406.28</v>
      </c>
      <c r="D104" s="14" t="n">
        <f aca="false">IF(LEN($A104 )&lt;2,"",VLOOKUP($A104,All_Data,D$112,0))</f>
        <v>1198.63489789474</v>
      </c>
      <c r="E104" s="15" t="n">
        <f aca="false">IF(LEN($A104 )&lt;2,"",VLOOKUP($A104,All_Data,E$112,0))</f>
        <v>43609.2304243154</v>
      </c>
      <c r="F104" s="15" t="n">
        <f aca="false">IF(LEN($A104 )&lt;2,"",VLOOKUP($A104,All_Data,F$112,0))</f>
        <v>4056902.55043941</v>
      </c>
      <c r="G104" s="15" t="n">
        <f aca="false">IF(LEN($A104 )&lt;2,"",VLOOKUP($A104,All_Data,G$112,0))</f>
        <v>133992.900887202</v>
      </c>
      <c r="H104" s="15" t="n">
        <f aca="false">IF(LEN($A104 )&lt;2,"",VLOOKUP($A104,All_Data,H$112,0))</f>
        <v>3545.1116259121</v>
      </c>
      <c r="I104" s="15" t="n">
        <f aca="false">IF(LEN($A104 )&lt;2,"",VLOOKUP($A104,All_Data,I$112,0))</f>
        <v>63.7417791481651</v>
      </c>
      <c r="J104" s="15" t="n">
        <f aca="false">IF(LEN($A104 )&lt;2,"",VLOOKUP($A104,All_Data,J$112,0))</f>
        <v>90.1633310315911</v>
      </c>
      <c r="K104" s="15" t="n">
        <f aca="false">IF(LEN($A104 )&lt;2,"",VLOOKUP($A104,All_Data,K$112,0))</f>
        <v>1.98788219309849</v>
      </c>
      <c r="L104" s="15" t="n">
        <f aca="false">IF(LEN($A104 )&lt;2,"",VLOOKUP($A104,All_Data,L$112,0))</f>
        <v>1.84522708819443</v>
      </c>
      <c r="M104" s="15" t="n">
        <f aca="false">IF(LEN($A104 )&lt;2,"",VLOOKUP($A104,All_Data,M$112,0))</f>
        <v>0.113505806476899</v>
      </c>
      <c r="N104" s="87" t="n">
        <f aca="false">SUM(D104:M104)</f>
        <v>4239406.28</v>
      </c>
      <c r="P104" s="53" t="str">
        <f aca="false">IF(LEN($A104)&lt;2,"",A104)</f>
        <v>10.00.2</v>
      </c>
      <c r="Q104" s="54" t="str">
        <f aca="false">IF(LEN($A104 )&lt;2,"",VLOOKUP($A104,All_Data,Q$112,0))</f>
        <v>EPNG Check MTR #2</v>
      </c>
      <c r="R104" s="26" t="n">
        <f aca="false">SUM(S104:Z104)</f>
        <v>4339342.08085416</v>
      </c>
      <c r="S104" s="14" t="n">
        <f aca="false">IF(LEN($A104 )&lt;2,"",VLOOKUP($A104,All_Data,S$112,0))</f>
        <v>4093030.25232798</v>
      </c>
      <c r="T104" s="15" t="n">
        <f aca="false">IF(LEN($A104 )&lt;2,"",VLOOKUP($A104,All_Data,T$112,0))</f>
        <v>236884.573427211</v>
      </c>
      <c r="U104" s="15" t="n">
        <f aca="false">IF(LEN($A104 )&lt;2,"",VLOOKUP($A104,All_Data,U$112,0))</f>
        <v>8910.44204755512</v>
      </c>
      <c r="V104" s="15" t="n">
        <f aca="false">IF(LEN($A104 )&lt;2,"",VLOOKUP($A104,All_Data,V$112,0))</f>
        <v>207.063797311069</v>
      </c>
      <c r="W104" s="15" t="n">
        <f aca="false">IF(LEN($A104 )&lt;2,"",VLOOKUP($A104,All_Data,W$112,0))</f>
        <v>293.833299186314</v>
      </c>
      <c r="X104" s="15" t="n">
        <f aca="false">IF(LEN($A104 )&lt;2,"",VLOOKUP($A104,All_Data,X$112,0))</f>
        <v>7.94504795668175</v>
      </c>
      <c r="Y104" s="15" t="n">
        <f aca="false">IF(LEN($A104 )&lt;2,"",VLOOKUP($A104,All_Data,Y$112,0))</f>
        <v>7.38931548256902</v>
      </c>
      <c r="Z104" s="16" t="n">
        <f aca="false">IF(LEN($A104 )&lt;2,"",VLOOKUP($A104,All_Data,Z$112,0))</f>
        <v>0.581591473631812</v>
      </c>
      <c r="AA104" s="25" t="n">
        <f aca="false">IF(N104=0,,R104/N104*1000)</f>
        <v>1023.57306524869</v>
      </c>
      <c r="AB104" s="26" t="n">
        <f aca="false">IF(LEN($A104 )&lt;2,,VLOOKUP($A104,All_Data,AB$112,0))</f>
        <v>4363011.77</v>
      </c>
      <c r="AC104" s="27" t="n">
        <f aca="false">IF(AB104=0,,R104/AB104)</f>
        <v>0.994574919712894</v>
      </c>
    </row>
    <row r="105" customFormat="false" ht="15" hidden="false" customHeight="false" outlineLevel="0" collapsed="false">
      <c r="A105" s="53" t="s">
        <v>161</v>
      </c>
      <c r="B105" s="54" t="str">
        <f aca="false">IF(LEN($A105 )&lt;2,"",VLOOKUP($A105,All_Data,B$112,0))</f>
        <v>ONEOK Check MTR #1</v>
      </c>
      <c r="C105" s="26" t="n">
        <f aca="false">IF(LEN($A105 )&lt;2,"",VLOOKUP($A105,All_Data,C$112,0))</f>
        <v>1887090.82</v>
      </c>
      <c r="D105" s="14" t="n">
        <f aca="false">IF(LEN($A105 )&lt;2,"",VLOOKUP($A105,All_Data,D$112,0))</f>
        <v>618.011309041949</v>
      </c>
      <c r="E105" s="15" t="n">
        <f aca="false">IF(LEN($A105 )&lt;2,"",VLOOKUP($A105,All_Data,E$112,0))</f>
        <v>18937.0602880649</v>
      </c>
      <c r="F105" s="15" t="n">
        <f aca="false">IF(LEN($A105 )&lt;2,"",VLOOKUP($A105,All_Data,F$112,0))</f>
        <v>1801853.4125819</v>
      </c>
      <c r="G105" s="15" t="n">
        <f aca="false">IF(LEN($A105 )&lt;2,"",VLOOKUP($A105,All_Data,G$112,0))</f>
        <v>64018.6138711528</v>
      </c>
      <c r="H105" s="15" t="n">
        <f aca="false">IF(LEN($A105 )&lt;2,"",VLOOKUP($A105,All_Data,H$112,0))</f>
        <v>1614.44083849639</v>
      </c>
      <c r="I105" s="15" t="n">
        <f aca="false">IF(LEN($A105 )&lt;2,"",VLOOKUP($A105,All_Data,I$112,0))</f>
        <v>27.3541714885906</v>
      </c>
      <c r="J105" s="15" t="n">
        <f aca="false">IF(LEN($A105 )&lt;2,"",VLOOKUP($A105,All_Data,J$112,0))</f>
        <v>21.8904990413979</v>
      </c>
      <c r="K105" s="15" t="n">
        <f aca="false">IF(LEN($A105 )&lt;2,"",VLOOKUP($A105,All_Data,K$112,0))</f>
        <v>0.0133855214149193</v>
      </c>
      <c r="L105" s="15" t="n">
        <f aca="false">IF(LEN($A105 )&lt;2,"",VLOOKUP($A105,All_Data,L$112,0))</f>
        <v>0.0230552943956925</v>
      </c>
      <c r="M105" s="15" t="n">
        <f aca="false">IF(LEN($A105 )&lt;2,"",VLOOKUP($A105,All_Data,M$112,0))</f>
        <v>0</v>
      </c>
      <c r="N105" s="87" t="n">
        <f aca="false">SUM(D105:M105)</f>
        <v>1887090.82</v>
      </c>
      <c r="P105" s="53" t="str">
        <f aca="false">IF(LEN($A105)&lt;2,"",A105)</f>
        <v>10.00.3</v>
      </c>
      <c r="Q105" s="54" t="str">
        <f aca="false">IF(LEN($A105 )&lt;2,"",VLOOKUP($A105,All_Data,Q$112,0))</f>
        <v>ONEOK Check MTR #1</v>
      </c>
      <c r="R105" s="26" t="n">
        <f aca="false">SUM(S105:Z105)</f>
        <v>1935316.00631137</v>
      </c>
      <c r="S105" s="14" t="n">
        <f aca="false">IF(LEN($A105 )&lt;2,"",VLOOKUP($A105,All_Data,S$112,0))</f>
        <v>1817918.79655688</v>
      </c>
      <c r="T105" s="15" t="n">
        <f aca="false">IF(LEN($A105 )&lt;2,"",VLOOKUP($A105,All_Data,T$112,0))</f>
        <v>113179.012650083</v>
      </c>
      <c r="U105" s="15" t="n">
        <f aca="false">IF(LEN($A105 )&lt;2,"",VLOOKUP($A105,All_Data,U$112,0))</f>
        <v>4057.85117559561</v>
      </c>
      <c r="V105" s="15" t="n">
        <f aca="false">IF(LEN($A105 )&lt;2,"",VLOOKUP($A105,All_Data,V$112,0))</f>
        <v>88.8603875223633</v>
      </c>
      <c r="W105" s="15" t="n">
        <f aca="false">IF(LEN($A105 )&lt;2,"",VLOOKUP($A105,All_Data,W$112,0))</f>
        <v>71.339715058815</v>
      </c>
      <c r="X105" s="15" t="n">
        <f aca="false">IF(LEN($A105 )&lt;2,"",VLOOKUP($A105,All_Data,X$112,0))</f>
        <v>0.0534990188597484</v>
      </c>
      <c r="Y105" s="15" t="n">
        <f aca="false">IF(LEN($A105 )&lt;2,"",VLOOKUP($A105,All_Data,Y$112,0))</f>
        <v>0.0923272083489917</v>
      </c>
      <c r="Z105" s="16" t="n">
        <f aca="false">IF(LEN($A105 )&lt;2,"",VLOOKUP($A105,All_Data,Z$112,0))</f>
        <v>0</v>
      </c>
      <c r="AA105" s="25" t="n">
        <f aca="false">IF(N105=0,,R105/N105*1000)</f>
        <v>1025.55530756668</v>
      </c>
      <c r="AB105" s="26" t="n">
        <f aca="false">IF(LEN($A105 )&lt;2,,VLOOKUP($A105,All_Data,AB$112,0))</f>
        <v>1945942.1</v>
      </c>
      <c r="AC105" s="27" t="n">
        <f aca="false">IF(AB105=0,,R105/AB105)</f>
        <v>0.994539357728766</v>
      </c>
    </row>
    <row r="106" customFormat="false" ht="15" hidden="false" customHeight="false" outlineLevel="0" collapsed="false">
      <c r="A106" s="53" t="s">
        <v>162</v>
      </c>
      <c r="B106" s="54" t="str">
        <f aca="false">IF(LEN($A106 )&lt;2,"",VLOOKUP($A106,All_Data,B$112,0))</f>
        <v>ONEOK Check MTR #2</v>
      </c>
      <c r="C106" s="26" t="n">
        <f aca="false">IF(LEN($A106 )&lt;2,"",VLOOKUP($A106,All_Data,C$112,0))</f>
        <v>669315.42</v>
      </c>
      <c r="D106" s="14" t="n">
        <f aca="false">IF(LEN($A106 )&lt;2,"",VLOOKUP($A106,All_Data,D$112,0))</f>
        <v>676.30518279757</v>
      </c>
      <c r="E106" s="15" t="n">
        <f aca="false">IF(LEN($A106 )&lt;2,"",VLOOKUP($A106,All_Data,E$112,0))</f>
        <v>6689.728457694</v>
      </c>
      <c r="F106" s="15" t="n">
        <f aca="false">IF(LEN($A106 )&lt;2,"",VLOOKUP($A106,All_Data,F$112,0))</f>
        <v>631179.062779155</v>
      </c>
      <c r="G106" s="15" t="n">
        <f aca="false">IF(LEN($A106 )&lt;2,"",VLOOKUP($A106,All_Data,G$112,0))</f>
        <v>29778.6265508273</v>
      </c>
      <c r="H106" s="15" t="n">
        <f aca="false">IF(LEN($A106 )&lt;2,"",VLOOKUP($A106,All_Data,H$112,0))</f>
        <v>960.695095174483</v>
      </c>
      <c r="I106" s="15" t="n">
        <f aca="false">IF(LEN($A106 )&lt;2,"",VLOOKUP($A106,All_Data,I$112,0))</f>
        <v>16.5577901707756</v>
      </c>
      <c r="J106" s="15" t="n">
        <f aca="false">IF(LEN($A106 )&lt;2,"",VLOOKUP($A106,All_Data,J$112,0))</f>
        <v>14.4061808092714</v>
      </c>
      <c r="K106" s="15" t="n">
        <f aca="false">IF(LEN($A106 )&lt;2,"",VLOOKUP($A106,All_Data,K$112,0))</f>
        <v>0.0379633718140451</v>
      </c>
      <c r="L106" s="15" t="n">
        <f aca="false">IF(LEN($A106 )&lt;2,"",VLOOKUP($A106,All_Data,L$112,0))</f>
        <v>0</v>
      </c>
      <c r="M106" s="15" t="n">
        <f aca="false">IF(LEN($A106 )&lt;2,"",VLOOKUP($A106,All_Data,M$112,0))</f>
        <v>0</v>
      </c>
      <c r="N106" s="87" t="n">
        <f aca="false">SUM(D106:M106)</f>
        <v>669315.42</v>
      </c>
      <c r="P106" s="53" t="str">
        <f aca="false">IF(LEN($A106)&lt;2,"",A106)</f>
        <v>10.00.4</v>
      </c>
      <c r="Q106" s="54" t="str">
        <f aca="false">IF(LEN($A106 )&lt;2,"",VLOOKUP($A106,All_Data,Q$112,0))</f>
        <v>ONEOK Check MTR #2</v>
      </c>
      <c r="R106" s="26" t="n">
        <f aca="false">SUM(S106:Z106)</f>
        <v>692004.482818625</v>
      </c>
      <c r="S106" s="14" t="n">
        <f aca="false">IF(LEN($A106 )&lt;2,"",VLOOKUP($A106,All_Data,S$112,0))</f>
        <v>636840.146131974</v>
      </c>
      <c r="T106" s="15" t="n">
        <f aca="false">IF(LEN($A106 )&lt;2,"",VLOOKUP($A106,All_Data,T$112,0))</f>
        <v>52648.6359055005</v>
      </c>
      <c r="U106" s="15" t="n">
        <f aca="false">IF(LEN($A106 )&lt;2,"",VLOOKUP($A106,All_Data,U$112,0))</f>
        <v>2414.80673911515</v>
      </c>
      <c r="V106" s="15" t="n">
        <f aca="false">IF(LEN($A106 )&lt;2,"",VLOOKUP($A106,All_Data,V$112,0))</f>
        <v>53.791027230289</v>
      </c>
      <c r="W106" s="15" t="n">
        <f aca="false">IF(LEN($A106 )&lt;2,"",VLOOKUP($A106,All_Data,W$112,0))</f>
        <v>46.9512754872073</v>
      </c>
      <c r="X106" s="15" t="n">
        <f aca="false">IF(LEN($A106 )&lt;2,"",VLOOKUP($A106,All_Data,X$112,0))</f>
        <v>0.151739318179387</v>
      </c>
      <c r="Y106" s="15" t="n">
        <f aca="false">IF(LEN($A106 )&lt;2,"",VLOOKUP($A106,All_Data,Y$112,0))</f>
        <v>0</v>
      </c>
      <c r="Z106" s="16" t="n">
        <f aca="false">IF(LEN($A106 )&lt;2,"",VLOOKUP($A106,All_Data,Z$112,0))</f>
        <v>0</v>
      </c>
      <c r="AA106" s="25" t="n">
        <f aca="false">IF(N106=0,,R106/N106*1000)</f>
        <v>1033.89890945382</v>
      </c>
      <c r="AB106" s="26" t="n">
        <f aca="false">IF(LEN($A106 )&lt;2,,VLOOKUP($A106,All_Data,AB$112,0))</f>
        <v>695762.62</v>
      </c>
      <c r="AC106" s="27" t="n">
        <f aca="false">IF(AB106=0,,R106/AB106)</f>
        <v>0.994598535372058</v>
      </c>
    </row>
    <row r="107" customFormat="false" ht="15" hidden="false" customHeight="false" outlineLevel="0" collapsed="false">
      <c r="A107" s="53" t="s">
        <v>163</v>
      </c>
      <c r="B107" s="54" t="str">
        <f aca="false">IF(LEN($A107 )&lt;2,"",VLOOKUP($A107,All_Data,B$112,0))</f>
        <v>EPNG BuyBack Fuel</v>
      </c>
      <c r="C107" s="26" t="n">
        <f aca="false">IF(LEN($A107 )&lt;2,"",VLOOKUP($A107,All_Data,C$112,0))</f>
        <v>0</v>
      </c>
      <c r="D107" s="14" t="n">
        <f aca="false">IF(LEN($A107 )&lt;2,"",VLOOKUP($A107,All_Data,D$112,0))</f>
        <v>0</v>
      </c>
      <c r="E107" s="15" t="n">
        <f aca="false">IF(LEN($A107 )&lt;2,"",VLOOKUP($A107,All_Data,E$112,0))</f>
        <v>0</v>
      </c>
      <c r="F107" s="15" t="n">
        <f aca="false">IF(LEN($A107 )&lt;2,"",VLOOKUP($A107,All_Data,F$112,0))</f>
        <v>0</v>
      </c>
      <c r="G107" s="15" t="n">
        <f aca="false">IF(LEN($A107 )&lt;2,"",VLOOKUP($A107,All_Data,G$112,0))</f>
        <v>0</v>
      </c>
      <c r="H107" s="15" t="n">
        <f aca="false">IF(LEN($A107 )&lt;2,"",VLOOKUP($A107,All_Data,H$112,0))</f>
        <v>0</v>
      </c>
      <c r="I107" s="15" t="n">
        <f aca="false">IF(LEN($A107 )&lt;2,"",VLOOKUP($A107,All_Data,I$112,0))</f>
        <v>0</v>
      </c>
      <c r="J107" s="15" t="n">
        <f aca="false">IF(LEN($A107 )&lt;2,"",VLOOKUP($A107,All_Data,J$112,0))</f>
        <v>0</v>
      </c>
      <c r="K107" s="15" t="n">
        <f aca="false">IF(LEN($A107 )&lt;2,"",VLOOKUP($A107,All_Data,K$112,0))</f>
        <v>0</v>
      </c>
      <c r="L107" s="15" t="n">
        <f aca="false">IF(LEN($A107 )&lt;2,"",VLOOKUP($A107,All_Data,L$112,0))</f>
        <v>0</v>
      </c>
      <c r="M107" s="15" t="n">
        <f aca="false">IF(LEN($A107 )&lt;2,"",VLOOKUP($A107,All_Data,M$112,0))</f>
        <v>0</v>
      </c>
      <c r="N107" s="87" t="n">
        <f aca="false">SUM(D107:M107)</f>
        <v>0</v>
      </c>
      <c r="P107" s="53" t="str">
        <f aca="false">IF(LEN($A107)&lt;2,"",A107)</f>
        <v>5.00.1</v>
      </c>
      <c r="Q107" s="54" t="str">
        <f aca="false">IF(LEN($A107 )&lt;2,"",VLOOKUP($A107,All_Data,Q$112,0))</f>
        <v>EPNG BuyBack Fuel</v>
      </c>
      <c r="R107" s="26" t="n">
        <f aca="false">SUM(S107:Z107)</f>
        <v>0</v>
      </c>
      <c r="S107" s="14" t="n">
        <f aca="false">IF(LEN($A107 )&lt;2,"",VLOOKUP($A107,All_Data,S$112,0))</f>
        <v>0</v>
      </c>
      <c r="T107" s="15" t="n">
        <f aca="false">IF(LEN($A107 )&lt;2,"",VLOOKUP($A107,All_Data,T$112,0))</f>
        <v>0</v>
      </c>
      <c r="U107" s="15" t="n">
        <f aca="false">IF(LEN($A107 )&lt;2,"",VLOOKUP($A107,All_Data,U$112,0))</f>
        <v>0</v>
      </c>
      <c r="V107" s="15" t="n">
        <f aca="false">IF(LEN($A107 )&lt;2,"",VLOOKUP($A107,All_Data,V$112,0))</f>
        <v>0</v>
      </c>
      <c r="W107" s="15" t="n">
        <f aca="false">IF(LEN($A107 )&lt;2,"",VLOOKUP($A107,All_Data,W$112,0))</f>
        <v>0</v>
      </c>
      <c r="X107" s="15" t="n">
        <f aca="false">IF(LEN($A107 )&lt;2,"",VLOOKUP($A107,All_Data,X$112,0))</f>
        <v>0</v>
      </c>
      <c r="Y107" s="15" t="n">
        <f aca="false">IF(LEN($A107 )&lt;2,"",VLOOKUP($A107,All_Data,Y$112,0))</f>
        <v>0</v>
      </c>
      <c r="Z107" s="16" t="n">
        <f aca="false">IF(LEN($A107 )&lt;2,"",VLOOKUP($A107,All_Data,Z$112,0))</f>
        <v>0</v>
      </c>
      <c r="AA107" s="25" t="n">
        <f aca="false">IF(N107=0,,R107/N107*1000)</f>
        <v>0</v>
      </c>
      <c r="AB107" s="26" t="n">
        <f aca="false">IF(LEN($A107 )&lt;2,,VLOOKUP($A107,All_Data,AB$112,0))</f>
        <v>0</v>
      </c>
      <c r="AC107" s="27" t="n">
        <f aca="false">IF(AB107=0,,R107/AB107)</f>
        <v>0</v>
      </c>
    </row>
    <row r="108" customFormat="false" ht="15" hidden="false" customHeight="false" outlineLevel="0" collapsed="false">
      <c r="A108" s="53" t="s">
        <v>164</v>
      </c>
      <c r="B108" s="54" t="str">
        <f aca="false">IF(LEN($A108 )&lt;2,"",VLOOKUP($A108,All_Data,B$112,0))</f>
        <v>Enlink</v>
      </c>
      <c r="C108" s="26" t="n">
        <f aca="false">IF(LEN($A108 )&lt;2,"",VLOOKUP($A108,All_Data,C$112,0))</f>
        <v>0</v>
      </c>
      <c r="D108" s="14" t="n">
        <f aca="false">IF(LEN($A108 )&lt;2,"",VLOOKUP($A108,All_Data,D$112,0))</f>
        <v>0</v>
      </c>
      <c r="E108" s="15" t="n">
        <f aca="false">IF(LEN($A108 )&lt;2,"",VLOOKUP($A108,All_Data,E$112,0))</f>
        <v>0</v>
      </c>
      <c r="F108" s="15" t="n">
        <f aca="false">IF(LEN($A108 )&lt;2,"",VLOOKUP($A108,All_Data,F$112,0))</f>
        <v>0</v>
      </c>
      <c r="G108" s="15" t="n">
        <f aca="false">IF(LEN($A108 )&lt;2,"",VLOOKUP($A108,All_Data,G$112,0))</f>
        <v>0</v>
      </c>
      <c r="H108" s="15" t="n">
        <f aca="false">IF(LEN($A108 )&lt;2,"",VLOOKUP($A108,All_Data,H$112,0))</f>
        <v>0</v>
      </c>
      <c r="I108" s="15" t="n">
        <f aca="false">IF(LEN($A108 )&lt;2,"",VLOOKUP($A108,All_Data,I$112,0))</f>
        <v>0</v>
      </c>
      <c r="J108" s="15" t="n">
        <f aca="false">IF(LEN($A108 )&lt;2,"",VLOOKUP($A108,All_Data,J$112,0))</f>
        <v>0</v>
      </c>
      <c r="K108" s="15" t="n">
        <f aca="false">IF(LEN($A108 )&lt;2,"",VLOOKUP($A108,All_Data,K$112,0))</f>
        <v>0</v>
      </c>
      <c r="L108" s="15" t="n">
        <f aca="false">IF(LEN($A108 )&lt;2,"",VLOOKUP($A108,All_Data,L$112,0))</f>
        <v>0</v>
      </c>
      <c r="M108" s="15" t="n">
        <f aca="false">IF(LEN($A108 )&lt;2,"",VLOOKUP($A108,All_Data,M$112,0))</f>
        <v>0</v>
      </c>
      <c r="N108" s="87" t="n">
        <f aca="false">SUM(D108:M108)</f>
        <v>0</v>
      </c>
      <c r="P108" s="119" t="str">
        <f aca="false">IF(LEN($A108)&lt;2,"",A108)</f>
        <v>enlk</v>
      </c>
      <c r="Q108" s="54" t="str">
        <f aca="false">IF(LEN($A108 )&lt;2,"",VLOOKUP($A108,All_Data,Q$112,0))</f>
        <v>Enlink</v>
      </c>
      <c r="R108" s="26" t="n">
        <f aca="false">SUM(S108:Z108)</f>
        <v>0</v>
      </c>
      <c r="S108" s="14" t="n">
        <f aca="false">IF(LEN($A108 )&lt;2,"",VLOOKUP($A108,All_Data,S$112,0))</f>
        <v>0</v>
      </c>
      <c r="T108" s="15" t="n">
        <f aca="false">IF(LEN($A108 )&lt;2,"",VLOOKUP($A108,All_Data,T$112,0))</f>
        <v>0</v>
      </c>
      <c r="U108" s="15" t="n">
        <f aca="false">IF(LEN($A108 )&lt;2,"",VLOOKUP($A108,All_Data,U$112,0))</f>
        <v>0</v>
      </c>
      <c r="V108" s="15" t="n">
        <f aca="false">IF(LEN($A108 )&lt;2,"",VLOOKUP($A108,All_Data,V$112,0))</f>
        <v>0</v>
      </c>
      <c r="W108" s="15" t="n">
        <f aca="false">IF(LEN($A108 )&lt;2,"",VLOOKUP($A108,All_Data,W$112,0))</f>
        <v>0</v>
      </c>
      <c r="X108" s="15" t="n">
        <f aca="false">IF(LEN($A108 )&lt;2,"",VLOOKUP($A108,All_Data,X$112,0))</f>
        <v>0</v>
      </c>
      <c r="Y108" s="15" t="n">
        <f aca="false">IF(LEN($A108 )&lt;2,"",VLOOKUP($A108,All_Data,Y$112,0))</f>
        <v>0</v>
      </c>
      <c r="Z108" s="16" t="n">
        <f aca="false">IF(LEN($A108 )&lt;2,"",VLOOKUP($A108,All_Data,Z$112,0))</f>
        <v>0</v>
      </c>
      <c r="AA108" s="25" t="n">
        <f aca="false">IF(N108=0,,R108/N108*1000)</f>
        <v>0</v>
      </c>
      <c r="AB108" s="26" t="n">
        <f aca="false">IF(LEN($A108 )&lt;2,,VLOOKUP($A108,All_Data,AB$112,0))</f>
        <v>0</v>
      </c>
      <c r="AC108" s="27" t="n">
        <f aca="false">IF(AB108=0,,R108/AB108)</f>
        <v>0</v>
      </c>
    </row>
    <row r="109" customFormat="false" ht="15" hidden="false" customHeight="false" outlineLevel="0" collapsed="false">
      <c r="A109" s="119"/>
      <c r="B109" s="0" t="str">
        <f aca="false">IF(LEN($A109 )&lt;2,"",VLOOKUP($A109,All_Data,B$112,0))</f>
        <v/>
      </c>
      <c r="C109" s="120" t="str">
        <f aca="false">IF(LEN($A109 )&lt;2,"",VLOOKUP($A109,All_Data,C$112,0))</f>
        <v/>
      </c>
      <c r="D109" s="121" t="str">
        <f aca="false">IF(LEN($A109 )&lt;2,"",VLOOKUP($A109,All_Data,D$112,0))</f>
        <v/>
      </c>
      <c r="E109" s="122" t="str">
        <f aca="false">IF(LEN($A109 )&lt;2,"",VLOOKUP($A109,All_Data,E$112,0))</f>
        <v/>
      </c>
      <c r="F109" s="122" t="str">
        <f aca="false">IF(LEN($A109 )&lt;2,"",VLOOKUP($A109,All_Data,F$112,0))</f>
        <v/>
      </c>
      <c r="G109" s="122" t="str">
        <f aca="false">IF(LEN($A109 )&lt;2,"",VLOOKUP($A109,All_Data,G$112,0))</f>
        <v/>
      </c>
      <c r="H109" s="122" t="str">
        <f aca="false">IF(LEN($A109 )&lt;2,"",VLOOKUP($A109,All_Data,H$112,0))</f>
        <v/>
      </c>
      <c r="I109" s="122" t="str">
        <f aca="false">IF(LEN($A109 )&lt;2,"",VLOOKUP($A109,All_Data,I$112,0))</f>
        <v/>
      </c>
      <c r="J109" s="122" t="str">
        <f aca="false">IF(LEN($A109 )&lt;2,"",VLOOKUP($A109,All_Data,J$112,0))</f>
        <v/>
      </c>
      <c r="K109" s="122" t="str">
        <f aca="false">IF(LEN($A109 )&lt;2,"",VLOOKUP($A109,All_Data,K$112,0))</f>
        <v/>
      </c>
      <c r="L109" s="122" t="str">
        <f aca="false">IF(LEN($A109 )&lt;2,"",VLOOKUP($A109,All_Data,L$112,0))</f>
        <v/>
      </c>
      <c r="M109" s="122" t="str">
        <f aca="false">IF(LEN($A109 )&lt;2,"",VLOOKUP($A109,All_Data,M$112,0))</f>
        <v/>
      </c>
      <c r="N109" s="123" t="n">
        <f aca="false">SUM(D109:M109)</f>
        <v>0</v>
      </c>
      <c r="P109" s="119" t="str">
        <f aca="false">IF(LEN($A109)&lt;2,"",A109)</f>
        <v/>
      </c>
      <c r="Q109" s="58" t="str">
        <f aca="false">IF(LEN($A109 )&lt;2,"",VLOOKUP($A109,All_Data,Q$112,0))</f>
        <v/>
      </c>
      <c r="R109" s="120" t="n">
        <f aca="false">SUM(S109:Z109)</f>
        <v>0</v>
      </c>
      <c r="S109" s="121" t="str">
        <f aca="false">IF(LEN($A109 )&lt;2,"",VLOOKUP($A109,All_Data,S$112,0))</f>
        <v/>
      </c>
      <c r="T109" s="122" t="str">
        <f aca="false">IF(LEN($A109 )&lt;2,"",VLOOKUP($A109,All_Data,T$112,0))</f>
        <v/>
      </c>
      <c r="U109" s="122" t="str">
        <f aca="false">IF(LEN($A109 )&lt;2,"",VLOOKUP($A109,All_Data,U$112,0))</f>
        <v/>
      </c>
      <c r="V109" s="122" t="str">
        <f aca="false">IF(LEN($A109 )&lt;2,"",VLOOKUP($A109,All_Data,V$112,0))</f>
        <v/>
      </c>
      <c r="W109" s="122" t="str">
        <f aca="false">IF(LEN($A109 )&lt;2,"",VLOOKUP($A109,All_Data,W$112,0))</f>
        <v/>
      </c>
      <c r="X109" s="122" t="str">
        <f aca="false">IF(LEN($A109 )&lt;2,"",VLOOKUP($A109,All_Data,X$112,0))</f>
        <v/>
      </c>
      <c r="Y109" s="122" t="str">
        <f aca="false">IF(LEN($A109 )&lt;2,"",VLOOKUP($A109,All_Data,Y$112,0))</f>
        <v/>
      </c>
      <c r="Z109" s="124" t="str">
        <f aca="false">IF(LEN($A109 )&lt;2,"",VLOOKUP($A109,All_Data,Z$112,0))</f>
        <v/>
      </c>
      <c r="AA109" s="125" t="n">
        <f aca="false">IF(N109=0,,R109/N109*1000)</f>
        <v>0</v>
      </c>
      <c r="AB109" s="120" t="n">
        <f aca="false">IF(LEN($A109 )&lt;2,,VLOOKUP($A109,All_Data,AB$112,0))</f>
        <v>0</v>
      </c>
      <c r="AC109" s="126" t="n">
        <f aca="false">IF(AB109=0,,R109/AB109)</f>
        <v>0</v>
      </c>
    </row>
    <row r="110" customFormat="false" ht="15" hidden="false" customHeight="false" outlineLevel="0" collapsed="false">
      <c r="A110" s="119"/>
      <c r="B110" s="58" t="str">
        <f aca="false">IF(LEN($A110 )&lt;2,"",VLOOKUP($A110,All_Data,B$112,0))</f>
        <v/>
      </c>
      <c r="C110" s="120" t="str">
        <f aca="false">IF(LEN($A110 )&lt;2,"",VLOOKUP($A110,All_Data,C$112,0))</f>
        <v/>
      </c>
      <c r="D110" s="121" t="str">
        <f aca="false">IF(LEN($A110 )&lt;2,"",VLOOKUP($A110,All_Data,D$112,0))</f>
        <v/>
      </c>
      <c r="E110" s="122" t="str">
        <f aca="false">IF(LEN($A110 )&lt;2,"",VLOOKUP($A110,All_Data,E$112,0))</f>
        <v/>
      </c>
      <c r="F110" s="122" t="str">
        <f aca="false">IF(LEN($A110 )&lt;2,"",VLOOKUP($A110,All_Data,F$112,0))</f>
        <v/>
      </c>
      <c r="G110" s="122" t="str">
        <f aca="false">IF(LEN($A110 )&lt;2,"",VLOOKUP($A110,All_Data,G$112,0))</f>
        <v/>
      </c>
      <c r="H110" s="122" t="str">
        <f aca="false">IF(LEN($A110 )&lt;2,"",VLOOKUP($A110,All_Data,H$112,0))</f>
        <v/>
      </c>
      <c r="I110" s="122" t="str">
        <f aca="false">IF(LEN($A110 )&lt;2,"",VLOOKUP($A110,All_Data,I$112,0))</f>
        <v/>
      </c>
      <c r="J110" s="122" t="str">
        <f aca="false">IF(LEN($A110 )&lt;2,"",VLOOKUP($A110,All_Data,J$112,0))</f>
        <v/>
      </c>
      <c r="K110" s="122" t="str">
        <f aca="false">IF(LEN($A110 )&lt;2,"",VLOOKUP($A110,All_Data,K$112,0))</f>
        <v/>
      </c>
      <c r="L110" s="122" t="str">
        <f aca="false">IF(LEN($A110 )&lt;2,"",VLOOKUP($A110,All_Data,L$112,0))</f>
        <v/>
      </c>
      <c r="M110" s="122" t="str">
        <f aca="false">IF(LEN($A110 )&lt;2,"",VLOOKUP($A110,All_Data,M$112,0))</f>
        <v/>
      </c>
      <c r="N110" s="123" t="n">
        <f aca="false">SUM(D110:M110)</f>
        <v>0</v>
      </c>
      <c r="P110" s="119" t="str">
        <f aca="false">IF(LEN($A110)&lt;2,"",A110)</f>
        <v/>
      </c>
      <c r="Q110" s="58" t="str">
        <f aca="false">IF(LEN($A110 )&lt;2,"",VLOOKUP($A110,All_Data,Q$112,0))</f>
        <v/>
      </c>
      <c r="R110" s="120" t="n">
        <f aca="false">SUM(S110:Z110)</f>
        <v>0</v>
      </c>
      <c r="S110" s="121" t="str">
        <f aca="false">IF(LEN($A110 )&lt;2,"",VLOOKUP($A110,All_Data,S$112,0))</f>
        <v/>
      </c>
      <c r="T110" s="122" t="str">
        <f aca="false">IF(LEN($A110 )&lt;2,"",VLOOKUP($A110,All_Data,T$112,0))</f>
        <v/>
      </c>
      <c r="U110" s="122" t="str">
        <f aca="false">IF(LEN($A110 )&lt;2,"",VLOOKUP($A110,All_Data,U$112,0))</f>
        <v/>
      </c>
      <c r="V110" s="122" t="str">
        <f aca="false">IF(LEN($A110 )&lt;2,"",VLOOKUP($A110,All_Data,V$112,0))</f>
        <v/>
      </c>
      <c r="W110" s="122" t="str">
        <f aca="false">IF(LEN($A110 )&lt;2,"",VLOOKUP($A110,All_Data,W$112,0))</f>
        <v/>
      </c>
      <c r="X110" s="122" t="str">
        <f aca="false">IF(LEN($A110 )&lt;2,"",VLOOKUP($A110,All_Data,X$112,0))</f>
        <v/>
      </c>
      <c r="Y110" s="122" t="str">
        <f aca="false">IF(LEN($A110 )&lt;2,"",VLOOKUP($A110,All_Data,Y$112,0))</f>
        <v/>
      </c>
      <c r="Z110" s="124" t="str">
        <f aca="false">IF(LEN($A110 )&lt;2,"",VLOOKUP($A110,All_Data,Z$112,0))</f>
        <v/>
      </c>
      <c r="AA110" s="125" t="n">
        <f aca="false">IF(N110=0,,R110/N110*1000)</f>
        <v>0</v>
      </c>
      <c r="AB110" s="120" t="n">
        <f aca="false">IF(LEN($A110 )&lt;2,,VLOOKUP($A110,All_Data,AB$112,0))</f>
        <v>0</v>
      </c>
      <c r="AC110" s="126" t="n">
        <f aca="false">IF(AB110=0,,R110/AB110)</f>
        <v>0</v>
      </c>
    </row>
    <row r="111" customFormat="false" ht="15.75" hidden="false" customHeight="false" outlineLevel="0" collapsed="false">
      <c r="A111" s="127"/>
      <c r="B111" s="128"/>
      <c r="C111" s="129" t="n">
        <f aca="false">SUM(C103:C106)-C107+C108</f>
        <v>7223928.05</v>
      </c>
      <c r="D111" s="130" t="n">
        <f aca="false">SUM(D103:D106)-D107+D108</f>
        <v>2615.27791418605</v>
      </c>
      <c r="E111" s="131" t="n">
        <f aca="false">SUM(E103:E106)-E107+E108</f>
        <v>73639.8622368468</v>
      </c>
      <c r="F111" s="131" t="n">
        <f aca="false">SUM(F103:F106)-F107+F108</f>
        <v>6899612.87151752</v>
      </c>
      <c r="G111" s="131" t="n">
        <f aca="false">SUM(G103:G106)-G107+G108</f>
        <v>241327.176075066</v>
      </c>
      <c r="H111" s="131" t="n">
        <f aca="false">SUM(H103:H106)-H107+H108</f>
        <v>6478.76317913704</v>
      </c>
      <c r="I111" s="131" t="n">
        <f aca="false">SUM(I103:I106)-I107+I108</f>
        <v>114.099749521583</v>
      </c>
      <c r="J111" s="131" t="n">
        <f aca="false">SUM(J103:J106)-J107+J108</f>
        <v>135.576160808993</v>
      </c>
      <c r="K111" s="131" t="n">
        <f aca="false">SUM(K103:K106)-K107+K108</f>
        <v>2.24185619206888</v>
      </c>
      <c r="L111" s="131" t="n">
        <f aca="false">SUM(L103:L106)-L107+L108</f>
        <v>2.05621950993572</v>
      </c>
      <c r="M111" s="131" t="n">
        <f aca="false">SUM(M103:M106)-M107+M108</f>
        <v>0.12509120807943</v>
      </c>
      <c r="N111" s="132" t="n">
        <f aca="false">SUM(D111:M111)</f>
        <v>7223928.05</v>
      </c>
      <c r="P111" s="127"/>
      <c r="Q111" s="128"/>
      <c r="R111" s="129" t="n">
        <f aca="false">SUM(R103:R106)-R107+R108</f>
        <v>7404874.08392961</v>
      </c>
      <c r="S111" s="130" t="n">
        <f aca="false">SUM(S103:S106)-S107+S108</f>
        <v>6961115.3530777</v>
      </c>
      <c r="T111" s="131" t="n">
        <f aca="false">SUM(T103:T106)-T107+T108</f>
        <v>426644.198457899</v>
      </c>
      <c r="U111" s="131" t="n">
        <f aca="false">SUM(U103:U106)-U107+U108</f>
        <v>16284.2092172676</v>
      </c>
      <c r="V111" s="131" t="n">
        <f aca="false">SUM(V103:V106)-V107+V108</f>
        <v>370.65493420532</v>
      </c>
      <c r="W111" s="131" t="n">
        <f aca="false">SUM(W103:W106)-W107+W108</f>
        <v>441.832914997042</v>
      </c>
      <c r="X111" s="131" t="n">
        <f aca="false">SUM(X103:X106)-X107+X108</f>
        <v>8.96012618834362</v>
      </c>
      <c r="Y111" s="131" t="n">
        <f aca="false">SUM(Y103:Y106)-Y107+Y108</f>
        <v>8.23424752758615</v>
      </c>
      <c r="Z111" s="133" t="n">
        <f aca="false">SUM(Z103:Z106)-Z107+Z108</f>
        <v>0.640953822716956</v>
      </c>
      <c r="AA111" s="134" t="n">
        <f aca="false">SUM(AA103:AA106)-AA107</f>
        <v>4106.60966421515</v>
      </c>
      <c r="AB111" s="129" t="n">
        <f aca="false">SUM(AB103:AB106)-AB107+AB108</f>
        <v>7445319.05</v>
      </c>
      <c r="AC111" s="135" t="n">
        <f aca="false">IF(AB111=0,,R111/AB111)</f>
        <v>0.994567732316268</v>
      </c>
    </row>
    <row r="112" customFormat="false" ht="15.75" hidden="false" customHeight="false" outlineLevel="0" collapsed="false">
      <c r="B112" s="70" t="n">
        <v>2</v>
      </c>
      <c r="C112" s="70" t="n">
        <v>3</v>
      </c>
      <c r="D112" s="70" t="n">
        <v>17</v>
      </c>
      <c r="E112" s="70" t="n">
        <v>18</v>
      </c>
      <c r="F112" s="70" t="n">
        <v>19</v>
      </c>
      <c r="G112" s="70" t="n">
        <v>20</v>
      </c>
      <c r="H112" s="70" t="n">
        <v>21</v>
      </c>
      <c r="I112" s="70" t="n">
        <v>22</v>
      </c>
      <c r="J112" s="70" t="n">
        <v>23</v>
      </c>
      <c r="K112" s="70" t="n">
        <v>24</v>
      </c>
      <c r="L112" s="70" t="n">
        <v>25</v>
      </c>
      <c r="M112" s="70" t="n">
        <v>26</v>
      </c>
      <c r="Q112" s="71" t="n">
        <v>2</v>
      </c>
      <c r="R112" s="71"/>
      <c r="S112" s="71" t="n">
        <v>31</v>
      </c>
      <c r="T112" s="71" t="n">
        <v>32</v>
      </c>
      <c r="U112" s="71" t="n">
        <v>33</v>
      </c>
      <c r="V112" s="71" t="n">
        <v>34</v>
      </c>
      <c r="W112" s="71" t="n">
        <v>35</v>
      </c>
      <c r="X112" s="71" t="n">
        <v>36</v>
      </c>
      <c r="Y112" s="71" t="n">
        <v>37</v>
      </c>
      <c r="Z112" s="71" t="n">
        <v>38</v>
      </c>
      <c r="AA112" s="71"/>
      <c r="AB112" s="71" t="n">
        <v>4</v>
      </c>
      <c r="AC112" s="71"/>
      <c r="AD112" s="71"/>
    </row>
    <row r="113" customFormat="false" ht="15" hidden="false" customHeight="false" outlineLevel="0" collapsed="false">
      <c r="C113" s="136" t="n">
        <v>2</v>
      </c>
      <c r="D113" s="137" t="n">
        <v>3</v>
      </c>
      <c r="E113" s="137" t="n">
        <v>4</v>
      </c>
      <c r="F113" s="137" t="n">
        <v>5</v>
      </c>
      <c r="G113" s="137" t="n">
        <v>6</v>
      </c>
      <c r="H113" s="137" t="n">
        <v>7</v>
      </c>
      <c r="I113" s="137" t="n">
        <v>8</v>
      </c>
      <c r="J113" s="137" t="n">
        <v>9</v>
      </c>
      <c r="K113" s="137" t="n">
        <v>10</v>
      </c>
      <c r="L113" s="137" t="n">
        <v>11</v>
      </c>
      <c r="M113" s="137" t="n">
        <v>12</v>
      </c>
      <c r="N113" s="137"/>
      <c r="R113" s="71" t="n">
        <v>14</v>
      </c>
      <c r="S113" s="71" t="n">
        <v>14</v>
      </c>
      <c r="T113" s="71" t="n">
        <v>15</v>
      </c>
      <c r="U113" s="71" t="n">
        <v>16</v>
      </c>
      <c r="V113" s="71" t="n">
        <v>17</v>
      </c>
      <c r="W113" s="71" t="n">
        <v>18</v>
      </c>
      <c r="X113" s="71" t="n">
        <v>19</v>
      </c>
      <c r="Y113" s="71" t="n">
        <v>20</v>
      </c>
      <c r="Z113" s="71" t="n">
        <v>21</v>
      </c>
    </row>
    <row r="114" customFormat="false" ht="15" hidden="false" customHeight="false" outlineLevel="0" collapsed="false">
      <c r="R114" s="137"/>
    </row>
    <row r="115" customFormat="false" ht="15" hidden="false" customHeight="false" outlineLevel="0" collapsed="false">
      <c r="C115" s="72" t="n">
        <f aca="false">SUM(C78:C95)</f>
        <v>70648.752415953</v>
      </c>
      <c r="R115" s="72"/>
    </row>
    <row r="116" customFormat="false" ht="15" hidden="false" customHeight="false" outlineLevel="0" collapsed="false">
      <c r="B116" s="72"/>
      <c r="R116" s="72"/>
    </row>
    <row r="117" customFormat="false" ht="15" hidden="false" customHeight="false" outlineLevel="0" collapsed="false">
      <c r="B117" s="72"/>
      <c r="C117" s="72"/>
      <c r="E117" s="138"/>
      <c r="F117" s="138"/>
      <c r="G117" s="138"/>
      <c r="H117" s="138"/>
      <c r="J117" s="138"/>
      <c r="K117" s="18"/>
      <c r="O117" s="139" t="n">
        <f aca="false">D125</f>
        <v>2721.74593204561</v>
      </c>
      <c r="R117" s="72"/>
    </row>
    <row r="118" customFormat="false" ht="15" hidden="false" customHeight="false" outlineLevel="0" collapsed="false">
      <c r="B118" s="72"/>
      <c r="C118" s="138" t="n">
        <f aca="false">C62</f>
        <v>14056.53</v>
      </c>
      <c r="J118" s="138"/>
      <c r="K118" s="18"/>
      <c r="N118" s="138"/>
      <c r="O118" s="139" t="n">
        <f aca="false">E125</f>
        <v>76637.7425482585</v>
      </c>
    </row>
    <row r="119" customFormat="false" ht="15" hidden="false" customHeight="false" outlineLevel="0" collapsed="false">
      <c r="B119" s="72"/>
      <c r="C119" s="138" t="n">
        <f aca="false">C63</f>
        <v>9614.86</v>
      </c>
      <c r="J119" s="138"/>
      <c r="K119" s="18"/>
      <c r="N119" s="138"/>
      <c r="O119" s="139" t="n">
        <f aca="false">F125</f>
        <v>7180496.25390842</v>
      </c>
    </row>
    <row r="120" customFormat="false" ht="15" hidden="false" customHeight="false" outlineLevel="0" collapsed="false">
      <c r="B120" s="72"/>
      <c r="C120" s="138" t="n">
        <f aca="false">C64</f>
        <v>11319.04</v>
      </c>
      <c r="J120" s="138"/>
      <c r="K120" s="18"/>
      <c r="N120" s="138"/>
      <c r="O120" s="139" t="n">
        <f aca="false">G125</f>
        <v>251151.610393494</v>
      </c>
    </row>
    <row r="121" customFormat="false" ht="15" hidden="false" customHeight="false" outlineLevel="0" collapsed="false">
      <c r="B121" s="72"/>
      <c r="C121" s="138" t="n">
        <f aca="false">C65</f>
        <v>216704.95</v>
      </c>
      <c r="N121" s="138"/>
      <c r="O121" s="139" t="n">
        <f aca="false">H125</f>
        <v>6742.5137618658</v>
      </c>
    </row>
    <row r="122" customFormat="false" ht="15" hidden="false" customHeight="false" outlineLevel="0" collapsed="false">
      <c r="B122" s="72"/>
      <c r="C122" s="138" t="n">
        <f aca="false">C66</f>
        <v>42390.88</v>
      </c>
      <c r="J122" s="138"/>
      <c r="K122" s="138"/>
      <c r="O122" s="139" t="n">
        <f aca="false">I125</f>
        <v>118.744752679351</v>
      </c>
    </row>
    <row r="123" customFormat="false" ht="15" hidden="false" customHeight="false" outlineLevel="0" collapsed="false">
      <c r="B123" s="72"/>
      <c r="C123" s="18" t="n">
        <f aca="false">SUM(C118:C122)</f>
        <v>294086.26</v>
      </c>
      <c r="O123" s="139" t="n">
        <f aca="false">J125</f>
        <v>141.095469113493</v>
      </c>
    </row>
    <row r="124" customFormat="false" ht="15" hidden="false" customHeight="false" outlineLevel="0" collapsed="false">
      <c r="B124" s="72"/>
      <c r="C124" s="18" t="n">
        <f aca="false">C123+C111</f>
        <v>7518014.31</v>
      </c>
      <c r="D124" s="140" t="n">
        <f aca="false">D111/$C111</f>
        <v>0.00036202989510479</v>
      </c>
      <c r="E124" s="140" t="n">
        <f aca="false">E111/$C111</f>
        <v>0.0101938809089948</v>
      </c>
      <c r="F124" s="140" t="n">
        <f aca="false">F111/$C111</f>
        <v>0.955105425159588</v>
      </c>
      <c r="G124" s="140" t="n">
        <f aca="false">G111/$C111</f>
        <v>0.0334066417058329</v>
      </c>
      <c r="H124" s="140" t="n">
        <f aca="false">H111/$C111</f>
        <v>0.000896847689275787</v>
      </c>
      <c r="I124" s="140" t="n">
        <f aca="false">I111/$C111</f>
        <v>1.57946962832199E-005</v>
      </c>
      <c r="J124" s="140" t="n">
        <f aca="false">J111/$C111</f>
        <v>1.87676510439488E-005</v>
      </c>
      <c r="K124" s="140" t="n">
        <f aca="false">K111/$C111</f>
        <v>3.10337558258057E-007</v>
      </c>
      <c r="L124" s="140" t="n">
        <f aca="false">L111/$C111</f>
        <v>2.84640087180232E-007</v>
      </c>
      <c r="M124" s="140" t="n">
        <f aca="false">M111/$C111</f>
        <v>1.73162311714096E-008</v>
      </c>
      <c r="O124" s="139" t="n">
        <f aca="false">K125</f>
        <v>2.33312220391453</v>
      </c>
    </row>
    <row r="125" customFormat="false" ht="15" hidden="false" customHeight="false" outlineLevel="0" collapsed="false">
      <c r="B125" s="72"/>
      <c r="C125" s="18"/>
      <c r="D125" s="139" t="n">
        <f aca="false">$C124*D124</f>
        <v>2721.74593204561</v>
      </c>
      <c r="E125" s="139" t="n">
        <f aca="false">$C124*E124</f>
        <v>76637.7425482585</v>
      </c>
      <c r="F125" s="139" t="n">
        <f aca="false">$C124*F124</f>
        <v>7180496.25390842</v>
      </c>
      <c r="G125" s="139" t="n">
        <f aca="false">$C124*G124</f>
        <v>251151.610393494</v>
      </c>
      <c r="H125" s="139" t="n">
        <f aca="false">$C124*H124</f>
        <v>6742.5137618658</v>
      </c>
      <c r="I125" s="139" t="n">
        <f aca="false">$C124*I124</f>
        <v>118.744752679351</v>
      </c>
      <c r="J125" s="139" t="n">
        <f aca="false">$C124*J124</f>
        <v>141.095469113493</v>
      </c>
      <c r="K125" s="139" t="n">
        <f aca="false">$C124*K124</f>
        <v>2.33312220391453</v>
      </c>
      <c r="L125" s="139" t="n">
        <f aca="false">$C124*L124</f>
        <v>2.13992824862063</v>
      </c>
      <c r="M125" s="139" t="n">
        <f aca="false">$C124*M124</f>
        <v>0.130183673741925</v>
      </c>
      <c r="O125" s="139" t="n">
        <f aca="false">L125</f>
        <v>2.13992824862063</v>
      </c>
    </row>
    <row r="126" customFormat="false" ht="15" hidden="false" customHeight="false" outlineLevel="0" collapsed="false">
      <c r="B126" s="72"/>
      <c r="O126" s="139" t="n">
        <f aca="false">M125</f>
        <v>0.130183673741925</v>
      </c>
    </row>
    <row r="127" customFormat="false" ht="15" hidden="false" customHeight="false" outlineLevel="0" collapsed="false">
      <c r="B127" s="72"/>
      <c r="D127" s="138"/>
    </row>
    <row r="128" customFormat="false" ht="15" hidden="false" customHeight="false" outlineLevel="0" collapsed="false">
      <c r="C128" s="18"/>
      <c r="D128" s="138"/>
    </row>
    <row r="129" customFormat="false" ht="15" hidden="false" customHeight="false" outlineLevel="0" collapsed="false">
      <c r="D129" s="138"/>
    </row>
    <row r="135" customFormat="false" ht="15" hidden="false" customHeight="false" outlineLevel="0" collapsed="false">
      <c r="C135" s="1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D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3.28"/>
    <col collapsed="false" customWidth="true" hidden="false" outlineLevel="0" max="4" min="4" style="0" width="12"/>
  </cols>
  <sheetData>
    <row r="16" customFormat="false" ht="15" hidden="false" customHeight="false" outlineLevel="0" collapsed="false">
      <c r="D16" s="14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86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R12" activeCellId="0" sqref="R1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9.43"/>
    <col collapsed="false" customWidth="true" hidden="false" outlineLevel="0" max="2" min="2" style="0" width="27"/>
    <col collapsed="false" customWidth="true" hidden="false" outlineLevel="0" max="3" min="3" style="0" width="13.28"/>
    <col collapsed="false" customWidth="true" hidden="false" outlineLevel="0" max="4" min="4" style="0" width="12.43"/>
    <col collapsed="false" customWidth="true" hidden="false" outlineLevel="0" max="5" min="5" style="0" width="10.85"/>
    <col collapsed="false" customWidth="true" hidden="false" outlineLevel="0" max="6" min="6" style="0" width="13.28"/>
    <col collapsed="false" customWidth="true" hidden="false" outlineLevel="0" max="8" min="7" style="0" width="11"/>
    <col collapsed="false" customWidth="true" hidden="false" outlineLevel="0" max="9" min="9" style="0" width="10.85"/>
    <col collapsed="false" customWidth="true" hidden="false" outlineLevel="0" max="10" min="10" style="0" width="11"/>
    <col collapsed="false" customWidth="true" hidden="false" outlineLevel="0" max="13" min="11" style="0" width="10.85"/>
    <col collapsed="false" customWidth="true" hidden="false" outlineLevel="0" max="14" min="14" style="0" width="11.28"/>
    <col collapsed="false" customWidth="true" hidden="false" outlineLevel="0" max="15" min="15" style="0" width="10.57"/>
    <col collapsed="false" customWidth="true" hidden="false" outlineLevel="0" max="16" min="16" style="0" width="15.28"/>
    <col collapsed="false" customWidth="true" hidden="false" outlineLevel="0" max="17" min="17" style="0" width="21"/>
    <col collapsed="false" customWidth="true" hidden="false" outlineLevel="0" max="18" min="18" style="0" width="11.57"/>
    <col collapsed="false" customWidth="true" hidden="false" outlineLevel="0" max="21" min="19" style="0" width="10.57"/>
    <col collapsed="false" customWidth="true" hidden="false" outlineLevel="0" max="23" min="23" style="0" width="9.7"/>
    <col collapsed="false" customWidth="true" hidden="false" outlineLevel="0" max="26" min="25" style="0" width="11.71"/>
    <col collapsed="false" customWidth="true" hidden="false" outlineLevel="0" max="27" min="27" style="0" width="9.57"/>
    <col collapsed="false" customWidth="true" hidden="false" outlineLevel="0" max="28" min="28" style="0" width="11.57"/>
    <col collapsed="false" customWidth="true" hidden="false" outlineLevel="0" max="30" min="29" style="0" width="9.57"/>
  </cols>
  <sheetData>
    <row r="1" customFormat="false" ht="16.5" hidden="false" customHeight="false" outlineLevel="0" collapsed="false">
      <c r="B1" s="142" t="s">
        <v>28</v>
      </c>
      <c r="C1" s="143" t="s">
        <v>0</v>
      </c>
      <c r="D1" s="144" t="s">
        <v>1</v>
      </c>
      <c r="E1" s="145" t="s">
        <v>2</v>
      </c>
      <c r="F1" s="145" t="s">
        <v>3</v>
      </c>
      <c r="G1" s="145" t="s">
        <v>4</v>
      </c>
      <c r="H1" s="145" t="s">
        <v>5</v>
      </c>
      <c r="I1" s="145" t="s">
        <v>6</v>
      </c>
      <c r="J1" s="145" t="s">
        <v>7</v>
      </c>
      <c r="K1" s="145" t="s">
        <v>8</v>
      </c>
      <c r="L1" s="145" t="s">
        <v>9</v>
      </c>
      <c r="M1" s="146" t="s">
        <v>10</v>
      </c>
      <c r="N1" s="147" t="s">
        <v>11</v>
      </c>
      <c r="Q1" s="148" t="s">
        <v>28</v>
      </c>
      <c r="R1" s="48" t="s">
        <v>13</v>
      </c>
      <c r="S1" s="49" t="s">
        <v>3</v>
      </c>
      <c r="T1" s="50" t="s">
        <v>4</v>
      </c>
      <c r="U1" s="50" t="s">
        <v>5</v>
      </c>
      <c r="V1" s="50" t="s">
        <v>6</v>
      </c>
      <c r="W1" s="50" t="s">
        <v>7</v>
      </c>
      <c r="X1" s="50" t="s">
        <v>8</v>
      </c>
      <c r="Y1" s="50" t="s">
        <v>9</v>
      </c>
      <c r="Z1" s="51" t="s">
        <v>10</v>
      </c>
      <c r="AA1" s="48" t="s">
        <v>14</v>
      </c>
      <c r="AB1" s="52" t="s">
        <v>15</v>
      </c>
    </row>
    <row r="2" customFormat="false" ht="15" hidden="false" customHeight="false" outlineLevel="0" collapsed="false">
      <c r="B2" s="149" t="s">
        <v>165</v>
      </c>
      <c r="C2" s="150" t="e">
        <f aca="false">#REF!</f>
        <v>#REF!</v>
      </c>
      <c r="D2" s="151" t="e">
        <f aca="false">#REF!</f>
        <v>#REF!</v>
      </c>
      <c r="E2" s="152" t="e">
        <f aca="false">#REF!</f>
        <v>#REF!</v>
      </c>
      <c r="F2" s="152" t="e">
        <f aca="false">#REF!</f>
        <v>#REF!</v>
      </c>
      <c r="G2" s="152" t="e">
        <f aca="false">#REF!</f>
        <v>#REF!</v>
      </c>
      <c r="H2" s="152" t="e">
        <f aca="false">#REF!</f>
        <v>#REF!</v>
      </c>
      <c r="I2" s="152" t="e">
        <f aca="false">#REF!</f>
        <v>#REF!</v>
      </c>
      <c r="J2" s="152" t="e">
        <f aca="false">#REF!</f>
        <v>#REF!</v>
      </c>
      <c r="K2" s="152" t="e">
        <f aca="false">#REF!</f>
        <v>#REF!</v>
      </c>
      <c r="L2" s="152" t="e">
        <f aca="false">#REF!</f>
        <v>#REF!</v>
      </c>
      <c r="M2" s="153" t="e">
        <f aca="false">#REF!</f>
        <v>#REF!</v>
      </c>
      <c r="N2" s="154" t="e">
        <f aca="false">SUM(D2:M2)</f>
        <v>#REF!</v>
      </c>
      <c r="Q2" s="155" t="s">
        <v>166</v>
      </c>
      <c r="R2" s="26" t="e">
        <f aca="false">#REF!</f>
        <v>#REF!</v>
      </c>
      <c r="S2" s="14" t="e">
        <f aca="false">#REF!</f>
        <v>#REF!</v>
      </c>
      <c r="T2" s="15" t="e">
        <f aca="false">#REF!</f>
        <v>#REF!</v>
      </c>
      <c r="U2" s="15" t="e">
        <f aca="false">#REF!</f>
        <v>#REF!</v>
      </c>
      <c r="V2" s="15" t="e">
        <f aca="false">#REF!</f>
        <v>#REF!</v>
      </c>
      <c r="W2" s="15" t="e">
        <f aca="false">#REF!</f>
        <v>#REF!</v>
      </c>
      <c r="X2" s="15" t="e">
        <f aca="false">#REF!</f>
        <v>#REF!</v>
      </c>
      <c r="Y2" s="15" t="e">
        <f aca="false">#REF!</f>
        <v>#REF!</v>
      </c>
      <c r="Z2" s="16" t="e">
        <f aca="false">#REF!</f>
        <v>#REF!</v>
      </c>
      <c r="AA2" s="25" t="e">
        <f aca="false">R2/N2*1000</f>
        <v>#REF!</v>
      </c>
      <c r="AB2" s="156" t="e">
        <f aca="false">#REF!</f>
        <v>#REF!</v>
      </c>
    </row>
    <row r="3" customFormat="false" ht="15" hidden="false" customHeight="false" outlineLevel="0" collapsed="false">
      <c r="B3" s="56" t="s">
        <v>131</v>
      </c>
      <c r="C3" s="26" t="e">
        <f aca="false">C53</f>
        <v>#REF!</v>
      </c>
      <c r="D3" s="14" t="e">
        <f aca="false">D53</f>
        <v>#REF!</v>
      </c>
      <c r="E3" s="15" t="n">
        <f aca="false">E53</f>
        <v>3872.6865995</v>
      </c>
      <c r="F3" s="15" t="n">
        <f aca="false">F53</f>
        <v>283604.7040392</v>
      </c>
      <c r="G3" s="15" t="n">
        <f aca="false">G53</f>
        <v>6003.3885326</v>
      </c>
      <c r="H3" s="15" t="n">
        <f aca="false">H53</f>
        <v>462.6979549</v>
      </c>
      <c r="I3" s="15" t="n">
        <f aca="false">I53</f>
        <v>20.8495259</v>
      </c>
      <c r="J3" s="15" t="n">
        <f aca="false">J53</f>
        <v>30.2869127</v>
      </c>
      <c r="K3" s="15" t="n">
        <f aca="false">K53</f>
        <v>0</v>
      </c>
      <c r="L3" s="15" t="n">
        <f aca="false">L53</f>
        <v>0</v>
      </c>
      <c r="M3" s="16" t="n">
        <f aca="false">M53</f>
        <v>0</v>
      </c>
      <c r="N3" s="157" t="e">
        <f aca="false">SUM(D3:M3)</f>
        <v>#REF!</v>
      </c>
      <c r="Q3" s="155" t="s">
        <v>131</v>
      </c>
      <c r="R3" s="26" t="n">
        <f aca="false">R53</f>
        <v>298059.79447338</v>
      </c>
      <c r="S3" s="14" t="n">
        <f aca="false">S53</f>
        <v>286116.356322765</v>
      </c>
      <c r="T3" s="15" t="n">
        <f aca="false">T53</f>
        <v>10614.0500317121</v>
      </c>
      <c r="U3" s="15" t="n">
        <f aca="false">U53</f>
        <v>1162.97229338797</v>
      </c>
      <c r="V3" s="15" t="n">
        <f aca="false">V53</f>
        <v>67.7229491248119</v>
      </c>
      <c r="W3" s="15" t="n">
        <f aca="false">W53</f>
        <v>98.6928763910026</v>
      </c>
      <c r="X3" s="15" t="n">
        <f aca="false">X53</f>
        <v>0</v>
      </c>
      <c r="Y3" s="15" t="n">
        <f aca="false">Y53</f>
        <v>0</v>
      </c>
      <c r="Z3" s="16" t="n">
        <f aca="false">Z53</f>
        <v>0</v>
      </c>
      <c r="AA3" s="25" t="e">
        <f aca="false">R3/N3*1000</f>
        <v>#REF!</v>
      </c>
      <c r="AB3" s="156" t="n">
        <f aca="false">AB53</f>
        <v>298115.24</v>
      </c>
    </row>
    <row r="4" customFormat="false" ht="15" hidden="false" customHeight="false" outlineLevel="0" collapsed="false">
      <c r="B4" s="56" t="s">
        <v>155</v>
      </c>
      <c r="C4" s="26" t="e">
        <f aca="false">#REF!</f>
        <v>#REF!</v>
      </c>
      <c r="D4" s="14" t="e">
        <f aca="false">#REF!</f>
        <v>#REF!</v>
      </c>
      <c r="E4" s="15" t="e">
        <f aca="false">#REF!</f>
        <v>#REF!</v>
      </c>
      <c r="F4" s="15" t="e">
        <f aca="false">#REF!</f>
        <v>#REF!</v>
      </c>
      <c r="G4" s="15" t="e">
        <f aca="false">#REF!</f>
        <v>#REF!</v>
      </c>
      <c r="H4" s="15" t="e">
        <f aca="false">#REF!</f>
        <v>#REF!</v>
      </c>
      <c r="I4" s="15" t="e">
        <f aca="false">#REF!</f>
        <v>#REF!</v>
      </c>
      <c r="J4" s="15" t="e">
        <f aca="false">#REF!</f>
        <v>#REF!</v>
      </c>
      <c r="K4" s="15" t="e">
        <f aca="false">#REF!</f>
        <v>#REF!</v>
      </c>
      <c r="L4" s="15" t="e">
        <f aca="false">#REF!</f>
        <v>#REF!</v>
      </c>
      <c r="M4" s="16" t="e">
        <f aca="false">#REF!</f>
        <v>#REF!</v>
      </c>
      <c r="N4" s="157" t="e">
        <f aca="false">SUM(D4:M4)</f>
        <v>#REF!</v>
      </c>
      <c r="Q4" s="155" t="s">
        <v>167</v>
      </c>
      <c r="R4" s="26" t="e">
        <f aca="false">#REF!</f>
        <v>#REF!</v>
      </c>
      <c r="S4" s="14" t="e">
        <f aca="false">#REF!</f>
        <v>#REF!</v>
      </c>
      <c r="T4" s="15" t="e">
        <f aca="false">#REF!</f>
        <v>#REF!</v>
      </c>
      <c r="U4" s="15" t="e">
        <f aca="false">#REF!</f>
        <v>#REF!</v>
      </c>
      <c r="V4" s="15" t="e">
        <f aca="false">#REF!</f>
        <v>#REF!</v>
      </c>
      <c r="W4" s="15" t="e">
        <f aca="false">#REF!</f>
        <v>#REF!</v>
      </c>
      <c r="X4" s="15" t="e">
        <f aca="false">#REF!</f>
        <v>#REF!</v>
      </c>
      <c r="Y4" s="15" t="e">
        <f aca="false">#REF!</f>
        <v>#REF!</v>
      </c>
      <c r="Z4" s="16" t="e">
        <f aca="false">#REF!</f>
        <v>#REF!</v>
      </c>
      <c r="AA4" s="25" t="e">
        <f aca="false">R4/N4*1000</f>
        <v>#REF!</v>
      </c>
      <c r="AB4" s="156" t="e">
        <f aca="false">#REF!</f>
        <v>#REF!</v>
      </c>
    </row>
    <row r="5" customFormat="false" ht="15.75" hidden="false" customHeight="false" outlineLevel="0" collapsed="false">
      <c r="B5" s="56" t="s">
        <v>168</v>
      </c>
      <c r="C5" s="26" t="n">
        <f aca="false">C63</f>
        <v>1428908.77666468</v>
      </c>
      <c r="D5" s="14" t="n">
        <f aca="false">D63</f>
        <v>68.4829232563957</v>
      </c>
      <c r="E5" s="15" t="n">
        <f aca="false">E63</f>
        <v>23.5616980070076</v>
      </c>
      <c r="F5" s="15" t="n">
        <f aca="false">F63</f>
        <v>2641.55959432703</v>
      </c>
      <c r="G5" s="15" t="n">
        <f aca="false">G63</f>
        <v>748348.742509551</v>
      </c>
      <c r="H5" s="15" t="n">
        <f aca="false">H63</f>
        <v>389489.877299164</v>
      </c>
      <c r="I5" s="15" t="n">
        <f aca="false">I63</f>
        <v>60040.9698044277</v>
      </c>
      <c r="J5" s="15" t="n">
        <f aca="false">J63</f>
        <v>134807.587221844</v>
      </c>
      <c r="K5" s="15" t="n">
        <f aca="false">K63</f>
        <v>33974.1607779725</v>
      </c>
      <c r="L5" s="15" t="n">
        <f aca="false">L63</f>
        <v>33314.5444059845</v>
      </c>
      <c r="M5" s="16" t="n">
        <f aca="false">M63</f>
        <v>26199.2904301452</v>
      </c>
      <c r="N5" s="157" t="n">
        <f aca="false">SUM(D5:M5)</f>
        <v>1428908.77666468</v>
      </c>
      <c r="Q5" s="158" t="s">
        <v>168</v>
      </c>
      <c r="R5" s="120" t="n">
        <f aca="false">R63</f>
        <v>3389979.48276012</v>
      </c>
      <c r="S5" s="121" t="n">
        <f aca="false">S63</f>
        <v>2701.58071280932</v>
      </c>
      <c r="T5" s="122" t="n">
        <f aca="false">T63</f>
        <v>1341115.48872453</v>
      </c>
      <c r="U5" s="122" t="n">
        <f aca="false">U63</f>
        <v>992367.804143093</v>
      </c>
      <c r="V5" s="122" t="n">
        <f aca="false">V63</f>
        <v>197712.827411643</v>
      </c>
      <c r="W5" s="122" t="n">
        <f aca="false">W63</f>
        <v>445340.8713176</v>
      </c>
      <c r="X5" s="122" t="n">
        <f aca="false">X63</f>
        <v>137645.422305973</v>
      </c>
      <c r="Y5" s="122" t="n">
        <f aca="false">Y63</f>
        <v>135236.966705877</v>
      </c>
      <c r="Z5" s="124" t="n">
        <f aca="false">Z63</f>
        <v>137858.521438591</v>
      </c>
      <c r="AA5" s="125" t="n">
        <f aca="false">R5/N5*1000</f>
        <v>2372.42540470143</v>
      </c>
      <c r="AB5" s="159" t="n">
        <f aca="false">AB63</f>
        <v>3389979.48276012</v>
      </c>
    </row>
    <row r="6" customFormat="false" ht="15" hidden="false" customHeight="false" outlineLevel="0" collapsed="false">
      <c r="B6" s="160" t="s">
        <v>169</v>
      </c>
      <c r="C6" s="161" t="e">
        <f aca="false">C2-C3-C4-C5</f>
        <v>#REF!</v>
      </c>
      <c r="D6" s="162" t="e">
        <f aca="false">D2-D3-D4-D5</f>
        <v>#REF!</v>
      </c>
      <c r="E6" s="163" t="e">
        <f aca="false">E2-E3-E4-E5</f>
        <v>#REF!</v>
      </c>
      <c r="F6" s="163" t="e">
        <f aca="false">F2-F3-F4-F5</f>
        <v>#REF!</v>
      </c>
      <c r="G6" s="163" t="e">
        <f aca="false">G2-G3-G4-G5</f>
        <v>#REF!</v>
      </c>
      <c r="H6" s="163" t="e">
        <f aca="false">H2-H3-H4-H5</f>
        <v>#REF!</v>
      </c>
      <c r="I6" s="163" t="e">
        <f aca="false">I2-I3-I4-I5</f>
        <v>#REF!</v>
      </c>
      <c r="J6" s="163" t="e">
        <f aca="false">J2-J3-J4-J5</f>
        <v>#REF!</v>
      </c>
      <c r="K6" s="163" t="e">
        <f aca="false">K2-K3-K4-K5</f>
        <v>#REF!</v>
      </c>
      <c r="L6" s="163" t="e">
        <f aca="false">L2-L3-L4-L5</f>
        <v>#REF!</v>
      </c>
      <c r="M6" s="164" t="e">
        <f aca="false">M2-M3-M4-M5</f>
        <v>#REF!</v>
      </c>
      <c r="N6" s="165" t="e">
        <f aca="false">SUM(D6:M6)</f>
        <v>#REF!</v>
      </c>
      <c r="Q6" s="166" t="s">
        <v>169</v>
      </c>
      <c r="R6" s="167" t="e">
        <f aca="false">R2-R3-R4-R5</f>
        <v>#REF!</v>
      </c>
      <c r="S6" s="168" t="e">
        <f aca="false">S2-S3-S4-S5</f>
        <v>#REF!</v>
      </c>
      <c r="T6" s="169" t="e">
        <f aca="false">T2-T3-T4-T5</f>
        <v>#REF!</v>
      </c>
      <c r="U6" s="169" t="e">
        <f aca="false">U2-U3-U4-U5</f>
        <v>#REF!</v>
      </c>
      <c r="V6" s="169" t="e">
        <f aca="false">V2-V3-V4-V5</f>
        <v>#REF!</v>
      </c>
      <c r="W6" s="169" t="e">
        <f aca="false">W2-W3-W4-W5</f>
        <v>#REF!</v>
      </c>
      <c r="X6" s="169" t="e">
        <f aca="false">X2-X3-X4-X5</f>
        <v>#REF!</v>
      </c>
      <c r="Y6" s="169" t="e">
        <f aca="false">Y2-Y3-Y4-Y5</f>
        <v>#REF!</v>
      </c>
      <c r="Z6" s="170" t="e">
        <f aca="false">Z2-Z3-Z4-Z5</f>
        <v>#REF!</v>
      </c>
      <c r="AA6" s="171" t="e">
        <f aca="false">R6/N6*1000</f>
        <v>#REF!</v>
      </c>
      <c r="AB6" s="172" t="e">
        <f aca="false">AB2-AB3-AB4-AB5</f>
        <v>#REF!</v>
      </c>
    </row>
    <row r="7" customFormat="false" ht="15.75" hidden="false" customHeight="false" outlineLevel="0" collapsed="false">
      <c r="B7" s="173" t="s">
        <v>170</v>
      </c>
      <c r="C7" s="174" t="n">
        <f aca="false">C58</f>
        <v>7276881.78</v>
      </c>
      <c r="D7" s="175" t="n">
        <f aca="false">D58</f>
        <v>2774.16463725737</v>
      </c>
      <c r="E7" s="176" t="n">
        <f aca="false">E58</f>
        <v>74168.6659224839</v>
      </c>
      <c r="F7" s="176" t="n">
        <f aca="false">F58</f>
        <v>6945285.61204802</v>
      </c>
      <c r="G7" s="176" t="n">
        <f aca="false">G58</f>
        <v>248168.119945331</v>
      </c>
      <c r="H7" s="176" t="n">
        <f aca="false">H58</f>
        <v>6407.40471117668</v>
      </c>
      <c r="I7" s="176" t="n">
        <f aca="false">I58</f>
        <v>40.642749180131</v>
      </c>
      <c r="J7" s="176" t="n">
        <f aca="false">J58</f>
        <v>37.1079042674927</v>
      </c>
      <c r="K7" s="176" t="n">
        <f aca="false">K58</f>
        <v>0.0285112420665933</v>
      </c>
      <c r="L7" s="176" t="n">
        <f aca="false">L58</f>
        <v>0.0114044962045567</v>
      </c>
      <c r="M7" s="177" t="n">
        <f aca="false">M58</f>
        <v>0.0221665412612334</v>
      </c>
      <c r="N7" s="178" t="n">
        <f aca="false">SUM(D7:M7)</f>
        <v>7276881.78</v>
      </c>
      <c r="Q7" s="179" t="s">
        <v>170</v>
      </c>
      <c r="R7" s="180" t="n">
        <f aca="false">R58</f>
        <v>7462310.82269071</v>
      </c>
      <c r="S7" s="181" t="n">
        <f aca="false">S58</f>
        <v>7007213.65664902</v>
      </c>
      <c r="T7" s="182" t="n">
        <f aca="false">T58</f>
        <v>438739.068575229</v>
      </c>
      <c r="U7" s="182" t="n">
        <f aca="false">U58</f>
        <v>16104.8627761221</v>
      </c>
      <c r="V7" s="182" t="n">
        <f aca="false">V58</f>
        <v>132.02893417953</v>
      </c>
      <c r="W7" s="182" t="n">
        <f aca="false">W58</f>
        <v>120.932551738754</v>
      </c>
      <c r="X7" s="182" t="n">
        <f aca="false">X58</f>
        <v>0.113954688889475</v>
      </c>
      <c r="Y7" s="182" t="n">
        <f aca="false">Y58</f>
        <v>0.0456710162371092</v>
      </c>
      <c r="Z7" s="183" t="n">
        <f aca="false">Z58</f>
        <v>0.113578714616864</v>
      </c>
      <c r="AA7" s="184" t="n">
        <f aca="false">R7/N7*1000</f>
        <v>1025.48193694727</v>
      </c>
      <c r="AB7" s="185" t="n">
        <f aca="false">AB58</f>
        <v>7503099.28</v>
      </c>
      <c r="AC7" s="186"/>
      <c r="AD7" s="18"/>
    </row>
    <row r="8" customFormat="false" ht="15" hidden="false" customHeight="false" outlineLevel="0" collapsed="false">
      <c r="B8" s="56"/>
      <c r="C8" s="26" t="e">
        <f aca="false">C7-C6</f>
        <v>#REF!</v>
      </c>
      <c r="D8" s="14" t="e">
        <f aca="false">D7-D6</f>
        <v>#REF!</v>
      </c>
      <c r="E8" s="15" t="e">
        <f aca="false">E7-E6</f>
        <v>#REF!</v>
      </c>
      <c r="F8" s="15" t="e">
        <f aca="false">F7-F6</f>
        <v>#REF!</v>
      </c>
      <c r="G8" s="15" t="e">
        <f aca="false">G7-G6</f>
        <v>#REF!</v>
      </c>
      <c r="H8" s="15" t="e">
        <f aca="false">H7-H6</f>
        <v>#REF!</v>
      </c>
      <c r="I8" s="15" t="e">
        <f aca="false">I7-I6</f>
        <v>#REF!</v>
      </c>
      <c r="J8" s="15" t="e">
        <f aca="false">J7-J6</f>
        <v>#REF!</v>
      </c>
      <c r="K8" s="15" t="e">
        <f aca="false">K7-K6</f>
        <v>#REF!</v>
      </c>
      <c r="L8" s="15" t="e">
        <f aca="false">L7-L6</f>
        <v>#REF!</v>
      </c>
      <c r="M8" s="16" t="e">
        <f aca="false">M7-M6</f>
        <v>#REF!</v>
      </c>
      <c r="N8" s="157" t="e">
        <f aca="false">SUM(D8:M8)</f>
        <v>#REF!</v>
      </c>
      <c r="Q8" s="187"/>
      <c r="R8" s="22" t="e">
        <f aca="false">R7-R6</f>
        <v>#REF!</v>
      </c>
      <c r="S8" s="20" t="e">
        <f aca="false">S7-S6</f>
        <v>#REF!</v>
      </c>
      <c r="T8" s="188" t="e">
        <f aca="false">T7-T6</f>
        <v>#REF!</v>
      </c>
      <c r="U8" s="188" t="e">
        <f aca="false">U7-U6</f>
        <v>#REF!</v>
      </c>
      <c r="V8" s="188" t="e">
        <f aca="false">V7-V6</f>
        <v>#REF!</v>
      </c>
      <c r="W8" s="188" t="e">
        <f aca="false">W7-W6</f>
        <v>#REF!</v>
      </c>
      <c r="X8" s="188" t="e">
        <f aca="false">X7-X6</f>
        <v>#REF!</v>
      </c>
      <c r="Y8" s="188" t="e">
        <f aca="false">Y7-Y6</f>
        <v>#REF!</v>
      </c>
      <c r="Z8" s="189" t="e">
        <f aca="false">Z7-Z6</f>
        <v>#REF!</v>
      </c>
      <c r="AA8" s="21"/>
      <c r="AB8" s="190" t="e">
        <f aca="false">AB7-AB6</f>
        <v>#REF!</v>
      </c>
      <c r="AC8" s="18"/>
    </row>
    <row r="9" customFormat="false" ht="15.75" hidden="false" customHeight="false" outlineLevel="0" collapsed="false">
      <c r="B9" s="56"/>
      <c r="C9" s="191" t="e">
        <f aca="false">C8/C2</f>
        <v>#REF!</v>
      </c>
      <c r="D9" s="192" t="e">
        <f aca="false">D8/D2</f>
        <v>#REF!</v>
      </c>
      <c r="E9" s="193" t="e">
        <f aca="false">E8/E2</f>
        <v>#REF!</v>
      </c>
      <c r="F9" s="193" t="e">
        <f aca="false">F8/F2</f>
        <v>#REF!</v>
      </c>
      <c r="G9" s="193" t="e">
        <f aca="false">G8/G2</f>
        <v>#REF!</v>
      </c>
      <c r="H9" s="193" t="e">
        <f aca="false">H8/H2</f>
        <v>#REF!</v>
      </c>
      <c r="I9" s="193" t="e">
        <f aca="false">I8/I2</f>
        <v>#REF!</v>
      </c>
      <c r="J9" s="193" t="e">
        <f aca="false">J8/J2</f>
        <v>#REF!</v>
      </c>
      <c r="K9" s="193" t="e">
        <f aca="false">K8/K2</f>
        <v>#REF!</v>
      </c>
      <c r="L9" s="193" t="e">
        <f aca="false">L8/L2</f>
        <v>#REF!</v>
      </c>
      <c r="M9" s="194" t="e">
        <f aca="false">M8/M2</f>
        <v>#REF!</v>
      </c>
      <c r="N9" s="195"/>
      <c r="Q9" s="196"/>
      <c r="R9" s="197" t="e">
        <f aca="false">R8/R2</f>
        <v>#REF!</v>
      </c>
      <c r="S9" s="198" t="e">
        <f aca="false">S8/S2</f>
        <v>#REF!</v>
      </c>
      <c r="T9" s="199" t="e">
        <f aca="false">T8/T2</f>
        <v>#REF!</v>
      </c>
      <c r="U9" s="199" t="e">
        <f aca="false">U8/U2</f>
        <v>#REF!</v>
      </c>
      <c r="V9" s="199" t="e">
        <f aca="false">V8/V2</f>
        <v>#REF!</v>
      </c>
      <c r="W9" s="199" t="e">
        <f aca="false">W8/W2</f>
        <v>#REF!</v>
      </c>
      <c r="X9" s="199" t="e">
        <f aca="false">X8/X2</f>
        <v>#REF!</v>
      </c>
      <c r="Y9" s="199" t="e">
        <f aca="false">Y8/Y2</f>
        <v>#REF!</v>
      </c>
      <c r="Z9" s="200" t="e">
        <f aca="false">Z8/Z2</f>
        <v>#REF!</v>
      </c>
      <c r="AA9" s="67"/>
      <c r="AB9" s="201" t="e">
        <f aca="false">AB8/AB2</f>
        <v>#REF!</v>
      </c>
    </row>
    <row r="10" customFormat="false" ht="15.75" hidden="false" customHeight="false" outlineLevel="0" collapsed="false">
      <c r="A10" s="18"/>
      <c r="B10" s="202" t="s">
        <v>169</v>
      </c>
      <c r="C10" s="203"/>
      <c r="D10" s="204" t="e">
        <f aca="false">IF($D6=0,0,D6/$C6*100)</f>
        <v>#REF!</v>
      </c>
      <c r="E10" s="205" t="e">
        <f aca="false">IF($D6=0,0,E6/$C6*100)</f>
        <v>#REF!</v>
      </c>
      <c r="F10" s="205" t="e">
        <f aca="false">IF($D6=0,0,F6/$C6*100)</f>
        <v>#REF!</v>
      </c>
      <c r="G10" s="205" t="e">
        <f aca="false">IF($D6=0,0,G6/$C6*100)</f>
        <v>#REF!</v>
      </c>
      <c r="H10" s="205" t="e">
        <f aca="false">IF($D6=0,0,H6/$C6*100)</f>
        <v>#REF!</v>
      </c>
      <c r="I10" s="205" t="e">
        <f aca="false">IF($D6=0,0,I6/$C6*100)</f>
        <v>#REF!</v>
      </c>
      <c r="J10" s="205" t="e">
        <f aca="false">IF($D6=0,0,J6/$C6*100)</f>
        <v>#REF!</v>
      </c>
      <c r="K10" s="205" t="e">
        <f aca="false">IF($D6=0,0,K6/$C6*100)</f>
        <v>#REF!</v>
      </c>
      <c r="L10" s="205" t="e">
        <f aca="false">IF($D6=0,0,L6/$C6*100)</f>
        <v>#REF!</v>
      </c>
      <c r="M10" s="206" t="e">
        <f aca="false">IF($D6=0,0,M6/$C6*100)</f>
        <v>#REF!</v>
      </c>
      <c r="N10" s="207" t="e">
        <f aca="false">SUM(D10:M10)</f>
        <v>#REF!</v>
      </c>
      <c r="AA10" s="186"/>
    </row>
    <row r="11" customFormat="false" ht="15.75" hidden="false" customHeight="false" outlineLevel="0" collapsed="false">
      <c r="A11" s="18"/>
      <c r="B11" s="202" t="s">
        <v>171</v>
      </c>
      <c r="C11" s="203"/>
      <c r="D11" s="204" t="n">
        <f aca="false">IF($D7=0,0,D7/$C7*100)</f>
        <v>0.038122986206564</v>
      </c>
      <c r="E11" s="205" t="n">
        <f aca="false">IF($D7=0,0,E7/$C7*100)</f>
        <v>1.01923692269306</v>
      </c>
      <c r="F11" s="205" t="n">
        <f aca="false">IF($D7=0,0,F7/$C7*100)</f>
        <v>95.4431557640067</v>
      </c>
      <c r="G11" s="205" t="n">
        <f aca="false">IF($D7=0,0,G7/$C7*100)</f>
        <v>3.41036349700505</v>
      </c>
      <c r="H11" s="205" t="n">
        <f aca="false">IF($D7=0,0,H7/$C7*100)</f>
        <v>0.0880515158125419</v>
      </c>
      <c r="I11" s="205" t="n">
        <f aca="false">IF($D7=0,0,I7/$C7*100)</f>
        <v>0.000558518750322903</v>
      </c>
      <c r="J11" s="205" t="n">
        <f aca="false">IF($D7=0,0,J7/$C7*100)</f>
        <v>0.000509942381769636</v>
      </c>
      <c r="K11" s="205" t="n">
        <f aca="false">IF($D7=0,0,K7/$C7*100)</f>
        <v>3.9180576143142E-007</v>
      </c>
      <c r="L11" s="205" t="n">
        <f aca="false">IF($D7=0,0,L7/$C7*100)</f>
        <v>1.56722296023843E-007</v>
      </c>
      <c r="M11" s="206" t="n">
        <f aca="false">IF($D7=0,0,M7/$C7*100)</f>
        <v>3.04615932089986E-007</v>
      </c>
      <c r="N11" s="207" t="n">
        <f aca="false">SUM(D11:M11)</f>
        <v>100</v>
      </c>
      <c r="AA11" s="186"/>
    </row>
    <row r="12" customFormat="false" ht="15.75" hidden="false" customHeight="false" outlineLevel="0" collapsed="false">
      <c r="B12" s="56" t="s">
        <v>172</v>
      </c>
      <c r="C12" s="26" t="e">
        <f aca="false">#REF!</f>
        <v>#REF!</v>
      </c>
      <c r="D12" s="14" t="e">
        <f aca="false">#REF!</f>
        <v>#REF!</v>
      </c>
      <c r="E12" s="15" t="e">
        <f aca="false">#REF!</f>
        <v>#REF!</v>
      </c>
      <c r="F12" s="15" t="e">
        <f aca="false">#REF!</f>
        <v>#REF!</v>
      </c>
      <c r="G12" s="15" t="e">
        <f aca="false">#REF!</f>
        <v>#REF!</v>
      </c>
      <c r="H12" s="15" t="e">
        <f aca="false">#REF!</f>
        <v>#REF!</v>
      </c>
      <c r="I12" s="15" t="e">
        <f aca="false">#REF!</f>
        <v>#REF!</v>
      </c>
      <c r="J12" s="15" t="e">
        <f aca="false">#REF!</f>
        <v>#REF!</v>
      </c>
      <c r="K12" s="15" t="e">
        <f aca="false">#REF!</f>
        <v>#REF!</v>
      </c>
      <c r="L12" s="15" t="e">
        <f aca="false">#REF!</f>
        <v>#REF!</v>
      </c>
      <c r="M12" s="16" t="e">
        <f aca="false">#REF!</f>
        <v>#REF!</v>
      </c>
      <c r="N12" s="157" t="e">
        <f aca="false">SUM(D12:M12)</f>
        <v>#REF!</v>
      </c>
      <c r="Q12" s="208" t="s">
        <v>172</v>
      </c>
      <c r="R12" s="209" t="e">
        <f aca="false">#REF!</f>
        <v>#REF!</v>
      </c>
      <c r="S12" s="210" t="e">
        <f aca="false">#REF!</f>
        <v>#REF!</v>
      </c>
      <c r="T12" s="211" t="e">
        <f aca="false">#REF!</f>
        <v>#REF!</v>
      </c>
      <c r="U12" s="211" t="e">
        <f aca="false">#REF!</f>
        <v>#REF!</v>
      </c>
      <c r="V12" s="211" t="e">
        <f aca="false">#REF!</f>
        <v>#REF!</v>
      </c>
      <c r="W12" s="211" t="e">
        <f aca="false">#REF!</f>
        <v>#REF!</v>
      </c>
      <c r="X12" s="211" t="e">
        <f aca="false">#REF!</f>
        <v>#REF!</v>
      </c>
      <c r="Y12" s="211" t="e">
        <f aca="false">#REF!</f>
        <v>#REF!</v>
      </c>
      <c r="Z12" s="212" t="e">
        <f aca="false">#REF!</f>
        <v>#REF!</v>
      </c>
      <c r="AA12" s="213" t="e">
        <f aca="false">IF(N12=0,,R12/N12*1000)</f>
        <v>#REF!</v>
      </c>
      <c r="AB12" s="214" t="e">
        <f aca="false">#REF!</f>
        <v>#REF!</v>
      </c>
    </row>
    <row r="13" customFormat="false" ht="15" hidden="false" customHeight="false" outlineLevel="0" collapsed="false">
      <c r="A13" s="18"/>
      <c r="B13" s="56" t="s">
        <v>102</v>
      </c>
      <c r="C13" s="26" t="e">
        <f aca="false">#REF!</f>
        <v>#REF!</v>
      </c>
      <c r="D13" s="14" t="e">
        <f aca="false">#REF!</f>
        <v>#REF!</v>
      </c>
      <c r="E13" s="15" t="e">
        <f aca="false">#REF!</f>
        <v>#REF!</v>
      </c>
      <c r="F13" s="15" t="e">
        <f aca="false">#REF!</f>
        <v>#REF!</v>
      </c>
      <c r="G13" s="15" t="e">
        <f aca="false">#REF!</f>
        <v>#REF!</v>
      </c>
      <c r="H13" s="15" t="e">
        <f aca="false">#REF!</f>
        <v>#REF!</v>
      </c>
      <c r="I13" s="15" t="e">
        <f aca="false">#REF!</f>
        <v>#REF!</v>
      </c>
      <c r="J13" s="15" t="e">
        <f aca="false">#REF!</f>
        <v>#REF!</v>
      </c>
      <c r="K13" s="15" t="e">
        <f aca="false">#REF!</f>
        <v>#REF!</v>
      </c>
      <c r="L13" s="15" t="e">
        <f aca="false">#REF!</f>
        <v>#REF!</v>
      </c>
      <c r="M13" s="16" t="e">
        <f aca="false">#REF!</f>
        <v>#REF!</v>
      </c>
      <c r="N13" s="157" t="e">
        <f aca="false">SUM(D13:M13)</f>
        <v>#REF!</v>
      </c>
      <c r="Q13" s="155" t="s">
        <v>102</v>
      </c>
      <c r="R13" s="26" t="e">
        <f aca="false">#REF!</f>
        <v>#REF!</v>
      </c>
      <c r="S13" s="14" t="e">
        <f aca="false">#REF!</f>
        <v>#REF!</v>
      </c>
      <c r="T13" s="15" t="e">
        <f aca="false">#REF!</f>
        <v>#REF!</v>
      </c>
      <c r="U13" s="15" t="e">
        <f aca="false">#REF!</f>
        <v>#REF!</v>
      </c>
      <c r="V13" s="15" t="e">
        <f aca="false">#REF!</f>
        <v>#REF!</v>
      </c>
      <c r="W13" s="15" t="e">
        <f aca="false">#REF!</f>
        <v>#REF!</v>
      </c>
      <c r="X13" s="15" t="e">
        <f aca="false">#REF!</f>
        <v>#REF!</v>
      </c>
      <c r="Y13" s="15" t="e">
        <f aca="false">#REF!</f>
        <v>#REF!</v>
      </c>
      <c r="Z13" s="16" t="e">
        <f aca="false">#REF!</f>
        <v>#REF!</v>
      </c>
      <c r="AA13" s="25" t="e">
        <f aca="false">IF(N13=0,,R13/N13*1000)</f>
        <v>#REF!</v>
      </c>
      <c r="AB13" s="156" t="e">
        <f aca="false">#REF!</f>
        <v>#REF!</v>
      </c>
    </row>
    <row r="14" customFormat="false" ht="15" hidden="false" customHeight="false" outlineLevel="0" collapsed="false">
      <c r="A14" s="18"/>
      <c r="B14" s="56" t="s">
        <v>173</v>
      </c>
      <c r="C14" s="26" t="e">
        <f aca="false">#REF!</f>
        <v>#REF!</v>
      </c>
      <c r="D14" s="14" t="e">
        <f aca="false">#REF!</f>
        <v>#REF!</v>
      </c>
      <c r="E14" s="15" t="e">
        <f aca="false">#REF!</f>
        <v>#REF!</v>
      </c>
      <c r="F14" s="15" t="e">
        <f aca="false">#REF!</f>
        <v>#REF!</v>
      </c>
      <c r="G14" s="15" t="e">
        <f aca="false">#REF!</f>
        <v>#REF!</v>
      </c>
      <c r="H14" s="15" t="e">
        <f aca="false">#REF!</f>
        <v>#REF!</v>
      </c>
      <c r="I14" s="15" t="e">
        <f aca="false">#REF!</f>
        <v>#REF!</v>
      </c>
      <c r="J14" s="15" t="e">
        <f aca="false">#REF!</f>
        <v>#REF!</v>
      </c>
      <c r="K14" s="15" t="e">
        <f aca="false">#REF!</f>
        <v>#REF!</v>
      </c>
      <c r="L14" s="15" t="e">
        <f aca="false">#REF!</f>
        <v>#REF!</v>
      </c>
      <c r="M14" s="16" t="e">
        <f aca="false">#REF!</f>
        <v>#REF!</v>
      </c>
      <c r="N14" s="157" t="e">
        <f aca="false">SUM(D14:M14)</f>
        <v>#REF!</v>
      </c>
      <c r="Q14" s="155" t="s">
        <v>174</v>
      </c>
      <c r="R14" s="26" t="e">
        <f aca="false">#REF!</f>
        <v>#REF!</v>
      </c>
      <c r="S14" s="14" t="e">
        <f aca="false">#REF!</f>
        <v>#REF!</v>
      </c>
      <c r="T14" s="15" t="e">
        <f aca="false">#REF!</f>
        <v>#REF!</v>
      </c>
      <c r="U14" s="15" t="e">
        <f aca="false">#REF!</f>
        <v>#REF!</v>
      </c>
      <c r="V14" s="15" t="e">
        <f aca="false">#REF!</f>
        <v>#REF!</v>
      </c>
      <c r="W14" s="15" t="e">
        <f aca="false">#REF!</f>
        <v>#REF!</v>
      </c>
      <c r="X14" s="15" t="e">
        <f aca="false">#REF!</f>
        <v>#REF!</v>
      </c>
      <c r="Y14" s="15" t="e">
        <f aca="false">#REF!</f>
        <v>#REF!</v>
      </c>
      <c r="Z14" s="16" t="e">
        <f aca="false">#REF!</f>
        <v>#REF!</v>
      </c>
      <c r="AA14" s="25" t="e">
        <f aca="false">IF(N14=0,,R14/N14*1000)</f>
        <v>#REF!</v>
      </c>
      <c r="AB14" s="156" t="e">
        <f aca="false">#REF!</f>
        <v>#REF!</v>
      </c>
    </row>
    <row r="15" customFormat="false" ht="15" hidden="false" customHeight="false" outlineLevel="0" collapsed="false">
      <c r="A15" s="18"/>
      <c r="B15" s="56" t="s">
        <v>174</v>
      </c>
      <c r="C15" s="26" t="e">
        <f aca="false">#REF!</f>
        <v>#REF!</v>
      </c>
      <c r="D15" s="14" t="e">
        <f aca="false">#REF!</f>
        <v>#REF!</v>
      </c>
      <c r="E15" s="15" t="e">
        <f aca="false">#REF!</f>
        <v>#REF!</v>
      </c>
      <c r="F15" s="15" t="e">
        <f aca="false">#REF!</f>
        <v>#REF!</v>
      </c>
      <c r="G15" s="15" t="e">
        <f aca="false">#REF!</f>
        <v>#REF!</v>
      </c>
      <c r="H15" s="15" t="e">
        <f aca="false">#REF!</f>
        <v>#REF!</v>
      </c>
      <c r="I15" s="15" t="e">
        <f aca="false">#REF!</f>
        <v>#REF!</v>
      </c>
      <c r="J15" s="15" t="e">
        <f aca="false">#REF!</f>
        <v>#REF!</v>
      </c>
      <c r="K15" s="15" t="e">
        <f aca="false">#REF!</f>
        <v>#REF!</v>
      </c>
      <c r="L15" s="15" t="e">
        <f aca="false">#REF!</f>
        <v>#REF!</v>
      </c>
      <c r="M15" s="16" t="e">
        <f aca="false">#REF!</f>
        <v>#REF!</v>
      </c>
      <c r="N15" s="157" t="e">
        <f aca="false">SUM(D15:M15)</f>
        <v>#REF!</v>
      </c>
      <c r="Q15" s="155" t="s">
        <v>173</v>
      </c>
      <c r="R15" s="26" t="e">
        <f aca="false">#REF!</f>
        <v>#REF!</v>
      </c>
      <c r="S15" s="14" t="e">
        <f aca="false">#REF!</f>
        <v>#REF!</v>
      </c>
      <c r="T15" s="15" t="e">
        <f aca="false">#REF!</f>
        <v>#REF!</v>
      </c>
      <c r="U15" s="15" t="e">
        <f aca="false">#REF!</f>
        <v>#REF!</v>
      </c>
      <c r="V15" s="15" t="e">
        <f aca="false">#REF!</f>
        <v>#REF!</v>
      </c>
      <c r="W15" s="15" t="e">
        <f aca="false">#REF!</f>
        <v>#REF!</v>
      </c>
      <c r="X15" s="15" t="e">
        <f aca="false">#REF!</f>
        <v>#REF!</v>
      </c>
      <c r="Y15" s="15" t="e">
        <f aca="false">#REF!</f>
        <v>#REF!</v>
      </c>
      <c r="Z15" s="16" t="e">
        <f aca="false">#REF!</f>
        <v>#REF!</v>
      </c>
      <c r="AA15" s="25" t="e">
        <f aca="false">IF(N15=0,,R15/N15*1000)</f>
        <v>#REF!</v>
      </c>
      <c r="AB15" s="156" t="e">
        <f aca="false">#REF!</f>
        <v>#REF!</v>
      </c>
    </row>
    <row r="16" customFormat="false" ht="15" hidden="false" customHeight="false" outlineLevel="0" collapsed="false">
      <c r="A16" s="18"/>
      <c r="B16" s="56" t="s">
        <v>154</v>
      </c>
      <c r="C16" s="26" t="e">
        <f aca="false">#REF!</f>
        <v>#REF!</v>
      </c>
      <c r="D16" s="14" t="e">
        <f aca="false">#REF!</f>
        <v>#REF!</v>
      </c>
      <c r="E16" s="15" t="e">
        <f aca="false">#REF!</f>
        <v>#REF!</v>
      </c>
      <c r="F16" s="15" t="e">
        <f aca="false">#REF!</f>
        <v>#REF!</v>
      </c>
      <c r="G16" s="15" t="e">
        <f aca="false">#REF!</f>
        <v>#REF!</v>
      </c>
      <c r="H16" s="15" t="e">
        <f aca="false">#REF!</f>
        <v>#REF!</v>
      </c>
      <c r="I16" s="15" t="e">
        <f aca="false">#REF!</f>
        <v>#REF!</v>
      </c>
      <c r="J16" s="15" t="e">
        <f aca="false">#REF!</f>
        <v>#REF!</v>
      </c>
      <c r="K16" s="15" t="e">
        <f aca="false">#REF!</f>
        <v>#REF!</v>
      </c>
      <c r="L16" s="15" t="e">
        <f aca="false">#REF!</f>
        <v>#REF!</v>
      </c>
      <c r="M16" s="16" t="e">
        <f aca="false">#REF!</f>
        <v>#REF!</v>
      </c>
      <c r="N16" s="157" t="e">
        <f aca="false">SUM(D16:M16)</f>
        <v>#REF!</v>
      </c>
      <c r="Q16" s="155" t="s">
        <v>154</v>
      </c>
      <c r="R16" s="26" t="e">
        <f aca="false">#REF!</f>
        <v>#REF!</v>
      </c>
      <c r="S16" s="14" t="e">
        <f aca="false">#REF!</f>
        <v>#REF!</v>
      </c>
      <c r="T16" s="15" t="e">
        <f aca="false">#REF!</f>
        <v>#REF!</v>
      </c>
      <c r="U16" s="15" t="e">
        <f aca="false">#REF!</f>
        <v>#REF!</v>
      </c>
      <c r="V16" s="15" t="e">
        <f aca="false">#REF!</f>
        <v>#REF!</v>
      </c>
      <c r="W16" s="15" t="e">
        <f aca="false">#REF!</f>
        <v>#REF!</v>
      </c>
      <c r="X16" s="15" t="e">
        <f aca="false">#REF!</f>
        <v>#REF!</v>
      </c>
      <c r="Y16" s="15" t="e">
        <f aca="false">#REF!</f>
        <v>#REF!</v>
      </c>
      <c r="Z16" s="16" t="e">
        <f aca="false">#REF!</f>
        <v>#REF!</v>
      </c>
      <c r="AA16" s="25" t="e">
        <f aca="false">IF(N16=0,,R16/N16*1000)</f>
        <v>#REF!</v>
      </c>
      <c r="AB16" s="156" t="e">
        <f aca="false">#REF!</f>
        <v>#REF!</v>
      </c>
    </row>
    <row r="17" customFormat="false" ht="15" hidden="false" customHeight="false" outlineLevel="0" collapsed="false">
      <c r="A17" s="18"/>
      <c r="B17" s="56" t="s">
        <v>87</v>
      </c>
      <c r="C17" s="26" t="e">
        <f aca="false">#REF!</f>
        <v>#REF!</v>
      </c>
      <c r="D17" s="14" t="e">
        <f aca="false">#REF!</f>
        <v>#REF!</v>
      </c>
      <c r="E17" s="15" t="e">
        <f aca="false">#REF!</f>
        <v>#REF!</v>
      </c>
      <c r="F17" s="15" t="e">
        <f aca="false">#REF!</f>
        <v>#REF!</v>
      </c>
      <c r="G17" s="15" t="e">
        <f aca="false">#REF!</f>
        <v>#REF!</v>
      </c>
      <c r="H17" s="15" t="e">
        <f aca="false">#REF!</f>
        <v>#REF!</v>
      </c>
      <c r="I17" s="15" t="e">
        <f aca="false">#REF!</f>
        <v>#REF!</v>
      </c>
      <c r="J17" s="15" t="e">
        <f aca="false">#REF!</f>
        <v>#REF!</v>
      </c>
      <c r="K17" s="15" t="e">
        <f aca="false">#REF!</f>
        <v>#REF!</v>
      </c>
      <c r="L17" s="15" t="e">
        <f aca="false">#REF!</f>
        <v>#REF!</v>
      </c>
      <c r="M17" s="16" t="e">
        <f aca="false">#REF!</f>
        <v>#REF!</v>
      </c>
      <c r="N17" s="157" t="e">
        <f aca="false">SUM(D17:M17)</f>
        <v>#REF!</v>
      </c>
      <c r="Q17" s="155" t="s">
        <v>87</v>
      </c>
      <c r="R17" s="26" t="e">
        <f aca="false">#REF!</f>
        <v>#REF!</v>
      </c>
      <c r="S17" s="14" t="e">
        <f aca="false">#REF!</f>
        <v>#REF!</v>
      </c>
      <c r="T17" s="15" t="e">
        <f aca="false">#REF!</f>
        <v>#REF!</v>
      </c>
      <c r="U17" s="15" t="e">
        <f aca="false">#REF!</f>
        <v>#REF!</v>
      </c>
      <c r="V17" s="15" t="e">
        <f aca="false">#REF!</f>
        <v>#REF!</v>
      </c>
      <c r="W17" s="15" t="e">
        <f aca="false">#REF!</f>
        <v>#REF!</v>
      </c>
      <c r="X17" s="15" t="e">
        <f aca="false">#REF!</f>
        <v>#REF!</v>
      </c>
      <c r="Y17" s="15" t="e">
        <f aca="false">#REF!</f>
        <v>#REF!</v>
      </c>
      <c r="Z17" s="16" t="e">
        <f aca="false">#REF!</f>
        <v>#REF!</v>
      </c>
      <c r="AA17" s="25" t="e">
        <f aca="false">IF(N17=0,,R17/N17*1000)</f>
        <v>#REF!</v>
      </c>
      <c r="AB17" s="156" t="e">
        <f aca="false">#REF!</f>
        <v>#REF!</v>
      </c>
    </row>
    <row r="18" customFormat="false" ht="15" hidden="false" customHeight="false" outlineLevel="0" collapsed="false">
      <c r="B18" s="56" t="s">
        <v>175</v>
      </c>
      <c r="C18" s="26" t="e">
        <f aca="false">#REF!</f>
        <v>#REF!</v>
      </c>
      <c r="D18" s="14" t="e">
        <f aca="false">#REF!</f>
        <v>#REF!</v>
      </c>
      <c r="E18" s="15" t="e">
        <f aca="false">#REF!</f>
        <v>#REF!</v>
      </c>
      <c r="F18" s="15" t="e">
        <f aca="false">#REF!</f>
        <v>#REF!</v>
      </c>
      <c r="G18" s="15" t="e">
        <f aca="false">#REF!</f>
        <v>#REF!</v>
      </c>
      <c r="H18" s="15" t="e">
        <f aca="false">#REF!</f>
        <v>#REF!</v>
      </c>
      <c r="I18" s="15" t="e">
        <f aca="false">#REF!</f>
        <v>#REF!</v>
      </c>
      <c r="J18" s="15" t="e">
        <f aca="false">#REF!</f>
        <v>#REF!</v>
      </c>
      <c r="K18" s="15" t="e">
        <f aca="false">#REF!</f>
        <v>#REF!</v>
      </c>
      <c r="L18" s="15" t="e">
        <f aca="false">#REF!</f>
        <v>#REF!</v>
      </c>
      <c r="M18" s="16" t="e">
        <f aca="false">#REF!</f>
        <v>#REF!</v>
      </c>
      <c r="N18" s="157" t="e">
        <f aca="false">SUM(D18:M18)</f>
        <v>#REF!</v>
      </c>
      <c r="Q18" s="155"/>
      <c r="R18" s="26" t="e">
        <f aca="false">#REF!</f>
        <v>#REF!</v>
      </c>
      <c r="S18" s="14" t="e">
        <f aca="false">#REF!</f>
        <v>#REF!</v>
      </c>
      <c r="T18" s="15" t="e">
        <f aca="false">#REF!</f>
        <v>#REF!</v>
      </c>
      <c r="U18" s="15" t="e">
        <f aca="false">#REF!</f>
        <v>#REF!</v>
      </c>
      <c r="V18" s="15" t="e">
        <f aca="false">#REF!</f>
        <v>#REF!</v>
      </c>
      <c r="W18" s="15" t="e">
        <f aca="false">#REF!</f>
        <v>#REF!</v>
      </c>
      <c r="X18" s="15" t="e">
        <f aca="false">#REF!</f>
        <v>#REF!</v>
      </c>
      <c r="Y18" s="15" t="e">
        <f aca="false">#REF!</f>
        <v>#REF!</v>
      </c>
      <c r="Z18" s="16" t="e">
        <f aca="false">#REF!</f>
        <v>#REF!</v>
      </c>
      <c r="AA18" s="25" t="e">
        <f aca="false">IF(N18=0,,R18/N18*1000)</f>
        <v>#REF!</v>
      </c>
      <c r="AB18" s="156" t="e">
        <f aca="false">#REF!</f>
        <v>#REF!</v>
      </c>
    </row>
    <row r="19" customFormat="false" ht="15" hidden="false" customHeight="false" outlineLevel="0" collapsed="false">
      <c r="A19" s="18"/>
      <c r="B19" s="56" t="s">
        <v>131</v>
      </c>
      <c r="C19" s="26" t="e">
        <f aca="false">C53</f>
        <v>#REF!</v>
      </c>
      <c r="D19" s="14" t="e">
        <f aca="false">D53</f>
        <v>#REF!</v>
      </c>
      <c r="E19" s="15" t="n">
        <f aca="false">E53</f>
        <v>3872.6865995</v>
      </c>
      <c r="F19" s="15" t="n">
        <f aca="false">F53</f>
        <v>283604.7040392</v>
      </c>
      <c r="G19" s="15" t="n">
        <f aca="false">G53</f>
        <v>6003.3885326</v>
      </c>
      <c r="H19" s="15" t="n">
        <f aca="false">H53</f>
        <v>462.6979549</v>
      </c>
      <c r="I19" s="15" t="n">
        <f aca="false">I53</f>
        <v>20.8495259</v>
      </c>
      <c r="J19" s="15" t="n">
        <f aca="false">J53</f>
        <v>30.2869127</v>
      </c>
      <c r="K19" s="15" t="n">
        <f aca="false">K53</f>
        <v>0</v>
      </c>
      <c r="L19" s="15" t="n">
        <f aca="false">L53</f>
        <v>0</v>
      </c>
      <c r="M19" s="16" t="n">
        <f aca="false">M53</f>
        <v>0</v>
      </c>
      <c r="N19" s="157" t="e">
        <f aca="false">SUM(D19:M19)</f>
        <v>#REF!</v>
      </c>
      <c r="Q19" s="155" t="s">
        <v>131</v>
      </c>
      <c r="R19" s="26" t="n">
        <f aca="false">R53</f>
        <v>298059.79447338</v>
      </c>
      <c r="S19" s="14" t="n">
        <f aca="false">S53</f>
        <v>286116.356322765</v>
      </c>
      <c r="T19" s="15" t="n">
        <f aca="false">T53</f>
        <v>10614.0500317121</v>
      </c>
      <c r="U19" s="15" t="n">
        <f aca="false">U53</f>
        <v>1162.97229338797</v>
      </c>
      <c r="V19" s="15" t="n">
        <f aca="false">V53</f>
        <v>67.7229491248119</v>
      </c>
      <c r="W19" s="15" t="n">
        <f aca="false">W53</f>
        <v>98.6928763910026</v>
      </c>
      <c r="X19" s="15" t="n">
        <f aca="false">X53</f>
        <v>0</v>
      </c>
      <c r="Y19" s="15" t="n">
        <f aca="false">Y53</f>
        <v>0</v>
      </c>
      <c r="Z19" s="16" t="n">
        <f aca="false">Z53</f>
        <v>0</v>
      </c>
      <c r="AA19" s="25" t="e">
        <f aca="false">IF(N19=0,,R19/N19*1000)</f>
        <v>#REF!</v>
      </c>
      <c r="AB19" s="156" t="n">
        <f aca="false">AB53</f>
        <v>298115.24</v>
      </c>
    </row>
    <row r="20" customFormat="false" ht="15" hidden="false" customHeight="false" outlineLevel="0" collapsed="false">
      <c r="A20" s="18"/>
      <c r="B20" s="56" t="s">
        <v>155</v>
      </c>
      <c r="C20" s="26" t="e">
        <f aca="false">#REF!</f>
        <v>#REF!</v>
      </c>
      <c r="D20" s="14" t="e">
        <f aca="false">#REF!</f>
        <v>#REF!</v>
      </c>
      <c r="E20" s="15" t="e">
        <f aca="false">#REF!</f>
        <v>#REF!</v>
      </c>
      <c r="F20" s="15" t="e">
        <f aca="false">#REF!</f>
        <v>#REF!</v>
      </c>
      <c r="G20" s="15" t="e">
        <f aca="false">#REF!</f>
        <v>#REF!</v>
      </c>
      <c r="H20" s="15" t="e">
        <f aca="false">#REF!</f>
        <v>#REF!</v>
      </c>
      <c r="I20" s="15" t="e">
        <f aca="false">#REF!</f>
        <v>#REF!</v>
      </c>
      <c r="J20" s="15" t="e">
        <f aca="false">#REF!</f>
        <v>#REF!</v>
      </c>
      <c r="K20" s="15" t="e">
        <f aca="false">#REF!</f>
        <v>#REF!</v>
      </c>
      <c r="L20" s="15" t="e">
        <f aca="false">#REF!</f>
        <v>#REF!</v>
      </c>
      <c r="M20" s="16" t="e">
        <f aca="false">#REF!</f>
        <v>#REF!</v>
      </c>
      <c r="N20" s="157" t="e">
        <f aca="false">SUM(D20:M20)</f>
        <v>#REF!</v>
      </c>
      <c r="Q20" s="155" t="s">
        <v>167</v>
      </c>
      <c r="R20" s="26" t="e">
        <f aca="false">#REF!</f>
        <v>#REF!</v>
      </c>
      <c r="S20" s="14" t="e">
        <f aca="false">#REF!</f>
        <v>#REF!</v>
      </c>
      <c r="T20" s="15" t="e">
        <f aca="false">#REF!</f>
        <v>#REF!</v>
      </c>
      <c r="U20" s="15" t="e">
        <f aca="false">#REF!</f>
        <v>#REF!</v>
      </c>
      <c r="V20" s="15" t="e">
        <f aca="false">#REF!</f>
        <v>#REF!</v>
      </c>
      <c r="W20" s="15" t="e">
        <f aca="false">#REF!</f>
        <v>#REF!</v>
      </c>
      <c r="X20" s="15" t="e">
        <f aca="false">#REF!</f>
        <v>#REF!</v>
      </c>
      <c r="Y20" s="15" t="e">
        <f aca="false">#REF!</f>
        <v>#REF!</v>
      </c>
      <c r="Z20" s="16" t="e">
        <f aca="false">#REF!</f>
        <v>#REF!</v>
      </c>
      <c r="AA20" s="25" t="e">
        <f aca="false">IF(N20=0,,R20/N20*1000)</f>
        <v>#REF!</v>
      </c>
      <c r="AB20" s="156" t="e">
        <f aca="false">#REF!</f>
        <v>#REF!</v>
      </c>
    </row>
    <row r="21" customFormat="false" ht="15.75" hidden="false" customHeight="false" outlineLevel="0" collapsed="false">
      <c r="A21" s="18"/>
      <c r="B21" s="56" t="s">
        <v>168</v>
      </c>
      <c r="C21" s="26" t="n">
        <f aca="false">C61</f>
        <v>1428908.77666468</v>
      </c>
      <c r="D21" s="14" t="n">
        <f aca="false">D61</f>
        <v>68.4829232563957</v>
      </c>
      <c r="E21" s="15" t="n">
        <f aca="false">E61</f>
        <v>23.5616980070076</v>
      </c>
      <c r="F21" s="15" t="n">
        <f aca="false">F61</f>
        <v>2641.55959432703</v>
      </c>
      <c r="G21" s="15" t="n">
        <f aca="false">G61</f>
        <v>748348.742509551</v>
      </c>
      <c r="H21" s="15" t="n">
        <f aca="false">H61</f>
        <v>389489.877299164</v>
      </c>
      <c r="I21" s="15" t="n">
        <f aca="false">I61</f>
        <v>60040.9698044277</v>
      </c>
      <c r="J21" s="15" t="n">
        <f aca="false">J61</f>
        <v>134807.587221844</v>
      </c>
      <c r="K21" s="15" t="n">
        <f aca="false">K61</f>
        <v>33974.1607779725</v>
      </c>
      <c r="L21" s="15" t="n">
        <f aca="false">L61</f>
        <v>33314.5444059845</v>
      </c>
      <c r="M21" s="16" t="n">
        <f aca="false">M61</f>
        <v>26199.2904301452</v>
      </c>
      <c r="N21" s="157" t="n">
        <f aca="false">SUM(D21:M21)</f>
        <v>1428908.77666468</v>
      </c>
      <c r="Q21" s="155" t="s">
        <v>168</v>
      </c>
      <c r="R21" s="26" t="n">
        <f aca="false">R63</f>
        <v>3389979.48276012</v>
      </c>
      <c r="S21" s="14" t="n">
        <f aca="false">S63</f>
        <v>2701.58071280932</v>
      </c>
      <c r="T21" s="15" t="n">
        <f aca="false">T63</f>
        <v>1341115.48872453</v>
      </c>
      <c r="U21" s="15" t="n">
        <f aca="false">U63</f>
        <v>992367.804143093</v>
      </c>
      <c r="V21" s="15" t="n">
        <f aca="false">V63</f>
        <v>197712.827411643</v>
      </c>
      <c r="W21" s="15" t="n">
        <f aca="false">W63</f>
        <v>445340.8713176</v>
      </c>
      <c r="X21" s="15" t="n">
        <f aca="false">X63</f>
        <v>137645.422305973</v>
      </c>
      <c r="Y21" s="15" t="n">
        <f aca="false">Y63</f>
        <v>135236.966705877</v>
      </c>
      <c r="Z21" s="16" t="n">
        <f aca="false">Z63</f>
        <v>137858.521438591</v>
      </c>
      <c r="AA21" s="25" t="n">
        <f aca="false">IF(N21=0,,R21/N21*1000)</f>
        <v>2372.42540470143</v>
      </c>
      <c r="AB21" s="156" t="n">
        <f aca="false">AB63</f>
        <v>3389979.48276012</v>
      </c>
    </row>
    <row r="22" customFormat="false" ht="15" hidden="false" customHeight="false" outlineLevel="0" collapsed="false">
      <c r="A22" s="18"/>
      <c r="B22" s="160" t="s">
        <v>169</v>
      </c>
      <c r="C22" s="161" t="e">
        <f aca="false">C12-SUM(C13:C21)</f>
        <v>#REF!</v>
      </c>
      <c r="D22" s="162" t="e">
        <f aca="false">D12-SUM(D13:D21)</f>
        <v>#REF!</v>
      </c>
      <c r="E22" s="163" t="e">
        <f aca="false">E12-SUM(E13:E21)</f>
        <v>#REF!</v>
      </c>
      <c r="F22" s="163" t="e">
        <f aca="false">F12-SUM(F13:F21)</f>
        <v>#REF!</v>
      </c>
      <c r="G22" s="163" t="e">
        <f aca="false">G12-SUM(G13:G21)</f>
        <v>#REF!</v>
      </c>
      <c r="H22" s="163" t="e">
        <f aca="false">H12-SUM(H13:H21)</f>
        <v>#REF!</v>
      </c>
      <c r="I22" s="163" t="e">
        <f aca="false">I12-SUM(I13:I21)</f>
        <v>#REF!</v>
      </c>
      <c r="J22" s="163" t="e">
        <f aca="false">J12-SUM(J13:J21)</f>
        <v>#REF!</v>
      </c>
      <c r="K22" s="163" t="e">
        <f aca="false">K12-SUM(K13:K21)</f>
        <v>#REF!</v>
      </c>
      <c r="L22" s="163" t="e">
        <f aca="false">L12-SUM(L13:L21)</f>
        <v>#REF!</v>
      </c>
      <c r="M22" s="164" t="e">
        <f aca="false">M12-SUM(M13:M21)</f>
        <v>#REF!</v>
      </c>
      <c r="N22" s="165" t="e">
        <f aca="false">SUM(D22:M22)</f>
        <v>#REF!</v>
      </c>
      <c r="Q22" s="166" t="s">
        <v>169</v>
      </c>
      <c r="R22" s="167" t="e">
        <f aca="false">R12-SUM(R13:R21)</f>
        <v>#REF!</v>
      </c>
      <c r="S22" s="168" t="e">
        <f aca="false">S12-SUM(S13:S21)</f>
        <v>#REF!</v>
      </c>
      <c r="T22" s="169" t="e">
        <f aca="false">T12-SUM(T13:T21)</f>
        <v>#REF!</v>
      </c>
      <c r="U22" s="169" t="e">
        <f aca="false">U12-SUM(U13:U21)</f>
        <v>#REF!</v>
      </c>
      <c r="V22" s="169" t="e">
        <f aca="false">V12-SUM(V13:V21)</f>
        <v>#REF!</v>
      </c>
      <c r="W22" s="169" t="e">
        <f aca="false">W12-SUM(W13:W21)</f>
        <v>#REF!</v>
      </c>
      <c r="X22" s="169" t="e">
        <f aca="false">X12-SUM(X13:X21)</f>
        <v>#REF!</v>
      </c>
      <c r="Y22" s="169" t="e">
        <f aca="false">Y12-SUM(Y13:Y21)</f>
        <v>#REF!</v>
      </c>
      <c r="Z22" s="170" t="e">
        <f aca="false">Z12-SUM(Z13:Z21)</f>
        <v>#REF!</v>
      </c>
      <c r="AA22" s="171" t="e">
        <f aca="false">IF(N22=0,,R22/N22*1000)</f>
        <v>#REF!</v>
      </c>
      <c r="AB22" s="172" t="e">
        <f aca="false">AB12-SUM(AB13:AB21)</f>
        <v>#REF!</v>
      </c>
    </row>
    <row r="23" customFormat="false" ht="15.75" hidden="false" customHeight="false" outlineLevel="0" collapsed="false">
      <c r="A23" s="18"/>
      <c r="B23" s="173" t="s">
        <v>170</v>
      </c>
      <c r="C23" s="174" t="n">
        <f aca="false">C58</f>
        <v>7276881.78</v>
      </c>
      <c r="D23" s="175" t="n">
        <f aca="false">D58</f>
        <v>2774.16463725737</v>
      </c>
      <c r="E23" s="176" t="n">
        <f aca="false">E58</f>
        <v>74168.6659224839</v>
      </c>
      <c r="F23" s="176" t="n">
        <f aca="false">F58</f>
        <v>6945285.61204802</v>
      </c>
      <c r="G23" s="176" t="n">
        <f aca="false">G58</f>
        <v>248168.119945331</v>
      </c>
      <c r="H23" s="176" t="n">
        <f aca="false">H58</f>
        <v>6407.40471117668</v>
      </c>
      <c r="I23" s="176" t="n">
        <f aca="false">I58</f>
        <v>40.642749180131</v>
      </c>
      <c r="J23" s="176" t="n">
        <f aca="false">J58</f>
        <v>37.1079042674927</v>
      </c>
      <c r="K23" s="176" t="n">
        <f aca="false">K58</f>
        <v>0.0285112420665933</v>
      </c>
      <c r="L23" s="176" t="n">
        <f aca="false">L58</f>
        <v>0.0114044962045567</v>
      </c>
      <c r="M23" s="177" t="n">
        <f aca="false">M58</f>
        <v>0.0221665412612334</v>
      </c>
      <c r="N23" s="178" t="n">
        <f aca="false">SUM(D23:M23)</f>
        <v>7276881.78</v>
      </c>
      <c r="Q23" s="179" t="s">
        <v>170</v>
      </c>
      <c r="R23" s="180" t="n">
        <f aca="false">R58</f>
        <v>7462310.82269071</v>
      </c>
      <c r="S23" s="181" t="n">
        <f aca="false">S58</f>
        <v>7007213.65664902</v>
      </c>
      <c r="T23" s="182" t="n">
        <f aca="false">T58</f>
        <v>438739.068575229</v>
      </c>
      <c r="U23" s="182" t="n">
        <f aca="false">U58</f>
        <v>16104.8627761221</v>
      </c>
      <c r="V23" s="182" t="n">
        <f aca="false">V58</f>
        <v>132.02893417953</v>
      </c>
      <c r="W23" s="182" t="n">
        <f aca="false">W58</f>
        <v>120.932551738754</v>
      </c>
      <c r="X23" s="182" t="n">
        <f aca="false">X58</f>
        <v>0.113954688889475</v>
      </c>
      <c r="Y23" s="182" t="n">
        <f aca="false">Y58</f>
        <v>0.0456710162371092</v>
      </c>
      <c r="Z23" s="183" t="n">
        <f aca="false">Z58</f>
        <v>0.113578714616864</v>
      </c>
      <c r="AA23" s="184" t="n">
        <f aca="false">IF(N23=0,,R23/N23*1000)</f>
        <v>1025.48193694727</v>
      </c>
      <c r="AB23" s="185" t="n">
        <f aca="false">AB58</f>
        <v>7503099.28</v>
      </c>
    </row>
    <row r="24" customFormat="false" ht="15" hidden="false" customHeight="false" outlineLevel="0" collapsed="false">
      <c r="B24" s="56"/>
      <c r="C24" s="26" t="e">
        <f aca="false">C23-C22</f>
        <v>#REF!</v>
      </c>
      <c r="D24" s="14" t="e">
        <f aca="false">D23-D22</f>
        <v>#REF!</v>
      </c>
      <c r="E24" s="15" t="e">
        <f aca="false">E23-E22</f>
        <v>#REF!</v>
      </c>
      <c r="F24" s="15" t="e">
        <f aca="false">F23-F22</f>
        <v>#REF!</v>
      </c>
      <c r="G24" s="15" t="e">
        <f aca="false">G23-G22</f>
        <v>#REF!</v>
      </c>
      <c r="H24" s="15" t="e">
        <f aca="false">H23-H22</f>
        <v>#REF!</v>
      </c>
      <c r="I24" s="15" t="e">
        <f aca="false">I23-I22</f>
        <v>#REF!</v>
      </c>
      <c r="J24" s="15" t="e">
        <f aca="false">J23-J22</f>
        <v>#REF!</v>
      </c>
      <c r="K24" s="15" t="e">
        <f aca="false">K23-K22</f>
        <v>#REF!</v>
      </c>
      <c r="L24" s="15" t="e">
        <f aca="false">L23-L22</f>
        <v>#REF!</v>
      </c>
      <c r="M24" s="16" t="e">
        <f aca="false">M23-M22</f>
        <v>#REF!</v>
      </c>
      <c r="N24" s="157" t="e">
        <f aca="false">SUM(D24:M24)</f>
        <v>#REF!</v>
      </c>
      <c r="Q24" s="155"/>
      <c r="R24" s="26" t="e">
        <f aca="false">R23-R22</f>
        <v>#REF!</v>
      </c>
      <c r="S24" s="14" t="e">
        <f aca="false">S23-S22</f>
        <v>#REF!</v>
      </c>
      <c r="T24" s="15" t="e">
        <f aca="false">T23-T22</f>
        <v>#REF!</v>
      </c>
      <c r="U24" s="15" t="e">
        <f aca="false">U23-U22</f>
        <v>#REF!</v>
      </c>
      <c r="V24" s="15" t="e">
        <f aca="false">V23-V22</f>
        <v>#REF!</v>
      </c>
      <c r="W24" s="15" t="e">
        <f aca="false">W23-W22</f>
        <v>#REF!</v>
      </c>
      <c r="X24" s="15" t="e">
        <f aca="false">X23-X22</f>
        <v>#REF!</v>
      </c>
      <c r="Y24" s="15" t="e">
        <f aca="false">Y23-Y22</f>
        <v>#REF!</v>
      </c>
      <c r="Z24" s="16" t="e">
        <f aca="false">Z23-Z22</f>
        <v>#REF!</v>
      </c>
      <c r="AA24" s="25"/>
      <c r="AB24" s="156" t="e">
        <f aca="false">AB23-AB22</f>
        <v>#REF!</v>
      </c>
    </row>
    <row r="25" customFormat="false" ht="15.75" hidden="false" customHeight="false" outlineLevel="0" collapsed="false">
      <c r="B25" s="56"/>
      <c r="C25" s="191" t="e">
        <f aca="false">C24/C12</f>
        <v>#REF!</v>
      </c>
      <c r="D25" s="192" t="e">
        <f aca="false">D24/D12</f>
        <v>#REF!</v>
      </c>
      <c r="E25" s="193" t="e">
        <f aca="false">E24/E12</f>
        <v>#REF!</v>
      </c>
      <c r="F25" s="193" t="e">
        <f aca="false">F24/F12</f>
        <v>#REF!</v>
      </c>
      <c r="G25" s="193" t="e">
        <f aca="false">G24/G12</f>
        <v>#REF!</v>
      </c>
      <c r="H25" s="193" t="e">
        <f aca="false">H24/H12</f>
        <v>#REF!</v>
      </c>
      <c r="I25" s="193" t="e">
        <f aca="false">I24/I12</f>
        <v>#REF!</v>
      </c>
      <c r="J25" s="193" t="e">
        <f aca="false">J24/J12</f>
        <v>#REF!</v>
      </c>
      <c r="K25" s="193" t="e">
        <f aca="false">K24/K12</f>
        <v>#REF!</v>
      </c>
      <c r="L25" s="193" t="e">
        <f aca="false">L24/L12</f>
        <v>#REF!</v>
      </c>
      <c r="M25" s="194" t="e">
        <f aca="false">M24/M12</f>
        <v>#REF!</v>
      </c>
      <c r="N25" s="215"/>
      <c r="Q25" s="196"/>
      <c r="R25" s="197" t="e">
        <f aca="false">R24/R12</f>
        <v>#REF!</v>
      </c>
      <c r="S25" s="198" t="e">
        <f aca="false">S24/S12</f>
        <v>#REF!</v>
      </c>
      <c r="T25" s="199" t="e">
        <f aca="false">T24/T12</f>
        <v>#REF!</v>
      </c>
      <c r="U25" s="199" t="e">
        <f aca="false">U24/U12</f>
        <v>#REF!</v>
      </c>
      <c r="V25" s="199" t="e">
        <f aca="false">V24/V12</f>
        <v>#REF!</v>
      </c>
      <c r="W25" s="199" t="e">
        <f aca="false">W24/W12</f>
        <v>#REF!</v>
      </c>
      <c r="X25" s="199" t="e">
        <f aca="false">X24/X12</f>
        <v>#REF!</v>
      </c>
      <c r="Y25" s="199" t="e">
        <f aca="false">Y24/Y12</f>
        <v>#REF!</v>
      </c>
      <c r="Z25" s="200" t="e">
        <f aca="false">Z24/Z12</f>
        <v>#REF!</v>
      </c>
      <c r="AA25" s="67"/>
      <c r="AB25" s="216" t="e">
        <f aca="false">AB24/AB12</f>
        <v>#REF!</v>
      </c>
    </row>
    <row r="26" customFormat="false" ht="15.75" hidden="false" customHeight="false" outlineLevel="0" collapsed="false">
      <c r="B26" s="202" t="s">
        <v>169</v>
      </c>
      <c r="C26" s="203"/>
      <c r="D26" s="204" t="e">
        <f aca="false">IF($D22=0,0,D22/$C22*100)</f>
        <v>#REF!</v>
      </c>
      <c r="E26" s="205" t="e">
        <f aca="false">IF($D22=0,0,E22/$C22*100)</f>
        <v>#REF!</v>
      </c>
      <c r="F26" s="205" t="e">
        <f aca="false">IF($D22=0,0,F22/$C22*100)</f>
        <v>#REF!</v>
      </c>
      <c r="G26" s="205" t="e">
        <f aca="false">IF($D22=0,0,G22/$C22*100)</f>
        <v>#REF!</v>
      </c>
      <c r="H26" s="205" t="e">
        <f aca="false">IF($D22=0,0,H22/$C22*100)</f>
        <v>#REF!</v>
      </c>
      <c r="I26" s="205" t="e">
        <f aca="false">IF($D22=0,0,I22/$C22*100)</f>
        <v>#REF!</v>
      </c>
      <c r="J26" s="205" t="e">
        <f aca="false">IF($D22=0,0,J22/$C22*100)</f>
        <v>#REF!</v>
      </c>
      <c r="K26" s="205" t="e">
        <f aca="false">IF($D22=0,0,K22/$C22*100)</f>
        <v>#REF!</v>
      </c>
      <c r="L26" s="205" t="e">
        <f aca="false">IF($D22=0,0,L22/$C22*100)</f>
        <v>#REF!</v>
      </c>
      <c r="M26" s="206" t="e">
        <f aca="false">IF($D22=0,0,M22/$C22*100)</f>
        <v>#REF!</v>
      </c>
      <c r="N26" s="207" t="e">
        <f aca="false">SUM(D26:M26)</f>
        <v>#REF!</v>
      </c>
      <c r="AA26" s="186"/>
    </row>
    <row r="27" customFormat="false" ht="15.75" hidden="false" customHeight="false" outlineLevel="0" collapsed="false">
      <c r="B27" s="202" t="s">
        <v>171</v>
      </c>
      <c r="C27" s="203"/>
      <c r="D27" s="204" t="n">
        <f aca="false">IF($D23=0,0,D23/$C23*100)</f>
        <v>0.038122986206564</v>
      </c>
      <c r="E27" s="205" t="n">
        <f aca="false">IF($D23=0,0,E23/$C23*100)</f>
        <v>1.01923692269306</v>
      </c>
      <c r="F27" s="205" t="n">
        <f aca="false">IF($D23=0,0,F23/$C23*100)</f>
        <v>95.4431557640067</v>
      </c>
      <c r="G27" s="205" t="n">
        <f aca="false">IF($D23=0,0,G23/$C23*100)</f>
        <v>3.41036349700505</v>
      </c>
      <c r="H27" s="205" t="n">
        <f aca="false">IF($D23=0,0,H23/$C23*100)</f>
        <v>0.0880515158125419</v>
      </c>
      <c r="I27" s="205" t="n">
        <f aca="false">IF($D23=0,0,I23/$C23*100)</f>
        <v>0.000558518750322903</v>
      </c>
      <c r="J27" s="205" t="n">
        <f aca="false">IF($D23=0,0,J23/$C23*100)</f>
        <v>0.000509942381769636</v>
      </c>
      <c r="K27" s="205" t="n">
        <f aca="false">IF($D23=0,0,K23/$C23*100)</f>
        <v>3.9180576143142E-007</v>
      </c>
      <c r="L27" s="205" t="n">
        <f aca="false">IF($D23=0,0,L23/$C23*100)</f>
        <v>1.56722296023843E-007</v>
      </c>
      <c r="M27" s="206" t="n">
        <f aca="false">IF($D23=0,0,M23/$C23*100)</f>
        <v>3.04615932089986E-007</v>
      </c>
      <c r="N27" s="207" t="n">
        <f aca="false">SUM(D27:M27)</f>
        <v>100</v>
      </c>
      <c r="AA27" s="186"/>
    </row>
    <row r="28" customFormat="false" ht="15.75" hidden="false" customHeight="false" outlineLevel="0" collapsed="false">
      <c r="B28" s="56" t="s">
        <v>176</v>
      </c>
      <c r="C28" s="217" t="n">
        <f aca="false">C58</f>
        <v>7276881.78</v>
      </c>
      <c r="D28" s="218" t="n">
        <f aca="false">D58</f>
        <v>2774.16463725737</v>
      </c>
      <c r="E28" s="219" t="n">
        <f aca="false">E58</f>
        <v>74168.6659224839</v>
      </c>
      <c r="F28" s="219" t="n">
        <f aca="false">F58</f>
        <v>6945285.61204802</v>
      </c>
      <c r="G28" s="219" t="n">
        <f aca="false">G58</f>
        <v>248168.119945331</v>
      </c>
      <c r="H28" s="219" t="n">
        <f aca="false">H58</f>
        <v>6407.40471117668</v>
      </c>
      <c r="I28" s="219" t="n">
        <f aca="false">I58</f>
        <v>40.642749180131</v>
      </c>
      <c r="J28" s="219" t="n">
        <f aca="false">J58</f>
        <v>37.1079042674927</v>
      </c>
      <c r="K28" s="219" t="n">
        <f aca="false">K58</f>
        <v>0.0285112420665933</v>
      </c>
      <c r="L28" s="219" t="n">
        <f aca="false">L58</f>
        <v>0.0114044962045567</v>
      </c>
      <c r="M28" s="220" t="n">
        <f aca="false">M58</f>
        <v>0.0221665412612334</v>
      </c>
      <c r="N28" s="157" t="n">
        <f aca="false">N58</f>
        <v>7276881.78</v>
      </c>
      <c r="Q28" s="221" t="s">
        <v>176</v>
      </c>
      <c r="R28" s="222" t="n">
        <f aca="false">R58</f>
        <v>7462310.82269071</v>
      </c>
      <c r="S28" s="223" t="n">
        <f aca="false">S58</f>
        <v>7007213.65664902</v>
      </c>
      <c r="T28" s="224" t="n">
        <f aca="false">T58</f>
        <v>438739.068575229</v>
      </c>
      <c r="U28" s="224" t="n">
        <f aca="false">U58</f>
        <v>16104.8627761221</v>
      </c>
      <c r="V28" s="224" t="n">
        <f aca="false">V58</f>
        <v>132.02893417953</v>
      </c>
      <c r="W28" s="224" t="n">
        <f aca="false">W58</f>
        <v>120.932551738754</v>
      </c>
      <c r="X28" s="224" t="n">
        <f aca="false">X58</f>
        <v>0.113954688889475</v>
      </c>
      <c r="Y28" s="224" t="n">
        <f aca="false">Y58</f>
        <v>0.0456710162371092</v>
      </c>
      <c r="Z28" s="225" t="n">
        <f aca="false">Z58</f>
        <v>0.113578714616864</v>
      </c>
      <c r="AA28" s="213" t="n">
        <f aca="false">IF(N28=0,,R28/N28*1000)</f>
        <v>1025.48193694727</v>
      </c>
      <c r="AB28" s="226" t="n">
        <f aca="false">AB58</f>
        <v>7503099.28</v>
      </c>
    </row>
    <row r="29" customFormat="false" ht="15" hidden="false" customHeight="false" outlineLevel="0" collapsed="false">
      <c r="B29" s="56" t="s">
        <v>177</v>
      </c>
      <c r="C29" s="217" t="n">
        <f aca="false">C70</f>
        <v>7223928.05</v>
      </c>
      <c r="D29" s="218" t="n">
        <f aca="false">D70</f>
        <v>2615.27791418605</v>
      </c>
      <c r="E29" s="219" t="n">
        <f aca="false">E70</f>
        <v>73639.8622368468</v>
      </c>
      <c r="F29" s="219" t="n">
        <f aca="false">F70</f>
        <v>6899612.87151752</v>
      </c>
      <c r="G29" s="219" t="n">
        <f aca="false">G70</f>
        <v>241327.176075066</v>
      </c>
      <c r="H29" s="219" t="n">
        <f aca="false">H70</f>
        <v>6478.76317913704</v>
      </c>
      <c r="I29" s="219" t="n">
        <f aca="false">I70</f>
        <v>114.099749521583</v>
      </c>
      <c r="J29" s="219" t="n">
        <f aca="false">J70</f>
        <v>135.576160808993</v>
      </c>
      <c r="K29" s="219" t="n">
        <f aca="false">K70</f>
        <v>2.24185619206888</v>
      </c>
      <c r="L29" s="219" t="n">
        <f aca="false">L70</f>
        <v>2.05621950993572</v>
      </c>
      <c r="M29" s="220" t="n">
        <f aca="false">M70</f>
        <v>0.12509120807943</v>
      </c>
      <c r="N29" s="157" t="n">
        <f aca="false">N70</f>
        <v>7223928.05</v>
      </c>
      <c r="Q29" s="56" t="s">
        <v>177</v>
      </c>
      <c r="R29" s="217" t="n">
        <f aca="false">R70</f>
        <v>7404874.08392961</v>
      </c>
      <c r="S29" s="218" t="n">
        <f aca="false">S70</f>
        <v>6961115.3530777</v>
      </c>
      <c r="T29" s="219" t="n">
        <f aca="false">T70</f>
        <v>426644.198457899</v>
      </c>
      <c r="U29" s="219" t="n">
        <f aca="false">U70</f>
        <v>16284.2092172676</v>
      </c>
      <c r="V29" s="219" t="n">
        <f aca="false">V70</f>
        <v>370.65493420532</v>
      </c>
      <c r="W29" s="219" t="n">
        <f aca="false">W70</f>
        <v>441.832914997042</v>
      </c>
      <c r="X29" s="219" t="n">
        <f aca="false">X70</f>
        <v>8.96012618834362</v>
      </c>
      <c r="Y29" s="219" t="n">
        <f aca="false">Y70</f>
        <v>8.23424752758615</v>
      </c>
      <c r="Z29" s="220" t="n">
        <f aca="false">Z70</f>
        <v>0.640953822716956</v>
      </c>
      <c r="AA29" s="25" t="n">
        <f aca="false">IF(N29=0,,R29/N29*1000)</f>
        <v>1025.04815007531</v>
      </c>
      <c r="AB29" s="227" t="n">
        <f aca="false">AB70</f>
        <v>7445319.05</v>
      </c>
    </row>
    <row r="30" customFormat="false" ht="15" hidden="false" customHeight="false" outlineLevel="0" collapsed="false">
      <c r="B30" s="56"/>
      <c r="C30" s="217" t="n">
        <f aca="false">C29-C28</f>
        <v>-52953.7299999995</v>
      </c>
      <c r="D30" s="218" t="n">
        <f aca="false">D29-D28</f>
        <v>-158.886723071317</v>
      </c>
      <c r="E30" s="219" t="n">
        <f aca="false">E29-E28</f>
        <v>-528.803685637118</v>
      </c>
      <c r="F30" s="219" t="n">
        <f aca="false">F29-F28</f>
        <v>-45672.7405305011</v>
      </c>
      <c r="G30" s="219" t="n">
        <f aca="false">G29-G28</f>
        <v>-6840.94387026518</v>
      </c>
      <c r="H30" s="219" t="n">
        <f aca="false">H29-H28</f>
        <v>71.35846796036</v>
      </c>
      <c r="I30" s="219" t="n">
        <f aca="false">I29-I28</f>
        <v>73.4570003414517</v>
      </c>
      <c r="J30" s="219" t="n">
        <f aca="false">J29-J28</f>
        <v>98.4682565415008</v>
      </c>
      <c r="K30" s="219" t="n">
        <f aca="false">K29-K28</f>
        <v>2.21334495000229</v>
      </c>
      <c r="L30" s="219" t="n">
        <f aca="false">L29-L28</f>
        <v>2.04481501373117</v>
      </c>
      <c r="M30" s="220" t="n">
        <f aca="false">M29-M28</f>
        <v>0.102924666818197</v>
      </c>
      <c r="N30" s="157" t="n">
        <f aca="false">N29-N28</f>
        <v>-52953.7300000005</v>
      </c>
      <c r="Q30" s="56"/>
      <c r="R30" s="217" t="n">
        <f aca="false">R29-R28</f>
        <v>-57436.7387611</v>
      </c>
      <c r="S30" s="218" t="n">
        <f aca="false">S29-S28</f>
        <v>-46098.3035713183</v>
      </c>
      <c r="T30" s="219" t="n">
        <f aca="false">T29-T28</f>
        <v>-12094.8701173299</v>
      </c>
      <c r="U30" s="219" t="n">
        <f aca="false">U29-U28</f>
        <v>179.346441145419</v>
      </c>
      <c r="V30" s="219" t="n">
        <f aca="false">V29-V28</f>
        <v>238.62600002579</v>
      </c>
      <c r="W30" s="219" t="n">
        <f aca="false">W29-W28</f>
        <v>320.900363258288</v>
      </c>
      <c r="X30" s="219" t="n">
        <f aca="false">X29-X28</f>
        <v>8.84617149945414</v>
      </c>
      <c r="Y30" s="219" t="n">
        <f aca="false">Y29-Y28</f>
        <v>8.18857651134904</v>
      </c>
      <c r="Z30" s="220" t="n">
        <f aca="false">Z29-Z28</f>
        <v>0.527375108100092</v>
      </c>
      <c r="AA30" s="25"/>
      <c r="AB30" s="227" t="n">
        <f aca="false">AB29-AB28</f>
        <v>-57780.2300000004</v>
      </c>
    </row>
    <row r="31" customFormat="false" ht="15.75" hidden="false" customHeight="false" outlineLevel="0" collapsed="false">
      <c r="B31" s="56"/>
      <c r="C31" s="191" t="n">
        <f aca="false">IF(C28=0,"No Reading",C30/C28)</f>
        <v>-0.00727698093784334</v>
      </c>
      <c r="D31" s="192" t="n">
        <f aca="false">IF(D28=0,"No Reading",D30/D28)</f>
        <v>-0.057273717982505</v>
      </c>
      <c r="E31" s="193" t="n">
        <f aca="false">IF(E28=0,"No Reading",E30/E28)</f>
        <v>-0.007129745143182</v>
      </c>
      <c r="F31" s="193" t="n">
        <f aca="false">IF(F28=0,"No Reading",F30/F28)</f>
        <v>-0.00657607808831826</v>
      </c>
      <c r="G31" s="193" t="n">
        <f aca="false">IF(G28=0,"No Reading",G30/G28)</f>
        <v>-0.0275657641753992</v>
      </c>
      <c r="H31" s="193" t="n">
        <f aca="false">IF(H28=0,"No Reading",H30/H28)</f>
        <v>0.0111368754085233</v>
      </c>
      <c r="I31" s="193" t="n">
        <f aca="false">IF(I28=0,"No Reading",I30/I28)</f>
        <v>1.80738266537744</v>
      </c>
      <c r="J31" s="193" t="n">
        <f aca="false">IF(J28=0,"No Reading",J30/J28)</f>
        <v>2.65356555389632</v>
      </c>
      <c r="K31" s="193" t="n">
        <f aca="false">IF(K28=0,"No Reading",K30/K28)</f>
        <v>77.6306042659459</v>
      </c>
      <c r="L31" s="193" t="n">
        <f aca="false">IF(L28=0,"No Reading",L30/L28)</f>
        <v>179.299021811604</v>
      </c>
      <c r="M31" s="194" t="n">
        <f aca="false">IF(M28=0,"No Reading",M30/M28)</f>
        <v>4.64324432058327</v>
      </c>
      <c r="N31" s="228" t="n">
        <f aca="false">IF(N28=0,"No Reading",N30/N28)</f>
        <v>-0.00727698093784347</v>
      </c>
      <c r="Q31" s="64"/>
      <c r="R31" s="197" t="n">
        <f aca="false">IF(R28=0,"No Reading",R30/R28)</f>
        <v>-0.00769691053158114</v>
      </c>
      <c r="S31" s="198" t="n">
        <f aca="false">IF(S28=0,"No Reading",S30/S28)</f>
        <v>-0.00657869244897027</v>
      </c>
      <c r="T31" s="199" t="n">
        <f aca="false">IF(T28=0,"No Reading",T30/T28)</f>
        <v>-0.0275673423764313</v>
      </c>
      <c r="U31" s="199" t="n">
        <f aca="false">IF(U28=0,"No Reading",U30/U28)</f>
        <v>0.0111361669850007</v>
      </c>
      <c r="V31" s="199" t="n">
        <f aca="false">IF(V28=0,"No Reading",V30/V28)</f>
        <v>1.8073765535463</v>
      </c>
      <c r="W31" s="199" t="n">
        <f aca="false">IF(W28=0,"No Reading",W30/W28)</f>
        <v>2.65354826838944</v>
      </c>
      <c r="X31" s="199" t="n">
        <f aca="false">IF(X28=0,"No Reading",X30/X28)</f>
        <v>77.6288504287353</v>
      </c>
      <c r="Y31" s="199" t="n">
        <f aca="false">IF(Y28=0,"No Reading",Y30/Y28)</f>
        <v>179.294817282729</v>
      </c>
      <c r="Z31" s="200" t="n">
        <f aca="false">IF(Z28=0,"No Reading",Z30/Z28)</f>
        <v>4.64325652811876</v>
      </c>
      <c r="AA31" s="229"/>
      <c r="AB31" s="216" t="n">
        <f aca="false">IF(AB28=0,"No Reading",AB30/AB28)</f>
        <v>-0.00770084838861421</v>
      </c>
    </row>
    <row r="32" customFormat="false" ht="15.75" hidden="false" customHeight="false" outlineLevel="0" collapsed="false">
      <c r="B32" s="202" t="s">
        <v>176</v>
      </c>
      <c r="C32" s="203"/>
      <c r="D32" s="204" t="n">
        <f aca="false">D28/$C28</f>
        <v>0.00038122986206564</v>
      </c>
      <c r="E32" s="205" t="n">
        <f aca="false">E28/$C28</f>
        <v>0.0101923692269306</v>
      </c>
      <c r="F32" s="205" t="n">
        <f aca="false">F28/$C28</f>
        <v>0.954431557640067</v>
      </c>
      <c r="G32" s="205" t="n">
        <f aca="false">G28/$C28</f>
        <v>0.0341036349700505</v>
      </c>
      <c r="H32" s="205" t="n">
        <f aca="false">H28/$C28</f>
        <v>0.000880515158125419</v>
      </c>
      <c r="I32" s="205" t="n">
        <f aca="false">I28/$C28</f>
        <v>5.58518750322903E-006</v>
      </c>
      <c r="J32" s="205" t="n">
        <f aca="false">J28/$C28</f>
        <v>5.09942381769636E-006</v>
      </c>
      <c r="K32" s="205" t="n">
        <f aca="false">K28/$C28</f>
        <v>3.9180576143142E-009</v>
      </c>
      <c r="L32" s="205" t="n">
        <f aca="false">L28/$C28</f>
        <v>1.56722296023843E-009</v>
      </c>
      <c r="M32" s="206" t="n">
        <f aca="false">M28/$C28</f>
        <v>3.04615932089986E-009</v>
      </c>
      <c r="N32" s="207" t="n">
        <f aca="false">SUM(D32:M32)</f>
        <v>1</v>
      </c>
      <c r="AA32" s="186"/>
    </row>
    <row r="33" customFormat="false" ht="15.75" hidden="false" customHeight="false" outlineLevel="0" collapsed="false">
      <c r="B33" s="230" t="s">
        <v>177</v>
      </c>
      <c r="C33" s="231"/>
      <c r="D33" s="232" t="n">
        <f aca="false">D29/$C29</f>
        <v>0.00036202989510479</v>
      </c>
      <c r="E33" s="232" t="n">
        <f aca="false">E29/$C29</f>
        <v>0.0101938809089948</v>
      </c>
      <c r="F33" s="232" t="n">
        <f aca="false">F29/$C29</f>
        <v>0.955105425159588</v>
      </c>
      <c r="G33" s="232" t="n">
        <f aca="false">G29/$C29</f>
        <v>0.0334066417058329</v>
      </c>
      <c r="H33" s="232" t="n">
        <f aca="false">H29/$C29</f>
        <v>0.000896847689275787</v>
      </c>
      <c r="I33" s="232" t="n">
        <f aca="false">I29/$C29</f>
        <v>1.57946962832199E-005</v>
      </c>
      <c r="J33" s="232" t="n">
        <f aca="false">J29/$C29</f>
        <v>1.87676510439488E-005</v>
      </c>
      <c r="K33" s="232" t="n">
        <f aca="false">K29/$C29</f>
        <v>3.10337558258057E-007</v>
      </c>
      <c r="L33" s="232" t="n">
        <f aca="false">L29/$C29</f>
        <v>2.84640087180232E-007</v>
      </c>
      <c r="M33" s="233" t="n">
        <f aca="false">M29/$C29</f>
        <v>1.73162311714096E-008</v>
      </c>
      <c r="N33" s="234" t="n">
        <f aca="false">SUM(D33:M33)</f>
        <v>1</v>
      </c>
      <c r="AA33" s="186"/>
    </row>
    <row r="34" customFormat="false" ht="15.75" hidden="false" customHeight="false" outlineLevel="0" collapsed="false">
      <c r="AA34" s="186"/>
    </row>
    <row r="35" customFormat="false" ht="15" hidden="false" customHeight="false" outlineLevel="0" collapsed="false">
      <c r="C35" s="18"/>
      <c r="D35" s="235"/>
      <c r="E35" s="235"/>
      <c r="F35" s="235"/>
      <c r="G35" s="235"/>
      <c r="H35" s="235"/>
      <c r="I35" s="235"/>
      <c r="J35" s="235"/>
      <c r="K35" s="235"/>
      <c r="L35" s="235"/>
      <c r="M35" s="235"/>
      <c r="N35" s="235"/>
      <c r="Q35" s="18"/>
      <c r="AA35" s="186"/>
    </row>
    <row r="36" customFormat="false" ht="15" hidden="false" customHeight="false" outlineLevel="0" collapsed="false">
      <c r="D36" s="235"/>
      <c r="E36" s="235"/>
      <c r="F36" s="235"/>
      <c r="G36" s="24"/>
      <c r="H36" s="24"/>
      <c r="I36" s="24"/>
      <c r="J36" s="24"/>
      <c r="K36" s="24"/>
      <c r="L36" s="24"/>
      <c r="M36" s="24"/>
      <c r="N36" s="235"/>
      <c r="AA36" s="186"/>
    </row>
    <row r="37" customFormat="false" ht="15" hidden="false" customHeight="false" outlineLevel="0" collapsed="false">
      <c r="C37" s="18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AA37" s="186"/>
    </row>
    <row r="38" customFormat="false" ht="15" hidden="false" customHeight="false" outlineLevel="0" collapsed="false">
      <c r="AA38" s="186"/>
    </row>
    <row r="39" customFormat="false" ht="15.75" hidden="false" customHeight="false" outlineLevel="0" collapsed="false"/>
    <row r="40" customFormat="false" ht="16.5" hidden="false" customHeight="false" outlineLevel="0" collapsed="false">
      <c r="A40" s="236" t="s">
        <v>27</v>
      </c>
      <c r="B40" s="237" t="s">
        <v>28</v>
      </c>
      <c r="C40" s="238" t="s">
        <v>0</v>
      </c>
      <c r="D40" s="145" t="s">
        <v>1</v>
      </c>
      <c r="E40" s="145" t="s">
        <v>2</v>
      </c>
      <c r="F40" s="145" t="s">
        <v>3</v>
      </c>
      <c r="G40" s="145" t="s">
        <v>4</v>
      </c>
      <c r="H40" s="145" t="s">
        <v>5</v>
      </c>
      <c r="I40" s="145" t="s">
        <v>6</v>
      </c>
      <c r="J40" s="145" t="s">
        <v>7</v>
      </c>
      <c r="K40" s="145" t="s">
        <v>8</v>
      </c>
      <c r="L40" s="145" t="s">
        <v>9</v>
      </c>
      <c r="M40" s="145" t="s">
        <v>10</v>
      </c>
      <c r="N40" s="147" t="s">
        <v>11</v>
      </c>
      <c r="P40" s="142" t="s">
        <v>27</v>
      </c>
      <c r="Q40" s="238" t="s">
        <v>28</v>
      </c>
      <c r="R40" s="239" t="s">
        <v>13</v>
      </c>
      <c r="S40" s="144" t="s">
        <v>3</v>
      </c>
      <c r="T40" s="145" t="s">
        <v>4</v>
      </c>
      <c r="U40" s="145" t="s">
        <v>5</v>
      </c>
      <c r="V40" s="145" t="s">
        <v>6</v>
      </c>
      <c r="W40" s="145" t="s">
        <v>7</v>
      </c>
      <c r="X40" s="145" t="s">
        <v>8</v>
      </c>
      <c r="Y40" s="145" t="s">
        <v>9</v>
      </c>
      <c r="Z40" s="146" t="s">
        <v>10</v>
      </c>
      <c r="AA40" s="240" t="s">
        <v>14</v>
      </c>
      <c r="AB40" s="240" t="s">
        <v>15</v>
      </c>
      <c r="AC40" s="147" t="s">
        <v>16</v>
      </c>
    </row>
    <row r="41" customFormat="false" ht="16.5" hidden="false" customHeight="false" outlineLevel="0" collapsed="false">
      <c r="A41" s="241" t="s">
        <v>178</v>
      </c>
      <c r="B41" s="242"/>
      <c r="C41" s="243"/>
      <c r="D41" s="244"/>
      <c r="E41" s="245"/>
      <c r="F41" s="245"/>
      <c r="G41" s="245"/>
      <c r="H41" s="245"/>
      <c r="I41" s="245"/>
      <c r="J41" s="245"/>
      <c r="K41" s="245"/>
      <c r="L41" s="245"/>
      <c r="M41" s="245"/>
      <c r="N41" s="246"/>
      <c r="P41" s="247" t="s">
        <v>178</v>
      </c>
      <c r="Q41" s="242"/>
      <c r="R41" s="248"/>
      <c r="S41" s="249"/>
      <c r="T41" s="250"/>
      <c r="U41" s="250"/>
      <c r="V41" s="250"/>
      <c r="W41" s="250"/>
      <c r="X41" s="250"/>
      <c r="Y41" s="250"/>
      <c r="Z41" s="251"/>
      <c r="AA41" s="252"/>
      <c r="AB41" s="252"/>
      <c r="AC41" s="253"/>
    </row>
    <row r="42" customFormat="false" ht="15" hidden="false" customHeight="false" outlineLevel="0" collapsed="false">
      <c r="A42" s="53"/>
      <c r="B42" s="254" t="str">
        <f aca="false">IF(LEN($A42)&gt;1,VLOOKUP($A42,All_Data,B$72,0),"")</f>
        <v/>
      </c>
      <c r="C42" s="26" t="str">
        <f aca="false">IF(ISERROR($B42),"",IF(ISTEXT($A42),VLOOKUP($A42,All_Data,C$72,0),""))</f>
        <v/>
      </c>
      <c r="D42" s="14" t="str">
        <f aca="false">IF(ISERROR($B42),"",IF(ISTEXT($A42),VLOOKUP($A42,All_Data,D$72,0),""))</f>
        <v/>
      </c>
      <c r="E42" s="15" t="str">
        <f aca="false">IF(ISERROR($B42),"",IF(ISTEXT($A42),VLOOKUP($A42,All_Data,E$72,0),""))</f>
        <v/>
      </c>
      <c r="F42" s="15" t="str">
        <f aca="false">IF(ISERROR($B42),"",IF(ISTEXT($A42),VLOOKUP($A42,All_Data,F$72,0),""))</f>
        <v/>
      </c>
      <c r="G42" s="15" t="str">
        <f aca="false">IF(ISERROR($B42),"",IF(ISTEXT($A42),VLOOKUP($A42,All_Data,G$72,0),""))</f>
        <v/>
      </c>
      <c r="H42" s="15" t="str">
        <f aca="false">IF(ISERROR($B42),"",IF(ISTEXT($A42),VLOOKUP($A42,All_Data,H$72,0),""))</f>
        <v/>
      </c>
      <c r="I42" s="15" t="str">
        <f aca="false">IF(ISERROR($B42),"",IF(ISTEXT($A42),VLOOKUP($A42,All_Data,I$72,0),""))</f>
        <v/>
      </c>
      <c r="J42" s="15" t="str">
        <f aca="false">IF(ISERROR($B42),"",IF(ISTEXT($A42),VLOOKUP($A42,All_Data,J$72,0),""))</f>
        <v/>
      </c>
      <c r="K42" s="15" t="str">
        <f aca="false">IF(ISERROR($B42),"",IF(ISTEXT($A42),VLOOKUP($A42,All_Data,K$72,0),""))</f>
        <v/>
      </c>
      <c r="L42" s="15" t="str">
        <f aca="false">IF(ISERROR($B42),"",IF(ISTEXT($A42),VLOOKUP($A42,All_Data,L$72,0),""))</f>
        <v/>
      </c>
      <c r="M42" s="15" t="str">
        <f aca="false">IF(ISERROR($B42),"",IF(ISTEXT($A42),VLOOKUP($A42,All_Data,M$72,0),""))</f>
        <v/>
      </c>
      <c r="N42" s="17" t="n">
        <f aca="false">SUM(D42:M42)</f>
        <v>0</v>
      </c>
      <c r="P42" s="255"/>
      <c r="Q42" s="256" t="str">
        <f aca="false">IF(LEN($A42)&gt;1,VLOOKUP($A42,All_Data,Q$72,0),"")</f>
        <v/>
      </c>
      <c r="R42" s="257" t="str">
        <f aca="false">IF(ISERROR($B42),"",IF(ISTEXT($A42),VLOOKUP($A42,All_Data,R$72,0),""))</f>
        <v/>
      </c>
      <c r="S42" s="151" t="str">
        <f aca="false">IF(ISERROR($B42),"",IF(ISTEXT($A42),VLOOKUP($A42,All_Data,S$72,0),""))</f>
        <v/>
      </c>
      <c r="T42" s="152" t="str">
        <f aca="false">IF(ISERROR($B42),"",IF(ISTEXT($A42),VLOOKUP($A42,All_Data,T$72,0),""))</f>
        <v/>
      </c>
      <c r="U42" s="152" t="str">
        <f aca="false">IF(ISERROR($B42),"",IF(ISTEXT($A42),VLOOKUP($A42,All_Data,U$72,0),""))</f>
        <v/>
      </c>
      <c r="V42" s="152" t="str">
        <f aca="false">IF(ISERROR($B42),"",IF(ISTEXT($A42),VLOOKUP($A42,All_Data,V$72,0),""))</f>
        <v/>
      </c>
      <c r="W42" s="152" t="str">
        <f aca="false">IF(ISERROR($B42),"",IF(ISTEXT($A42),VLOOKUP($A42,All_Data,W$72,0),""))</f>
        <v/>
      </c>
      <c r="X42" s="152" t="str">
        <f aca="false">IF(ISERROR($B42),"",IF(ISTEXT($A42),VLOOKUP($A42,All_Data,X$72,0),""))</f>
        <v/>
      </c>
      <c r="Y42" s="152" t="str">
        <f aca="false">IF(ISERROR($B42),"",IF(ISTEXT($A42),VLOOKUP($A42,All_Data,Y$72,0),""))</f>
        <v/>
      </c>
      <c r="Z42" s="153" t="str">
        <f aca="false">IF(ISERROR($B42),"",IF(ISTEXT($A42),VLOOKUP($A42,All_Data,Z$72,0),""))</f>
        <v/>
      </c>
      <c r="AA42" s="258"/>
      <c r="AB42" s="150"/>
      <c r="AC42" s="259"/>
    </row>
    <row r="43" customFormat="false" ht="15" hidden="false" customHeight="false" outlineLevel="0" collapsed="false">
      <c r="A43" s="53" t="s">
        <v>132</v>
      </c>
      <c r="B43" s="254" t="str">
        <f aca="false">IF(LEN($A43)&gt;1,VLOOKUP($A43,All_Data,B$72,0),"")</f>
        <v>Pecos BOP Fuel #3</v>
      </c>
      <c r="C43" s="26" t="n">
        <f aca="false">IF(ISERROR($B43),"",IF(ISTEXT($A43),VLOOKUP($A43,All_Data,C$72,0),""))</f>
        <v>14056.53</v>
      </c>
      <c r="D43" s="14" t="n">
        <f aca="false">IF(ISERROR($B43),"",IF(ISTEXT($A43),VLOOKUP($A43,All_Data,D$72,0),""))</f>
        <v>0</v>
      </c>
      <c r="E43" s="15" t="n">
        <f aca="false">IF(ISERROR($B43),"",IF(ISTEXT($A43),VLOOKUP($A43,All_Data,E$72,0),""))</f>
        <v>154.4812647</v>
      </c>
      <c r="F43" s="15" t="n">
        <f aca="false">IF(ISERROR($B43),"",IF(ISTEXT($A43),VLOOKUP($A43,All_Data,F$72,0),""))</f>
        <v>13786.7851893</v>
      </c>
      <c r="G43" s="15" t="n">
        <f aca="false">IF(ISERROR($B43),"",IF(ISTEXT($A43),VLOOKUP($A43,All_Data,G$72,0),""))</f>
        <v>108.9381075</v>
      </c>
      <c r="H43" s="15" t="n">
        <f aca="false">IF(ISERROR($B43),"",IF(ISTEXT($A43),VLOOKUP($A43,All_Data,H$72,0),""))</f>
        <v>6.3254385</v>
      </c>
      <c r="I43" s="15" t="n">
        <f aca="false">IF(ISERROR($B43),"",IF(ISTEXT($A43),VLOOKUP($A43,All_Data,I$72,0),""))</f>
        <v>0</v>
      </c>
      <c r="J43" s="15" t="n">
        <f aca="false">IF(ISERROR($B43),"",IF(ISTEXT($A43),VLOOKUP($A43,All_Data,J$72,0),""))</f>
        <v>0</v>
      </c>
      <c r="K43" s="15" t="n">
        <f aca="false">IF(ISERROR($B43),"",IF(ISTEXT($A43),VLOOKUP($A43,All_Data,K$72,0),""))</f>
        <v>0</v>
      </c>
      <c r="L43" s="15" t="n">
        <f aca="false">IF(ISERROR($B43),"",IF(ISTEXT($A43),VLOOKUP($A43,All_Data,L$72,0),""))</f>
        <v>0</v>
      </c>
      <c r="M43" s="15" t="n">
        <f aca="false">IF(ISERROR($B43),"",IF(ISTEXT($A43),VLOOKUP($A43,All_Data,M$72,0),""))</f>
        <v>0</v>
      </c>
      <c r="N43" s="17" t="n">
        <f aca="false">SUM(D43:M43)</f>
        <v>14056.53</v>
      </c>
      <c r="P43" s="53" t="str">
        <f aca="false">A43</f>
        <v>5.00.6</v>
      </c>
      <c r="Q43" s="254" t="str">
        <f aca="false">IF(LEN($A43)&gt;1,VLOOKUP($A43,All_Data,Q$72,0),"")</f>
        <v>Pecos BOP Fuel #3</v>
      </c>
      <c r="R43" s="13" t="n">
        <f aca="false">SUM(S43:Z43)</f>
        <v>14116.5424622598</v>
      </c>
      <c r="S43" s="14" t="n">
        <f aca="false">IF(ISERROR($B43),"",IF(ISTEXT($A43),VLOOKUP($A43,All_Data,S$72,0),""))</f>
        <v>13908.0755897084</v>
      </c>
      <c r="T43" s="15" t="n">
        <f aca="false">IF(ISERROR($B43),"",IF(ISTEXT($A43),VLOOKUP($A43,All_Data,T$72,0),""))</f>
        <v>192.569929161576</v>
      </c>
      <c r="U43" s="15" t="n">
        <f aca="false">IF(ISERROR($B43),"",IF(ISTEXT($A43),VLOOKUP($A43,All_Data,U$72,0),""))</f>
        <v>15.8969433898855</v>
      </c>
      <c r="V43" s="15" t="n">
        <f aca="false">IF(ISERROR($B43),"",IF(ISTEXT($A43),VLOOKUP($A43,All_Data,V$72,0),""))</f>
        <v>0</v>
      </c>
      <c r="W43" s="15" t="n">
        <f aca="false">IF(ISERROR($B43),"",IF(ISTEXT($A43),VLOOKUP($A43,All_Data,W$72,0),""))</f>
        <v>0</v>
      </c>
      <c r="X43" s="15" t="n">
        <f aca="false">IF(ISERROR($B43),"",IF(ISTEXT($A43),VLOOKUP($A43,All_Data,X$72,0),""))</f>
        <v>0</v>
      </c>
      <c r="Y43" s="15" t="n">
        <f aca="false">IF(ISERROR($B43),"",IF(ISTEXT($A43),VLOOKUP($A43,All_Data,Y$72,0),""))</f>
        <v>0</v>
      </c>
      <c r="Z43" s="16" t="n">
        <f aca="false">IF(ISERROR($B43),"",IF(ISTEXT($A43),VLOOKUP($A43,All_Data,Z$72,0),""))</f>
        <v>0</v>
      </c>
      <c r="AA43" s="25" t="n">
        <f aca="false">IF(N43=0,,R43/N43*1000)</f>
        <v>1004.26936535972</v>
      </c>
      <c r="AB43" s="26" t="n">
        <f aca="false">IF(ISERROR($B43),"",IF(ISTEXT($A43),VLOOKUP($A43,All_Data,AB$72,0),""))</f>
        <v>14112.76</v>
      </c>
      <c r="AC43" s="260" t="n">
        <f aca="false">IF(AB43=0,,R43/AB43)</f>
        <v>1.00026801718869</v>
      </c>
    </row>
    <row r="44" customFormat="false" ht="15" hidden="false" customHeight="false" outlineLevel="0" collapsed="false">
      <c r="A44" s="53" t="s">
        <v>133</v>
      </c>
      <c r="B44" s="254" t="str">
        <f aca="false">IF(LEN($A44)&gt;1,VLOOKUP($A44,All_Data,B$72,0),"")</f>
        <v>Pecos 1 LP Fuel</v>
      </c>
      <c r="C44" s="26" t="n">
        <f aca="false">IF(ISERROR($B44),"",IF(ISTEXT($A44),VLOOKUP($A44,All_Data,C$72,0),""))</f>
        <v>9614.86</v>
      </c>
      <c r="D44" s="14" t="n">
        <f aca="false">IF(ISERROR($B44),"",IF(ISTEXT($A44),VLOOKUP($A44,All_Data,D$72,0),""))</f>
        <v>0</v>
      </c>
      <c r="E44" s="15" t="n">
        <f aca="false">IF(ISERROR($B44),"",IF(ISTEXT($A44),VLOOKUP($A44,All_Data,E$72,0),""))</f>
        <v>105.282717</v>
      </c>
      <c r="F44" s="15" t="n">
        <f aca="false">IF(ISERROR($B44),"",IF(ISTEXT($A44),VLOOKUP($A44,All_Data,F$72,0),""))</f>
        <v>9368.5272868</v>
      </c>
      <c r="G44" s="15" t="n">
        <f aca="false">IF(ISERROR($B44),"",IF(ISTEXT($A44),VLOOKUP($A44,All_Data,G$72,0),""))</f>
        <v>119.4165612</v>
      </c>
      <c r="H44" s="15" t="n">
        <f aca="false">IF(ISERROR($B44),"",IF(ISTEXT($A44),VLOOKUP($A44,All_Data,H$72,0),""))</f>
        <v>18.1720854</v>
      </c>
      <c r="I44" s="15" t="n">
        <f aca="false">IF(ISERROR($B44),"",IF(ISTEXT($A44),VLOOKUP($A44,All_Data,I$72,0),""))</f>
        <v>1.3460804</v>
      </c>
      <c r="J44" s="15" t="n">
        <f aca="false">IF(ISERROR($B44),"",IF(ISTEXT($A44),VLOOKUP($A44,All_Data,J$72,0),""))</f>
        <v>2.1152692</v>
      </c>
      <c r="K44" s="15" t="n">
        <f aca="false">IF(ISERROR($B44),"",IF(ISTEXT($A44),VLOOKUP($A44,All_Data,K$72,0),""))</f>
        <v>0</v>
      </c>
      <c r="L44" s="15" t="n">
        <f aca="false">IF(ISERROR($B44),"",IF(ISTEXT($A44),VLOOKUP($A44,All_Data,L$72,0),""))</f>
        <v>0</v>
      </c>
      <c r="M44" s="15" t="n">
        <f aca="false">IF(ISERROR($B44),"",IF(ISTEXT($A44),VLOOKUP($A44,All_Data,M$72,0),""))</f>
        <v>0</v>
      </c>
      <c r="N44" s="17" t="n">
        <f aca="false">SUM(D44:M44)</f>
        <v>9614.86</v>
      </c>
      <c r="P44" s="53" t="s">
        <v>133</v>
      </c>
      <c r="Q44" s="254" t="str">
        <f aca="false">IF(LEN($A44)&gt;1,VLOOKUP($A44,All_Data,Q$72,0),"")</f>
        <v>Pecos 1 LP Fuel</v>
      </c>
      <c r="R44" s="13" t="n">
        <f aca="false">SUM(S44:Z44)</f>
        <v>9719.31775427193</v>
      </c>
      <c r="S44" s="14" t="n">
        <f aca="false">IF(ISERROR($B44),"",IF(ISTEXT($A44),VLOOKUP($A44,All_Data,S$72,0),""))</f>
        <v>9451.28098657532</v>
      </c>
      <c r="T44" s="15" t="n">
        <f aca="false">IF(ISERROR($B44),"",IF(ISTEXT($A44),VLOOKUP($A44,All_Data,T$72,0),""))</f>
        <v>211.100139612562</v>
      </c>
      <c r="U44" s="15" t="n">
        <f aca="false">IF(ISERROR($B44),"",IF(ISTEXT($A44),VLOOKUP($A44,All_Data,U$72,0),""))</f>
        <v>45.671268554211</v>
      </c>
      <c r="V44" s="15" t="n">
        <f aca="false">IF(ISERROR($B44),"",IF(ISTEXT($A44),VLOOKUP($A44,All_Data,V$72,0),""))</f>
        <v>4.3724007853407</v>
      </c>
      <c r="W44" s="15" t="n">
        <f aca="false">IF(ISERROR($B44),"",IF(ISTEXT($A44),VLOOKUP($A44,All_Data,W$72,0),""))</f>
        <v>6.89295874448907</v>
      </c>
      <c r="X44" s="15" t="n">
        <f aca="false">IF(ISERROR($B44),"",IF(ISTEXT($A44),VLOOKUP($A44,All_Data,X$72,0),""))</f>
        <v>0</v>
      </c>
      <c r="Y44" s="15" t="n">
        <f aca="false">IF(ISERROR($B44),"",IF(ISTEXT($A44),VLOOKUP($A44,All_Data,Y$72,0),""))</f>
        <v>0</v>
      </c>
      <c r="Z44" s="16" t="n">
        <f aca="false">IF(ISERROR($B44),"",IF(ISTEXT($A44),VLOOKUP($A44,All_Data,Z$72,0),""))</f>
        <v>0</v>
      </c>
      <c r="AA44" s="25" t="n">
        <f aca="false">IF(N44=0,,R44/N44*1000)</f>
        <v>1010.86419919499</v>
      </c>
      <c r="AB44" s="26" t="n">
        <f aca="false">IF(ISERROR($B44),"",IF(ISTEXT($A44),VLOOKUP($A44,All_Data,AB$72,0),""))</f>
        <v>9720.62</v>
      </c>
      <c r="AC44" s="260" t="n">
        <f aca="false">IF(AB44=0,,R44/AB44)</f>
        <v>0.999866032647292</v>
      </c>
    </row>
    <row r="45" customFormat="false" ht="15" hidden="false" customHeight="false" outlineLevel="0" collapsed="false">
      <c r="A45" s="53" t="s">
        <v>134</v>
      </c>
      <c r="B45" s="254" t="str">
        <f aca="false">IF(LEN($A45)&gt;1,VLOOKUP($A45,All_Data,B$72,0),"")</f>
        <v>Pecos 2 LP Fuel</v>
      </c>
      <c r="C45" s="26" t="n">
        <f aca="false">IF(ISERROR($B45),"",IF(ISTEXT($A45),VLOOKUP($A45,All_Data,C$72,0),""))</f>
        <v>11319.04</v>
      </c>
      <c r="D45" s="14" t="n">
        <f aca="false">IF(ISERROR($B45),"",IF(ISTEXT($A45),VLOOKUP($A45,All_Data,D$72,0),""))</f>
        <v>19.5819392</v>
      </c>
      <c r="E45" s="15" t="n">
        <f aca="false">IF(ISERROR($B45),"",IF(ISTEXT($A45),VLOOKUP($A45,All_Data,E$72,0),""))</f>
        <v>189.2543488</v>
      </c>
      <c r="F45" s="15" t="n">
        <f aca="false">IF(ISERROR($B45),"",IF(ISTEXT($A45),VLOOKUP($A45,All_Data,F$72,0),""))</f>
        <v>10297.7230208</v>
      </c>
      <c r="G45" s="15" t="n">
        <f aca="false">IF(ISERROR($B45),"",IF(ISTEXT($A45),VLOOKUP($A45,All_Data,G$72,0),""))</f>
        <v>777.2784768</v>
      </c>
      <c r="H45" s="15" t="n">
        <f aca="false">IF(ISERROR($B45),"",IF(ISTEXT($A45),VLOOKUP($A45,All_Data,H$72,0),""))</f>
        <v>35.2022144</v>
      </c>
      <c r="I45" s="15" t="n">
        <f aca="false">IF(ISERROR($B45),"",IF(ISTEXT($A45),VLOOKUP($A45,All_Data,I$72,0),""))</f>
        <v>0</v>
      </c>
      <c r="J45" s="15" t="n">
        <f aca="false">IF(ISERROR($B45),"",IF(ISTEXT($A45),VLOOKUP($A45,All_Data,J$72,0),""))</f>
        <v>0</v>
      </c>
      <c r="K45" s="15" t="n">
        <f aca="false">IF(ISERROR($B45),"",IF(ISTEXT($A45),VLOOKUP($A45,All_Data,K$72,0),""))</f>
        <v>0</v>
      </c>
      <c r="L45" s="15" t="n">
        <f aca="false">IF(ISERROR($B45),"",IF(ISTEXT($A45),VLOOKUP($A45,All_Data,L$72,0),""))</f>
        <v>0</v>
      </c>
      <c r="M45" s="15" t="n">
        <f aca="false">IF(ISERROR($B45),"",IF(ISTEXT($A45),VLOOKUP($A45,All_Data,M$72,0),""))</f>
        <v>0</v>
      </c>
      <c r="N45" s="17" t="n">
        <f aca="false">SUM(D45:M45)</f>
        <v>11319.04</v>
      </c>
      <c r="P45" s="53" t="s">
        <v>134</v>
      </c>
      <c r="Q45" s="254" t="str">
        <f aca="false">IF(LEN($A45)&gt;1,VLOOKUP($A45,All_Data,Q$72,0),"")</f>
        <v>Pecos 2 LP Fuel</v>
      </c>
      <c r="R45" s="13" t="n">
        <f aca="false">SUM(S45:Z45)</f>
        <v>11854.0325474597</v>
      </c>
      <c r="S45" s="14" t="n">
        <f aca="false">IF(ISERROR($B45),"",IF(ISTEXT($A45),VLOOKUP($A45,All_Data,S$72,0),""))</f>
        <v>10391.1667181628</v>
      </c>
      <c r="T45" s="15" t="n">
        <f aca="false">IF(ISERROR($B45),"",IF(ISTEXT($A45),VLOOKUP($A45,All_Data,T$72,0),""))</f>
        <v>1374.37219184694</v>
      </c>
      <c r="U45" s="15" t="n">
        <f aca="false">IF(ISERROR($B45),"",IF(ISTEXT($A45),VLOOKUP($A45,All_Data,U$72,0),""))</f>
        <v>88.4936374499829</v>
      </c>
      <c r="V45" s="15" t="n">
        <f aca="false">IF(ISERROR($B45),"",IF(ISTEXT($A45),VLOOKUP($A45,All_Data,V$72,0),""))</f>
        <v>0</v>
      </c>
      <c r="W45" s="15" t="n">
        <f aca="false">IF(ISERROR($B45),"",IF(ISTEXT($A45),VLOOKUP($A45,All_Data,W$72,0),""))</f>
        <v>0</v>
      </c>
      <c r="X45" s="15" t="n">
        <f aca="false">IF(ISERROR($B45),"",IF(ISTEXT($A45),VLOOKUP($A45,All_Data,X$72,0),""))</f>
        <v>0</v>
      </c>
      <c r="Y45" s="15" t="n">
        <f aca="false">IF(ISERROR($B45),"",IF(ISTEXT($A45),VLOOKUP($A45,All_Data,Y$72,0),""))</f>
        <v>0</v>
      </c>
      <c r="Z45" s="16" t="n">
        <f aca="false">IF(ISERROR($B45),"",IF(ISTEXT($A45),VLOOKUP($A45,All_Data,Z$72,0),""))</f>
        <v>0</v>
      </c>
      <c r="AA45" s="25" t="n">
        <f aca="false">IF(N45=0,,R45/N45*1000)</f>
        <v>1047.26483407248</v>
      </c>
      <c r="AB45" s="26" t="n">
        <f aca="false">IF(ISERROR($B45),"",IF(ISTEXT($A45),VLOOKUP($A45,All_Data,AB$72,0),""))</f>
        <v>11851.04</v>
      </c>
      <c r="AC45" s="260" t="n">
        <f aca="false">IF(AB45=0,,R45/AB45)</f>
        <v>1.00025251348909</v>
      </c>
    </row>
    <row r="46" customFormat="false" ht="15" hidden="false" customHeight="false" outlineLevel="0" collapsed="false">
      <c r="A46" s="53" t="s">
        <v>135</v>
      </c>
      <c r="B46" s="254" t="str">
        <f aca="false">IF(LEN($A46)&gt;1,VLOOKUP($A46,All_Data,B$72,0),"")</f>
        <v>Pecos 1 HP Fuel</v>
      </c>
      <c r="C46" s="26" t="n">
        <f aca="false">IF(ISERROR($B46),"",IF(ISTEXT($A46),VLOOKUP($A46,All_Data,C$72,0),""))</f>
        <v>216704.95</v>
      </c>
      <c r="D46" s="14" t="n">
        <f aca="false">IF(ISERROR($B46),"",IF(ISTEXT($A46),VLOOKUP($A46,All_Data,D$72,0),""))</f>
        <v>0</v>
      </c>
      <c r="E46" s="15" t="n">
        <f aca="false">IF(ISERROR($B46),"",IF(ISTEXT($A46),VLOOKUP($A46,All_Data,E$72,0),""))</f>
        <v>2734.816469</v>
      </c>
      <c r="F46" s="15" t="n">
        <f aca="false">IF(ISERROR($B46),"",IF(ISTEXT($A46),VLOOKUP($A46,All_Data,F$72,0),""))</f>
        <v>211575.5438335</v>
      </c>
      <c r="G46" s="15" t="n">
        <f aca="false">IF(ISERROR($B46),"",IF(ISTEXT($A46),VLOOKUP($A46,All_Data,G$72,0),""))</f>
        <v>2082.5345695</v>
      </c>
      <c r="H46" s="15" t="n">
        <f aca="false">IF(ISERROR($B46),"",IF(ISTEXT($A46),VLOOKUP($A46,All_Data,H$72,0),""))</f>
        <v>264.380039</v>
      </c>
      <c r="I46" s="15" t="n">
        <f aca="false">IF(ISERROR($B46),"",IF(ISTEXT($A46),VLOOKUP($A46,All_Data,I$72,0),""))</f>
        <v>19.5034455</v>
      </c>
      <c r="J46" s="15" t="n">
        <f aca="false">IF(ISERROR($B46),"",IF(ISTEXT($A46),VLOOKUP($A46,All_Data,J$72,0),""))</f>
        <v>28.1716435</v>
      </c>
      <c r="K46" s="15" t="n">
        <f aca="false">IF(ISERROR($B46),"",IF(ISTEXT($A46),VLOOKUP($A46,All_Data,K$72,0),""))</f>
        <v>0</v>
      </c>
      <c r="L46" s="15" t="n">
        <f aca="false">IF(ISERROR($B46),"",IF(ISTEXT($A46),VLOOKUP($A46,All_Data,L$72,0),""))</f>
        <v>0</v>
      </c>
      <c r="M46" s="15" t="n">
        <f aca="false">IF(ISERROR($B46),"",IF(ISTEXT($A46),VLOOKUP($A46,All_Data,M$72,0),""))</f>
        <v>0</v>
      </c>
      <c r="N46" s="17" t="n">
        <f aca="false">SUM(D46:M46)</f>
        <v>216704.95</v>
      </c>
      <c r="P46" s="53" t="s">
        <v>135</v>
      </c>
      <c r="Q46" s="254" t="str">
        <f aca="false">IF(LEN($A46)&gt;1,VLOOKUP($A46,All_Data,Q$72,0),"")</f>
        <v>Pecos 1 HP Fuel</v>
      </c>
      <c r="R46" s="13" t="n">
        <f aca="false">SUM(S46:Z46)</f>
        <v>217940.481409192</v>
      </c>
      <c r="S46" s="14" t="n">
        <f aca="false">IF(ISERROR($B46),"",IF(ISTEXT($A46),VLOOKUP($A46,All_Data,S$72,0),""))</f>
        <v>213439.546253597</v>
      </c>
      <c r="T46" s="15" t="n">
        <f aca="false">IF(ISERROR($B46),"",IF(ISTEXT($A46),VLOOKUP($A46,All_Data,T$72,0),""))</f>
        <v>3681.34274275349</v>
      </c>
      <c r="U46" s="15" t="n">
        <f aca="false">IF(ISERROR($B46),"",IF(ISTEXT($A46),VLOOKUP($A46,All_Data,U$72,0),""))</f>
        <v>664.441946855646</v>
      </c>
      <c r="V46" s="15" t="n">
        <f aca="false">IF(ISERROR($B46),"",IF(ISTEXT($A46),VLOOKUP($A46,All_Data,V$72,0),""))</f>
        <v>63.3505483394712</v>
      </c>
      <c r="W46" s="15" t="n">
        <f aca="false">IF(ISERROR($B46),"",IF(ISTEXT($A46),VLOOKUP($A46,All_Data,W$72,0),""))</f>
        <v>91.7999176465135</v>
      </c>
      <c r="X46" s="15" t="n">
        <f aca="false">IF(ISERROR($B46),"",IF(ISTEXT($A46),VLOOKUP($A46,All_Data,X$72,0),""))</f>
        <v>0</v>
      </c>
      <c r="Y46" s="15" t="n">
        <f aca="false">IF(ISERROR($B46),"",IF(ISTEXT($A46),VLOOKUP($A46,All_Data,Y$72,0),""))</f>
        <v>0</v>
      </c>
      <c r="Z46" s="16" t="n">
        <f aca="false">IF(ISERROR($B46),"",IF(ISTEXT($A46),VLOOKUP($A46,All_Data,Z$72,0),""))</f>
        <v>0</v>
      </c>
      <c r="AA46" s="25" t="n">
        <f aca="false">IF(N46=0,,R46/N46*1000)</f>
        <v>1005.70144525629</v>
      </c>
      <c r="AB46" s="26" t="n">
        <f aca="false">IF(ISERROR($B46),"",IF(ISTEXT($A46),VLOOKUP($A46,All_Data,AB$72,0),""))</f>
        <v>218005.18</v>
      </c>
      <c r="AC46" s="260" t="n">
        <f aca="false">IF(AB46=0,,R46/AB46)</f>
        <v>0.999703224525181</v>
      </c>
    </row>
    <row r="47" customFormat="false" ht="15" hidden="false" customHeight="false" outlineLevel="0" collapsed="false">
      <c r="A47" s="53" t="s">
        <v>136</v>
      </c>
      <c r="B47" s="254" t="str">
        <f aca="false">IF(LEN($A47)&gt;1,VLOOKUP($A47,All_Data,B$72,0),"")</f>
        <v>Pecos 2 HP Fuel</v>
      </c>
      <c r="C47" s="26" t="n">
        <f aca="false">IF(ISERROR($B47),"",IF(ISTEXT($A47),VLOOKUP($A47,All_Data,C$72,0),""))</f>
        <v>42390.88</v>
      </c>
      <c r="D47" s="14" t="n">
        <f aca="false">IF(ISERROR($B47),"",IF(ISTEXT($A47),VLOOKUP($A47,All_Data,D$72,0),""))</f>
        <v>72.064496</v>
      </c>
      <c r="E47" s="15" t="n">
        <f aca="false">IF(ISERROR($B47),"",IF(ISTEXT($A47),VLOOKUP($A47,All_Data,E$72,0),""))</f>
        <v>688.8518</v>
      </c>
      <c r="F47" s="15" t="n">
        <f aca="false">IF(ISERROR($B47),"",IF(ISTEXT($A47),VLOOKUP($A47,All_Data,F$72,0),""))</f>
        <v>38576.1247088</v>
      </c>
      <c r="G47" s="15" t="n">
        <f aca="false">IF(ISERROR($B47),"",IF(ISTEXT($A47),VLOOKUP($A47,All_Data,G$72,0),""))</f>
        <v>2915.2208176</v>
      </c>
      <c r="H47" s="15" t="n">
        <f aca="false">IF(ISERROR($B47),"",IF(ISTEXT($A47),VLOOKUP($A47,All_Data,H$72,0),""))</f>
        <v>138.6181776</v>
      </c>
      <c r="I47" s="15" t="n">
        <f aca="false">IF(ISERROR($B47),"",IF(ISTEXT($A47),VLOOKUP($A47,All_Data,I$72,0),""))</f>
        <v>0</v>
      </c>
      <c r="J47" s="15" t="n">
        <f aca="false">IF(ISERROR($B47),"",IF(ISTEXT($A47),VLOOKUP($A47,All_Data,J$72,0),""))</f>
        <v>0</v>
      </c>
      <c r="K47" s="15" t="n">
        <f aca="false">IF(ISERROR($B47),"",IF(ISTEXT($A47),VLOOKUP($A47,All_Data,K$72,0),""))</f>
        <v>0</v>
      </c>
      <c r="L47" s="15" t="n">
        <f aca="false">IF(ISERROR($B47),"",IF(ISTEXT($A47),VLOOKUP($A47,All_Data,L$72,0),""))</f>
        <v>0</v>
      </c>
      <c r="M47" s="15" t="n">
        <f aca="false">IF(ISERROR($B47),"",IF(ISTEXT($A47),VLOOKUP($A47,All_Data,M$72,0),""))</f>
        <v>0</v>
      </c>
      <c r="N47" s="17" t="n">
        <f aca="false">SUM(D47:M47)</f>
        <v>42390.88</v>
      </c>
      <c r="P47" s="53" t="s">
        <v>136</v>
      </c>
      <c r="Q47" s="254" t="str">
        <f aca="false">IF(LEN($A47)&gt;1,VLOOKUP($A47,All_Data,Q$72,0),"")</f>
        <v>Pecos 2 HP Fuel</v>
      </c>
      <c r="R47" s="13" t="n">
        <f aca="false">SUM(S47:Z47)</f>
        <v>44429.4203001966</v>
      </c>
      <c r="S47" s="14" t="n">
        <f aca="false">IF(ISERROR($B47),"",IF(ISTEXT($A47),VLOOKUP($A47,All_Data,S$72,0),""))</f>
        <v>38926.2867747209</v>
      </c>
      <c r="T47" s="15" t="n">
        <f aca="false">IF(ISERROR($B47),"",IF(ISTEXT($A47),VLOOKUP($A47,All_Data,T$72,0),""))</f>
        <v>5154.6650283375</v>
      </c>
      <c r="U47" s="15" t="n">
        <f aca="false">IF(ISERROR($B47),"",IF(ISTEXT($A47),VLOOKUP($A47,All_Data,U$72,0),""))</f>
        <v>348.468497138241</v>
      </c>
      <c r="V47" s="15" t="n">
        <f aca="false">IF(ISERROR($B47),"",IF(ISTEXT($A47),VLOOKUP($A47,All_Data,V$72,0),""))</f>
        <v>0</v>
      </c>
      <c r="W47" s="15" t="n">
        <f aca="false">IF(ISERROR($B47),"",IF(ISTEXT($A47),VLOOKUP($A47,All_Data,W$72,0),""))</f>
        <v>0</v>
      </c>
      <c r="X47" s="15" t="n">
        <f aca="false">IF(ISERROR($B47),"",IF(ISTEXT($A47),VLOOKUP($A47,All_Data,X$72,0),""))</f>
        <v>0</v>
      </c>
      <c r="Y47" s="15" t="n">
        <f aca="false">IF(ISERROR($B47),"",IF(ISTEXT($A47),VLOOKUP($A47,All_Data,Y$72,0),""))</f>
        <v>0</v>
      </c>
      <c r="Z47" s="16" t="n">
        <f aca="false">IF(ISERROR($B47),"",IF(ISTEXT($A47),VLOOKUP($A47,All_Data,Z$72,0),""))</f>
        <v>0</v>
      </c>
      <c r="AA47" s="25" t="n">
        <f aca="false">IF(N47=0,,R47/N47*1000)</f>
        <v>1048.08912436346</v>
      </c>
      <c r="AB47" s="26" t="n">
        <f aca="false">IF(ISERROR($B47),"",IF(ISTEXT($A47),VLOOKUP($A47,All_Data,AB$72,0),""))</f>
        <v>44425.64</v>
      </c>
      <c r="AC47" s="260" t="n">
        <f aca="false">IF(AB47=0,,R47/AB47)</f>
        <v>1.00008509275717</v>
      </c>
    </row>
    <row r="48" customFormat="false" ht="15" hidden="false" customHeight="false" outlineLevel="0" collapsed="false">
      <c r="A48" s="53" t="s">
        <v>179</v>
      </c>
      <c r="B48" s="254" t="e">
        <f aca="false">IF(LEN($A48)&gt;1,VLOOKUP($A48,All_Data,B$72,0),"")</f>
        <v>#N/A</v>
      </c>
      <c r="C48" s="26" t="str">
        <f aca="false">IF(ISERROR($B48),"",IF(ISTEXT($A48),VLOOKUP($A48,All_Data,C$72,0),""))</f>
        <v/>
      </c>
      <c r="D48" s="14" t="str">
        <f aca="false">IF(ISERROR($B48),"",IF(ISTEXT($A48),VLOOKUP($A48,All_Data,D$72,0),""))</f>
        <v/>
      </c>
      <c r="E48" s="15" t="str">
        <f aca="false">IF(ISERROR($B48),"",IF(ISTEXT($A48),VLOOKUP($A48,All_Data,E$72,0),""))</f>
        <v/>
      </c>
      <c r="F48" s="15" t="str">
        <f aca="false">IF(ISERROR($B48),"",IF(ISTEXT($A48),VLOOKUP($A48,All_Data,F$72,0),""))</f>
        <v/>
      </c>
      <c r="G48" s="15" t="str">
        <f aca="false">IF(ISERROR($B48),"",IF(ISTEXT($A48),VLOOKUP($A48,All_Data,G$72,0),""))</f>
        <v/>
      </c>
      <c r="H48" s="15" t="str">
        <f aca="false">IF(ISERROR($B48),"",IF(ISTEXT($A48),VLOOKUP($A48,All_Data,H$72,0),""))</f>
        <v/>
      </c>
      <c r="I48" s="15" t="str">
        <f aca="false">IF(ISERROR($B48),"",IF(ISTEXT($A48),VLOOKUP($A48,All_Data,I$72,0),""))</f>
        <v/>
      </c>
      <c r="J48" s="15" t="str">
        <f aca="false">IF(ISERROR($B48),"",IF(ISTEXT($A48),VLOOKUP($A48,All_Data,J$72,0),""))</f>
        <v/>
      </c>
      <c r="K48" s="15" t="str">
        <f aca="false">IF(ISERROR($B48),"",IF(ISTEXT($A48),VLOOKUP($A48,All_Data,K$72,0),""))</f>
        <v/>
      </c>
      <c r="L48" s="15" t="str">
        <f aca="false">IF(ISERROR($B48),"",IF(ISTEXT($A48),VLOOKUP($A48,All_Data,L$72,0),""))</f>
        <v/>
      </c>
      <c r="M48" s="15" t="str">
        <f aca="false">IF(ISERROR($B48),"",IF(ISTEXT($A48),VLOOKUP($A48,All_Data,M$72,0),""))</f>
        <v/>
      </c>
      <c r="N48" s="17" t="n">
        <f aca="false">SUM(D48:M48)</f>
        <v>0</v>
      </c>
      <c r="P48" s="53" t="s">
        <v>179</v>
      </c>
      <c r="Q48" s="254" t="e">
        <f aca="false">IF(LEN($A48)&gt;1,VLOOKUP($A48,All_Data,Q$72,0),"")</f>
        <v>#N/A</v>
      </c>
      <c r="R48" s="13" t="n">
        <f aca="false">SUM(S48:Z48)</f>
        <v>0</v>
      </c>
      <c r="S48" s="14" t="str">
        <f aca="false">IF(ISERROR($B48),"",IF(ISTEXT($A48),VLOOKUP($A48,All_Data,S$72,0),""))</f>
        <v/>
      </c>
      <c r="T48" s="15" t="str">
        <f aca="false">IF(ISERROR($B48),"",IF(ISTEXT($A48),VLOOKUP($A48,All_Data,T$72,0),""))</f>
        <v/>
      </c>
      <c r="U48" s="15" t="str">
        <f aca="false">IF(ISERROR($B48),"",IF(ISTEXT($A48),VLOOKUP($A48,All_Data,U$72,0),""))</f>
        <v/>
      </c>
      <c r="V48" s="15" t="str">
        <f aca="false">IF(ISERROR($B48),"",IF(ISTEXT($A48),VLOOKUP($A48,All_Data,V$72,0),""))</f>
        <v/>
      </c>
      <c r="W48" s="15" t="str">
        <f aca="false">IF(ISERROR($B48),"",IF(ISTEXT($A48),VLOOKUP($A48,All_Data,W$72,0),""))</f>
        <v/>
      </c>
      <c r="X48" s="15" t="str">
        <f aca="false">IF(ISERROR($B48),"",IF(ISTEXT($A48),VLOOKUP($A48,All_Data,X$72,0),""))</f>
        <v/>
      </c>
      <c r="Y48" s="15" t="str">
        <f aca="false">IF(ISERROR($B48),"",IF(ISTEXT($A48),VLOOKUP($A48,All_Data,Y$72,0),""))</f>
        <v/>
      </c>
      <c r="Z48" s="16" t="str">
        <f aca="false">IF(ISERROR($B48),"",IF(ISTEXT($A48),VLOOKUP($A48,All_Data,Z$72,0),""))</f>
        <v/>
      </c>
      <c r="AA48" s="25" t="n">
        <f aca="false">IF(N48=0,,R48/N48*1000)</f>
        <v>0</v>
      </c>
      <c r="AB48" s="26" t="str">
        <f aca="false">IF(ISERROR($B48),"",IF(ISTEXT($A48),VLOOKUP($A48,All_Data,AB$72,0),""))</f>
        <v/>
      </c>
      <c r="AC48" s="260" t="e">
        <f aca="false">IF(AB48=0,,R48/AB48)</f>
        <v>#VALUE!</v>
      </c>
    </row>
    <row r="49" customFormat="false" ht="15.75" hidden="false" customHeight="false" outlineLevel="0" collapsed="false">
      <c r="A49" s="53" t="s">
        <v>137</v>
      </c>
      <c r="B49" s="254"/>
      <c r="C49" s="261" t="e">
        <f aca="false">D49</f>
        <v>#REF!</v>
      </c>
      <c r="D49" s="262" t="e">
        <f aca="false">#REF!</f>
        <v>#REF!</v>
      </c>
      <c r="E49" s="263"/>
      <c r="F49" s="263"/>
      <c r="G49" s="263"/>
      <c r="H49" s="263"/>
      <c r="I49" s="263"/>
      <c r="J49" s="263"/>
      <c r="K49" s="263"/>
      <c r="L49" s="263"/>
      <c r="M49" s="263"/>
      <c r="N49" s="264"/>
      <c r="P49" s="265"/>
      <c r="Q49" s="266"/>
      <c r="R49" s="72"/>
      <c r="S49" s="262"/>
      <c r="T49" s="262"/>
      <c r="U49" s="262"/>
      <c r="V49" s="262"/>
      <c r="W49" s="262"/>
      <c r="X49" s="262"/>
      <c r="Y49" s="262"/>
      <c r="Z49" s="72"/>
      <c r="AA49" s="186"/>
      <c r="AB49" s="72"/>
      <c r="AC49" s="267"/>
    </row>
    <row r="50" customFormat="false" ht="15.75" hidden="false" customHeight="false" outlineLevel="0" collapsed="false">
      <c r="A50" s="268" t="s">
        <v>86</v>
      </c>
      <c r="B50" s="269"/>
      <c r="C50" s="270" t="e">
        <f aca="false">SUM(C42:C49)</f>
        <v>#REF!</v>
      </c>
      <c r="D50" s="271" t="e">
        <f aca="false">SUM(D42:D49)</f>
        <v>#REF!</v>
      </c>
      <c r="E50" s="272" t="n">
        <f aca="false">SUM(E42:E48)</f>
        <v>3872.6865995</v>
      </c>
      <c r="F50" s="272" t="n">
        <f aca="false">SUM(F42:F48)</f>
        <v>283604.7040392</v>
      </c>
      <c r="G50" s="272" t="n">
        <f aca="false">SUM(G42:G48)</f>
        <v>6003.3885326</v>
      </c>
      <c r="H50" s="272" t="n">
        <f aca="false">SUM(H42:H48)</f>
        <v>462.6979549</v>
      </c>
      <c r="I50" s="272" t="n">
        <f aca="false">SUM(I42:I48)</f>
        <v>20.8495259</v>
      </c>
      <c r="J50" s="272" t="n">
        <f aca="false">SUM(J42:J48)</f>
        <v>30.2869127</v>
      </c>
      <c r="K50" s="272" t="n">
        <f aca="false">SUM(K42:K48)</f>
        <v>0</v>
      </c>
      <c r="L50" s="272" t="n">
        <f aca="false">SUM(L42:L48)</f>
        <v>0</v>
      </c>
      <c r="M50" s="272" t="n">
        <f aca="false">SUM(M42:M48)</f>
        <v>0</v>
      </c>
      <c r="N50" s="273" t="n">
        <f aca="false">SUM(N42:N48)</f>
        <v>294086.26</v>
      </c>
      <c r="P50" s="268" t="s">
        <v>86</v>
      </c>
      <c r="Q50" s="269"/>
      <c r="R50" s="271" t="n">
        <f aca="false">SUM(S50:Z50)</f>
        <v>298059.79447338</v>
      </c>
      <c r="S50" s="271" t="n">
        <f aca="false">SUM(S42:S48)</f>
        <v>286116.356322765</v>
      </c>
      <c r="T50" s="271" t="n">
        <f aca="false">SUM(T42:T48)</f>
        <v>10614.0500317121</v>
      </c>
      <c r="U50" s="271" t="n">
        <f aca="false">SUM(U42:U48)</f>
        <v>1162.97229338797</v>
      </c>
      <c r="V50" s="271" t="n">
        <f aca="false">SUM(V42:V48)</f>
        <v>67.7229491248119</v>
      </c>
      <c r="W50" s="271" t="n">
        <f aca="false">SUM(W42:W48)</f>
        <v>98.6928763910026</v>
      </c>
      <c r="X50" s="271" t="n">
        <f aca="false">SUM(X42:X48)</f>
        <v>0</v>
      </c>
      <c r="Y50" s="271" t="n">
        <f aca="false">SUM(Y42:Y48)</f>
        <v>0</v>
      </c>
      <c r="Z50" s="271" t="n">
        <f aca="false">SUM(Z42:Z48)</f>
        <v>0</v>
      </c>
      <c r="AA50" s="274" t="n">
        <f aca="false">IF(N50=0,,R50/N50*1000)</f>
        <v>1013.51145909836</v>
      </c>
      <c r="AB50" s="271" t="n">
        <f aca="false">SUM(AB42:AB48)</f>
        <v>298115.24</v>
      </c>
      <c r="AC50" s="275" t="n">
        <f aca="false">IF(AB50=0,,R50/AB50)</f>
        <v>0.999814013109093</v>
      </c>
    </row>
    <row r="51" customFormat="false" ht="15" hidden="false" customHeight="false" outlineLevel="0" collapsed="false">
      <c r="A51" s="53" t="s">
        <v>138</v>
      </c>
      <c r="B51" s="254" t="str">
        <f aca="false">IF(LEN($A51)&gt;1,VLOOKUP($A51,All_Data,B$72,0),"")</f>
        <v>BOP VRU Makeup #2</v>
      </c>
      <c r="C51" s="26" t="n">
        <f aca="false">IF(ISERROR($B51),"",IF(ISTEXT($A51),VLOOKUP($A51,All_Data,C$72,0),""))</f>
        <v>0</v>
      </c>
      <c r="D51" s="14" t="n">
        <f aca="false">IF(ISERROR($B51),"",IF(ISTEXT($A51),VLOOKUP($A51,All_Data,D$72,0),""))</f>
        <v>0</v>
      </c>
      <c r="E51" s="15" t="n">
        <f aca="false">IF(ISERROR($B51),"",IF(ISTEXT($A51),VLOOKUP($A51,All_Data,E$72,0),""))</f>
        <v>0</v>
      </c>
      <c r="F51" s="15" t="n">
        <f aca="false">IF(ISERROR($B51),"",IF(ISTEXT($A51),VLOOKUP($A51,All_Data,F$72,0),""))</f>
        <v>0</v>
      </c>
      <c r="G51" s="15" t="n">
        <f aca="false">IF(ISERROR($B51),"",IF(ISTEXT($A51),VLOOKUP($A51,All_Data,G$72,0),""))</f>
        <v>0</v>
      </c>
      <c r="H51" s="15" t="n">
        <f aca="false">IF(ISERROR($B51),"",IF(ISTEXT($A51),VLOOKUP($A51,All_Data,H$72,0),""))</f>
        <v>0</v>
      </c>
      <c r="I51" s="15" t="n">
        <f aca="false">IF(ISERROR($B51),"",IF(ISTEXT($A51),VLOOKUP($A51,All_Data,I$72,0),""))</f>
        <v>0</v>
      </c>
      <c r="J51" s="15" t="n">
        <f aca="false">IF(ISERROR($B51),"",IF(ISTEXT($A51),VLOOKUP($A51,All_Data,J$72,0),""))</f>
        <v>0</v>
      </c>
      <c r="K51" s="15" t="n">
        <f aca="false">IF(ISERROR($B51),"",IF(ISTEXT($A51),VLOOKUP($A51,All_Data,K$72,0),""))</f>
        <v>0</v>
      </c>
      <c r="L51" s="15" t="n">
        <f aca="false">IF(ISERROR($B51),"",IF(ISTEXT($A51),VLOOKUP($A51,All_Data,L$72,0),""))</f>
        <v>0</v>
      </c>
      <c r="M51" s="15" t="n">
        <f aca="false">IF(ISERROR($B51),"",IF(ISTEXT($A51),VLOOKUP($A51,All_Data,M$72,0),""))</f>
        <v>0</v>
      </c>
      <c r="N51" s="17" t="n">
        <f aca="false">SUM(D51:M51)</f>
        <v>0</v>
      </c>
      <c r="P51" s="53" t="s">
        <v>138</v>
      </c>
      <c r="Q51" s="254" t="str">
        <f aca="false">IF(LEN($A51)&gt;1,VLOOKUP($A51,All_Data,Q$72,0),"")</f>
        <v>BOP VRU Makeup #2</v>
      </c>
      <c r="R51" s="14" t="n">
        <f aca="false">SUM(S51:Z51)</f>
        <v>0</v>
      </c>
      <c r="S51" s="14" t="n">
        <f aca="false">IF(ISERROR($B51),"",IF(ISTEXT($A51),VLOOKUP($A51,All_Data,S$72,0),""))</f>
        <v>0</v>
      </c>
      <c r="T51" s="14" t="n">
        <f aca="false">IF(ISERROR($B51),"",IF(ISTEXT($A51),VLOOKUP($A51,All_Data,T$72,0),""))</f>
        <v>0</v>
      </c>
      <c r="U51" s="14" t="n">
        <f aca="false">IF(ISERROR($B51),"",IF(ISTEXT($A51),VLOOKUP($A51,All_Data,U$72,0),""))</f>
        <v>0</v>
      </c>
      <c r="V51" s="14" t="n">
        <f aca="false">IF(ISERROR($B51),"",IF(ISTEXT($A51),VLOOKUP($A51,All_Data,V$72,0),""))</f>
        <v>0</v>
      </c>
      <c r="W51" s="14" t="n">
        <f aca="false">IF(ISERROR($B51),"",IF(ISTEXT($A51),VLOOKUP($A51,All_Data,W$72,0),""))</f>
        <v>0</v>
      </c>
      <c r="X51" s="14" t="n">
        <f aca="false">IF(ISERROR($B51),"",IF(ISTEXT($A51),VLOOKUP($A51,All_Data,X$72,0),""))</f>
        <v>0</v>
      </c>
      <c r="Y51" s="14" t="n">
        <f aca="false">IF(ISERROR($B51),"",IF(ISTEXT($A51),VLOOKUP($A51,All_Data,Y$72,0),""))</f>
        <v>0</v>
      </c>
      <c r="Z51" s="14" t="n">
        <f aca="false">IF(ISERROR($B51),"",IF(ISTEXT($A51),VLOOKUP($A51,All_Data,Z$72,0),""))</f>
        <v>0</v>
      </c>
      <c r="AA51" s="21" t="n">
        <f aca="false">IF(N51=0,,R51/N51*1000)</f>
        <v>0</v>
      </c>
      <c r="AB51" s="22" t="n">
        <f aca="false">IF(ISERROR($B51),"",IF(ISTEXT($A51),VLOOKUP($A51,All_Data,AB$72,0),""))</f>
        <v>0</v>
      </c>
      <c r="AC51" s="276" t="n">
        <f aca="false">IF(AB51=0,,R51/AB51)</f>
        <v>0</v>
      </c>
    </row>
    <row r="52" customFormat="false" ht="15.75" hidden="false" customHeight="false" outlineLevel="0" collapsed="false">
      <c r="A52" s="265"/>
      <c r="B52" s="266"/>
      <c r="C52" s="261"/>
      <c r="D52" s="262"/>
      <c r="E52" s="263"/>
      <c r="F52" s="263"/>
      <c r="G52" s="263"/>
      <c r="H52" s="263"/>
      <c r="I52" s="263"/>
      <c r="J52" s="263"/>
      <c r="K52" s="263"/>
      <c r="L52" s="263"/>
      <c r="M52" s="263"/>
      <c r="N52" s="264" t="n">
        <f aca="false">SUM(D52:M52)</f>
        <v>0</v>
      </c>
      <c r="P52" s="265"/>
      <c r="Q52" s="266"/>
      <c r="R52" s="262" t="n">
        <f aca="false">SUM(S52:Z52)</f>
        <v>0</v>
      </c>
      <c r="S52" s="262"/>
      <c r="T52" s="262"/>
      <c r="U52" s="262"/>
      <c r="V52" s="262"/>
      <c r="W52" s="262"/>
      <c r="X52" s="262"/>
      <c r="Y52" s="262"/>
      <c r="Z52" s="262"/>
      <c r="AA52" s="21" t="n">
        <f aca="false">IF(N52=0,,R52/N52*1000)</f>
        <v>0</v>
      </c>
      <c r="AB52" s="22"/>
      <c r="AC52" s="276" t="n">
        <f aca="false">IF(AB52=0,,R52/AB52)</f>
        <v>0</v>
      </c>
    </row>
    <row r="53" customFormat="false" ht="15.75" hidden="false" customHeight="false" outlineLevel="0" collapsed="false">
      <c r="A53" s="268" t="s">
        <v>86</v>
      </c>
      <c r="B53" s="269"/>
      <c r="C53" s="270" t="e">
        <f aca="false">C50-C51</f>
        <v>#REF!</v>
      </c>
      <c r="D53" s="271" t="e">
        <f aca="false">D50-D51</f>
        <v>#REF!</v>
      </c>
      <c r="E53" s="272" t="n">
        <f aca="false">E50-E51</f>
        <v>3872.6865995</v>
      </c>
      <c r="F53" s="272" t="n">
        <f aca="false">F50-F51</f>
        <v>283604.7040392</v>
      </c>
      <c r="G53" s="272" t="n">
        <f aca="false">G50-G51</f>
        <v>6003.3885326</v>
      </c>
      <c r="H53" s="272" t="n">
        <f aca="false">H50-H51</f>
        <v>462.6979549</v>
      </c>
      <c r="I53" s="272" t="n">
        <f aca="false">I50-I51</f>
        <v>20.8495259</v>
      </c>
      <c r="J53" s="272" t="n">
        <f aca="false">J50-J51</f>
        <v>30.2869127</v>
      </c>
      <c r="K53" s="272" t="n">
        <f aca="false">K50-K51</f>
        <v>0</v>
      </c>
      <c r="L53" s="272" t="n">
        <f aca="false">L50-L51</f>
        <v>0</v>
      </c>
      <c r="M53" s="272" t="n">
        <f aca="false">M50-M51</f>
        <v>0</v>
      </c>
      <c r="N53" s="273" t="n">
        <f aca="false">N50-N51</f>
        <v>294086.26</v>
      </c>
      <c r="P53" s="277" t="s">
        <v>86</v>
      </c>
      <c r="Q53" s="278"/>
      <c r="R53" s="279" t="n">
        <f aca="false">SUM(S53:Z53)</f>
        <v>298059.79447338</v>
      </c>
      <c r="S53" s="279" t="n">
        <f aca="false">S50-S51</f>
        <v>286116.356322765</v>
      </c>
      <c r="T53" s="279" t="n">
        <f aca="false">T50-T51</f>
        <v>10614.0500317121</v>
      </c>
      <c r="U53" s="279" t="n">
        <f aca="false">U50-U51</f>
        <v>1162.97229338797</v>
      </c>
      <c r="V53" s="279" t="n">
        <f aca="false">V50-V51</f>
        <v>67.7229491248119</v>
      </c>
      <c r="W53" s="279" t="n">
        <f aca="false">W50-W51</f>
        <v>98.6928763910026</v>
      </c>
      <c r="X53" s="279" t="n">
        <f aca="false">X50-X51</f>
        <v>0</v>
      </c>
      <c r="Y53" s="279" t="n">
        <f aca="false">Y50-Y51</f>
        <v>0</v>
      </c>
      <c r="Z53" s="279" t="n">
        <f aca="false">Z50-Z51</f>
        <v>0</v>
      </c>
      <c r="AA53" s="280" t="n">
        <f aca="false">IF(N53=0,,R53/N53*1000)</f>
        <v>1013.51145909836</v>
      </c>
      <c r="AB53" s="281" t="n">
        <f aca="false">AB50-AB51</f>
        <v>298115.24</v>
      </c>
      <c r="AC53" s="282" t="n">
        <f aca="false">IF(AB53=0,,R53/AB53)</f>
        <v>0.999814013109093</v>
      </c>
    </row>
    <row r="55" customFormat="false" ht="16.5" hidden="false" customHeight="false" outlineLevel="0" collapsed="false">
      <c r="A55" s="241" t="s">
        <v>170</v>
      </c>
      <c r="B55" s="242"/>
      <c r="C55" s="243"/>
      <c r="D55" s="244"/>
      <c r="E55" s="245"/>
      <c r="F55" s="245"/>
      <c r="G55" s="245"/>
      <c r="H55" s="245"/>
      <c r="I55" s="245"/>
      <c r="J55" s="245"/>
      <c r="K55" s="245"/>
      <c r="L55" s="245"/>
      <c r="M55" s="245"/>
      <c r="N55" s="246"/>
      <c r="P55" s="247" t="s">
        <v>170</v>
      </c>
      <c r="Q55" s="242"/>
      <c r="R55" s="245"/>
      <c r="S55" s="245"/>
      <c r="T55" s="245"/>
      <c r="U55" s="245"/>
      <c r="V55" s="245"/>
      <c r="W55" s="245"/>
      <c r="X55" s="245"/>
      <c r="Y55" s="245"/>
      <c r="Z55" s="245"/>
      <c r="AA55" s="245"/>
      <c r="AB55" s="245"/>
      <c r="AC55" s="283"/>
    </row>
    <row r="56" customFormat="false" ht="15" hidden="false" customHeight="false" outlineLevel="0" collapsed="false">
      <c r="A56" s="53" t="s">
        <v>180</v>
      </c>
      <c r="B56" s="254" t="str">
        <f aca="false">IF(LEN($A56)&gt;1,VLOOKUP($A56,All_Data,B$72,0),"")</f>
        <v>Pecos 1 Discharge</v>
      </c>
      <c r="C56" s="26" t="n">
        <f aca="false">IF(ISERROR($B56),"",IF(ISTEXT($A56),VLOOKUP($A56,All_Data,C$72,0),""))</f>
        <v>3465332.31</v>
      </c>
      <c r="D56" s="14" t="n">
        <f aca="false">IF(ISERROR($B56),"",IF(ISTEXT($A56),VLOOKUP($A56,All_Data,D$72,0),""))</f>
        <v>945.267309704949</v>
      </c>
      <c r="E56" s="15" t="n">
        <f aca="false">IF(ISERROR($B56),"",IF(ISTEXT($A56),VLOOKUP($A56,All_Data,E$72,0),""))</f>
        <v>35376.4172615864</v>
      </c>
      <c r="F56" s="15" t="n">
        <f aca="false">IF(ISERROR($B56),"",IF(ISTEXT($A56),VLOOKUP($A56,All_Data,F$72,0),""))</f>
        <v>3317961.57026768</v>
      </c>
      <c r="G56" s="15" t="n">
        <f aca="false">IF(ISERROR($B56),"",IF(ISTEXT($A56),VLOOKUP($A56,All_Data,G$72,0),""))</f>
        <v>108341.876432004</v>
      </c>
      <c r="H56" s="15" t="n">
        <f aca="false">IF(ISERROR($B56),"",IF(ISTEXT($A56),VLOOKUP($A56,All_Data,H$72,0),""))</f>
        <v>2677.16637953077</v>
      </c>
      <c r="I56" s="15" t="n">
        <f aca="false">IF(ISERROR($B56),"",IF(ISTEXT($A56),VLOOKUP($A56,All_Data,I$72,0),""))</f>
        <v>15.116072242252</v>
      </c>
      <c r="J56" s="15" t="n">
        <f aca="false">IF(ISERROR($B56),"",IF(ISTEXT($A56),VLOOKUP($A56,All_Data,J$72,0),""))</f>
        <v>14.8741107117435</v>
      </c>
      <c r="K56" s="15" t="n">
        <f aca="false">IF(ISERROR($B56),"",IF(ISTEXT($A56),VLOOKUP($A56,All_Data,K$72,0),""))</f>
        <v>0</v>
      </c>
      <c r="L56" s="15" t="n">
        <f aca="false">IF(ISERROR($B56),"",IF(ISTEXT($A56),VLOOKUP($A56,All_Data,L$72,0),""))</f>
        <v>0</v>
      </c>
      <c r="M56" s="15" t="n">
        <f aca="false">IF(ISERROR($B56),"",IF(ISTEXT($A56),VLOOKUP($A56,All_Data,M$72,0),""))</f>
        <v>0.0221665412612334</v>
      </c>
      <c r="N56" s="17" t="n">
        <f aca="false">SUM(D56:M56)</f>
        <v>3465332.31</v>
      </c>
      <c r="P56" s="53" t="s">
        <v>180</v>
      </c>
      <c r="Q56" s="254" t="str">
        <f aca="false">IF(LEN($A56)&gt;1,VLOOKUP($A56,All_Data,Q$72,0),"")</f>
        <v>Pecos 1 Discharge</v>
      </c>
      <c r="R56" s="15" t="n">
        <f aca="false">SUM(S56:Z56)</f>
        <v>3545864.18868007</v>
      </c>
      <c r="S56" s="15" t="n">
        <f aca="false">IF(ISERROR($B56),"",IF(ISTEXT($A56),VLOOKUP($A56,All_Data,S$72,0),""))</f>
        <v>3347501.60579003</v>
      </c>
      <c r="T56" s="15" t="n">
        <f aca="false">IF(ISERROR($B56),"",IF(ISTEXT($A56),VLOOKUP($A56,All_Data,T$72,0),""))</f>
        <v>191535.996888923</v>
      </c>
      <c r="U56" s="15" t="n">
        <f aca="false">IF(ISERROR($B56),"",IF(ISTEXT($A56),VLOOKUP($A56,All_Data,U$72,0),""))</f>
        <v>6728.89515488513</v>
      </c>
      <c r="V56" s="15" t="n">
        <f aca="false">IF(ISERROR($B56),"",IF(ISTEXT($A56),VLOOKUP($A56,All_Data,V$72,0),""))</f>
        <v>49.104129381764</v>
      </c>
      <c r="W56" s="15" t="n">
        <f aca="false">IF(ISERROR($B56),"",IF(ISTEXT($A56),VLOOKUP($A56,All_Data,W$72,0),""))</f>
        <v>48.4731381328509</v>
      </c>
      <c r="X56" s="15" t="n">
        <f aca="false">IF(ISERROR($B56),"",IF(ISTEXT($A56),VLOOKUP($A56,All_Data,X$72,0),""))</f>
        <v>0</v>
      </c>
      <c r="Y56" s="15" t="n">
        <f aca="false">IF(ISERROR($B56),"",IF(ISTEXT($A56),VLOOKUP($A56,All_Data,Y$72,0),""))</f>
        <v>0</v>
      </c>
      <c r="Z56" s="15" t="n">
        <f aca="false">IF(ISERROR($B56),"",IF(ISTEXT($A56),VLOOKUP($A56,All_Data,Z$72,0),""))</f>
        <v>0.113578714616864</v>
      </c>
      <c r="AA56" s="75" t="n">
        <f aca="false">IF(N56=0,,R56/N56*1000)</f>
        <v>1023.23929466957</v>
      </c>
      <c r="AB56" s="15" t="n">
        <f aca="false">IF(ISERROR($B56),"",IF(ISTEXT($A56),VLOOKUP($A56,All_Data,AB$72,0),""))</f>
        <v>3565243.69</v>
      </c>
      <c r="AC56" s="284" t="n">
        <f aca="false">IF(AB56=0,,R56/AB56)</f>
        <v>0.994564326311189</v>
      </c>
      <c r="AD56" s="285" t="n">
        <f aca="false">AB56/N56</f>
        <v>1.02883168800628</v>
      </c>
    </row>
    <row r="57" customFormat="false" ht="15.75" hidden="false" customHeight="false" outlineLevel="0" collapsed="false">
      <c r="A57" s="53" t="s">
        <v>181</v>
      </c>
      <c r="B57" s="254" t="str">
        <f aca="false">IF(LEN($A57)&gt;1,VLOOKUP($A57,All_Data,B$72,0),"")</f>
        <v>Pecos 2 Discharge</v>
      </c>
      <c r="C57" s="26" t="n">
        <f aca="false">IF(ISERROR($B57),"",IF(ISTEXT($A57),VLOOKUP($A57,All_Data,C$72,0),""))</f>
        <v>3811549.47</v>
      </c>
      <c r="D57" s="14" t="n">
        <f aca="false">IF(ISERROR($B57),"",IF(ISTEXT($A57),VLOOKUP($A57,All_Data,D$72,0),""))</f>
        <v>1828.89732755242</v>
      </c>
      <c r="E57" s="15" t="n">
        <f aca="false">IF(ISERROR($B57),"",IF(ISTEXT($A57),VLOOKUP($A57,All_Data,E$72,0),""))</f>
        <v>38792.2486608975</v>
      </c>
      <c r="F57" s="15" t="n">
        <f aca="false">IF(ISERROR($B57),"",IF(ISTEXT($A57),VLOOKUP($A57,All_Data,F$72,0),""))</f>
        <v>3627324.04178035</v>
      </c>
      <c r="G57" s="15" t="n">
        <f aca="false">IF(ISERROR($B57),"",IF(ISTEXT($A57),VLOOKUP($A57,All_Data,G$72,0),""))</f>
        <v>139826.243513327</v>
      </c>
      <c r="H57" s="15" t="n">
        <f aca="false">IF(ISERROR($B57),"",IF(ISTEXT($A57),VLOOKUP($A57,All_Data,H$72,0),""))</f>
        <v>3730.23833164592</v>
      </c>
      <c r="I57" s="15" t="n">
        <f aca="false">IF(ISERROR($B57),"",IF(ISTEXT($A57),VLOOKUP($A57,All_Data,I$72,0),""))</f>
        <v>25.5266769378789</v>
      </c>
      <c r="J57" s="15" t="n">
        <f aca="false">IF(ISERROR($B57),"",IF(ISTEXT($A57),VLOOKUP($A57,All_Data,J$72,0),""))</f>
        <v>22.2337935557492</v>
      </c>
      <c r="K57" s="15" t="n">
        <f aca="false">IF(ISERROR($B57),"",IF(ISTEXT($A57),VLOOKUP($A57,All_Data,K$72,0),""))</f>
        <v>0.0285112420665933</v>
      </c>
      <c r="L57" s="15" t="n">
        <f aca="false">IF(ISERROR($B57),"",IF(ISTEXT($A57),VLOOKUP($A57,All_Data,L$72,0),""))</f>
        <v>0.0114044962045567</v>
      </c>
      <c r="M57" s="15" t="n">
        <f aca="false">IF(ISERROR($B57),"",IF(ISTEXT($A57),VLOOKUP($A57,All_Data,M$72,0),""))</f>
        <v>0</v>
      </c>
      <c r="N57" s="17" t="n">
        <f aca="false">SUM(D57:M57)</f>
        <v>3811549.47</v>
      </c>
      <c r="P57" s="53" t="s">
        <v>181</v>
      </c>
      <c r="Q57" s="254" t="str">
        <f aca="false">IF(LEN($A57)&gt;1,VLOOKUP($A57,All_Data,Q$72,0),"")</f>
        <v>Pecos 2 Discharge</v>
      </c>
      <c r="R57" s="15" t="n">
        <f aca="false">SUM(S57:Z57)</f>
        <v>3916446.63401064</v>
      </c>
      <c r="S57" s="15" t="n">
        <f aca="false">IF(ISERROR($B57),"",IF(ISTEXT($A57),VLOOKUP($A57,All_Data,S$72,0),""))</f>
        <v>3659712.05085899</v>
      </c>
      <c r="T57" s="15" t="n">
        <f aca="false">IF(ISERROR($B57),"",IF(ISTEXT($A57),VLOOKUP($A57,All_Data,T$72,0),""))</f>
        <v>247203.071686305</v>
      </c>
      <c r="U57" s="15" t="n">
        <f aca="false">IF(ISERROR($B57),"",IF(ISTEXT($A57),VLOOKUP($A57,All_Data,U$72,0),""))</f>
        <v>9375.96762123701</v>
      </c>
      <c r="V57" s="15" t="n">
        <f aca="false">IF(ISERROR($B57),"",IF(ISTEXT($A57),VLOOKUP($A57,All_Data,V$72,0),""))</f>
        <v>82.924804797766</v>
      </c>
      <c r="W57" s="15" t="n">
        <f aca="false">IF(ISERROR($B57),"",IF(ISTEXT($A57),VLOOKUP($A57,All_Data,W$72,0),""))</f>
        <v>72.4594136059035</v>
      </c>
      <c r="X57" s="15" t="n">
        <f aca="false">IF(ISERROR($B57),"",IF(ISTEXT($A57),VLOOKUP($A57,All_Data,X$72,0),""))</f>
        <v>0.113954688889475</v>
      </c>
      <c r="Y57" s="15" t="n">
        <f aca="false">IF(ISERROR($B57),"",IF(ISTEXT($A57),VLOOKUP($A57,All_Data,Y$72,0),""))</f>
        <v>0.0456710162371092</v>
      </c>
      <c r="Z57" s="15" t="n">
        <f aca="false">IF(ISERROR($B57),"",IF(ISTEXT($A57),VLOOKUP($A57,All_Data,Z$72,0),""))</f>
        <v>0</v>
      </c>
      <c r="AA57" s="75" t="n">
        <f aca="false">IF(N57=0,,R57/N57*1000)</f>
        <v>1027.52087171799</v>
      </c>
      <c r="AB57" s="15" t="n">
        <f aca="false">IF(ISERROR($B57),"",IF(ISTEXT($A57),VLOOKUP($A57,All_Data,AB$72,0),""))</f>
        <v>3937855.59</v>
      </c>
      <c r="AC57" s="284" t="n">
        <f aca="false">IF(AB57=0,,R57/AB57)</f>
        <v>0.994563295809087</v>
      </c>
      <c r="AD57" s="285" t="n">
        <f aca="false">AB57/N57</f>
        <v>1.03313773597696</v>
      </c>
    </row>
    <row r="58" customFormat="false" ht="15.75" hidden="false" customHeight="false" outlineLevel="0" collapsed="false">
      <c r="A58" s="268" t="s">
        <v>86</v>
      </c>
      <c r="B58" s="269"/>
      <c r="C58" s="270" t="n">
        <f aca="false">SUM(C56:C57)</f>
        <v>7276881.78</v>
      </c>
      <c r="D58" s="271" t="n">
        <f aca="false">SUM(D56:D57)</f>
        <v>2774.16463725737</v>
      </c>
      <c r="E58" s="272" t="n">
        <f aca="false">SUM(E56:E57)</f>
        <v>74168.6659224839</v>
      </c>
      <c r="F58" s="272" t="n">
        <f aca="false">SUM(F56:F57)</f>
        <v>6945285.61204802</v>
      </c>
      <c r="G58" s="272" t="n">
        <f aca="false">SUM(G56:G57)</f>
        <v>248168.119945331</v>
      </c>
      <c r="H58" s="272" t="n">
        <f aca="false">SUM(H56:H57)</f>
        <v>6407.40471117668</v>
      </c>
      <c r="I58" s="272" t="n">
        <f aca="false">SUM(I56:I57)</f>
        <v>40.642749180131</v>
      </c>
      <c r="J58" s="272" t="n">
        <f aca="false">SUM(J56:J57)</f>
        <v>37.1079042674927</v>
      </c>
      <c r="K58" s="272" t="n">
        <f aca="false">SUM(K56:K57)</f>
        <v>0.0285112420665933</v>
      </c>
      <c r="L58" s="272" t="n">
        <f aca="false">SUM(L56:L57)</f>
        <v>0.0114044962045567</v>
      </c>
      <c r="M58" s="272" t="n">
        <f aca="false">SUM(M56:M57)</f>
        <v>0.0221665412612334</v>
      </c>
      <c r="N58" s="273" t="n">
        <f aca="false">SUM(N56:N57)</f>
        <v>7276881.78</v>
      </c>
      <c r="P58" s="277" t="s">
        <v>86</v>
      </c>
      <c r="Q58" s="278"/>
      <c r="R58" s="286" t="n">
        <f aca="false">SUM(S58:Z58)</f>
        <v>7462310.82269071</v>
      </c>
      <c r="S58" s="286" t="n">
        <f aca="false">SUM(S56:S57)</f>
        <v>7007213.65664902</v>
      </c>
      <c r="T58" s="286" t="n">
        <f aca="false">SUM(T56:T57)</f>
        <v>438739.068575229</v>
      </c>
      <c r="U58" s="286" t="n">
        <f aca="false">SUM(U56:U57)</f>
        <v>16104.8627761221</v>
      </c>
      <c r="V58" s="286" t="n">
        <f aca="false">SUM(V56:V57)</f>
        <v>132.02893417953</v>
      </c>
      <c r="W58" s="286" t="n">
        <f aca="false">SUM(W56:W57)</f>
        <v>120.932551738754</v>
      </c>
      <c r="X58" s="286" t="n">
        <f aca="false">SUM(X56:X57)</f>
        <v>0.113954688889475</v>
      </c>
      <c r="Y58" s="286" t="n">
        <f aca="false">SUM(Y56:Y57)</f>
        <v>0.0456710162371092</v>
      </c>
      <c r="Z58" s="286" t="n">
        <f aca="false">SUM(Z56:Z57)</f>
        <v>0.113578714616864</v>
      </c>
      <c r="AA58" s="287" t="n">
        <f aca="false">IF(N58=0,,R58/N58*1000)</f>
        <v>1025.48193694727</v>
      </c>
      <c r="AB58" s="286" t="n">
        <f aca="false">SUM(AB56:AB57)</f>
        <v>7503099.28</v>
      </c>
      <c r="AC58" s="288" t="n">
        <f aca="false">IF(AB58=0,,R58/AB58)</f>
        <v>0.994563785472222</v>
      </c>
      <c r="AD58" s="285" t="n">
        <f aca="false">AB58/N58</f>
        <v>1.03108714787998</v>
      </c>
    </row>
    <row r="60" customFormat="false" ht="16.5" hidden="false" customHeight="false" outlineLevel="0" collapsed="false">
      <c r="A60" s="241" t="s">
        <v>156</v>
      </c>
      <c r="B60" s="242"/>
      <c r="C60" s="243"/>
      <c r="D60" s="244"/>
      <c r="E60" s="245"/>
      <c r="F60" s="245"/>
      <c r="G60" s="245"/>
      <c r="H60" s="245"/>
      <c r="I60" s="245"/>
      <c r="J60" s="245"/>
      <c r="K60" s="245"/>
      <c r="L60" s="245"/>
      <c r="M60" s="245"/>
      <c r="N60" s="246"/>
      <c r="P60" s="247" t="s">
        <v>156</v>
      </c>
      <c r="Q60" s="242"/>
      <c r="R60" s="245"/>
      <c r="S60" s="245"/>
      <c r="T60" s="245"/>
      <c r="U60" s="245"/>
      <c r="V60" s="245"/>
      <c r="W60" s="245"/>
      <c r="X60" s="245"/>
      <c r="Y60" s="245"/>
      <c r="Z60" s="245"/>
      <c r="AA60" s="245"/>
      <c r="AB60" s="245"/>
      <c r="AC60" s="283"/>
    </row>
    <row r="61" customFormat="false" ht="15" hidden="false" customHeight="false" outlineLevel="0" collapsed="false">
      <c r="A61" s="53" t="s">
        <v>156</v>
      </c>
      <c r="B61" s="254"/>
      <c r="C61" s="26" t="n">
        <f aca="false">VLOOKUP($A61,Equiv_MCF,C$73,0)</f>
        <v>1428908.77666468</v>
      </c>
      <c r="D61" s="14" t="n">
        <f aca="false">VLOOKUP($A61,Equiv_MCF,D$73,0)</f>
        <v>68.4829232563957</v>
      </c>
      <c r="E61" s="15" t="n">
        <f aca="false">VLOOKUP($A61,Equiv_MCF,E$73,0)</f>
        <v>23.5616980070076</v>
      </c>
      <c r="F61" s="15" t="n">
        <f aca="false">VLOOKUP($A61,Equiv_MCF,F$73,0)</f>
        <v>2641.55959432703</v>
      </c>
      <c r="G61" s="15" t="n">
        <f aca="false">VLOOKUP($A61,Equiv_MCF,G$73,0)</f>
        <v>748348.742509551</v>
      </c>
      <c r="H61" s="15" t="n">
        <f aca="false">VLOOKUP($A61,Equiv_MCF,H$73,0)</f>
        <v>389489.877299164</v>
      </c>
      <c r="I61" s="15" t="n">
        <f aca="false">VLOOKUP($A61,Equiv_MCF,I$73,0)</f>
        <v>60040.9698044277</v>
      </c>
      <c r="J61" s="15" t="n">
        <f aca="false">VLOOKUP($A61,Equiv_MCF,J$73,0)</f>
        <v>134807.587221844</v>
      </c>
      <c r="K61" s="15" t="n">
        <f aca="false">VLOOKUP($A61,Equiv_MCF,K$73,0)</f>
        <v>33974.1607779725</v>
      </c>
      <c r="L61" s="15" t="n">
        <f aca="false">VLOOKUP($A61,Equiv_MCF,L$73,0)</f>
        <v>33314.5444059845</v>
      </c>
      <c r="M61" s="15" t="n">
        <f aca="false">VLOOKUP($A61,Equiv_MCF,M$73,0)</f>
        <v>26199.2904301452</v>
      </c>
      <c r="N61" s="17" t="n">
        <f aca="false">SUM(D61:M61)</f>
        <v>1428908.77666468</v>
      </c>
      <c r="P61" s="53" t="s">
        <v>156</v>
      </c>
      <c r="Q61" s="254"/>
      <c r="R61" s="15" t="n">
        <f aca="false">SUM(S61:Z61)</f>
        <v>3389979.48276012</v>
      </c>
      <c r="S61" s="15" t="n">
        <f aca="false">VLOOKUP($A61,Equiv_MCF,S$73,0)</f>
        <v>2701.58071280932</v>
      </c>
      <c r="T61" s="15" t="n">
        <f aca="false">VLOOKUP($A61,Equiv_MCF,T$73,0)</f>
        <v>1341115.48872453</v>
      </c>
      <c r="U61" s="15" t="n">
        <f aca="false">VLOOKUP($A61,Equiv_MCF,U$73,0)</f>
        <v>992367.804143093</v>
      </c>
      <c r="V61" s="15" t="n">
        <f aca="false">VLOOKUP($A61,Equiv_MCF,V$73,0)</f>
        <v>197712.827411643</v>
      </c>
      <c r="W61" s="15" t="n">
        <f aca="false">VLOOKUP($A61,Equiv_MCF,W$73,0)</f>
        <v>445340.8713176</v>
      </c>
      <c r="X61" s="15" t="n">
        <f aca="false">VLOOKUP($A61,Equiv_MCF,X$73,0)</f>
        <v>137645.422305973</v>
      </c>
      <c r="Y61" s="15" t="n">
        <f aca="false">VLOOKUP($A61,Equiv_MCF,Y$73,0)</f>
        <v>135236.966705877</v>
      </c>
      <c r="Z61" s="15" t="n">
        <f aca="false">VLOOKUP($A61,Equiv_MCF,Z$73,0)</f>
        <v>137858.521438591</v>
      </c>
      <c r="AA61" s="75" t="n">
        <f aca="false">IF(N61=0,,R61/N61*1000)</f>
        <v>2372.42540470143</v>
      </c>
      <c r="AB61" s="15" t="n">
        <f aca="false">R61</f>
        <v>3389979.48276012</v>
      </c>
      <c r="AC61" s="284" t="n">
        <f aca="false">IF(AB61=0,,R61/AB61)</f>
        <v>1</v>
      </c>
    </row>
    <row r="62" customFormat="false" ht="15.75" hidden="false" customHeight="false" outlineLevel="0" collapsed="false">
      <c r="A62" s="53"/>
      <c r="B62" s="254" t="str">
        <f aca="false">IF(LEN($A62)&gt;1,VLOOKUP($A62,All_Data,B$72,0),"")</f>
        <v/>
      </c>
      <c r="C62" s="26" t="str">
        <f aca="false">IF(ISERROR($B62),"",IF(ISTEXT($A62),VLOOKUP($A62,All_Data,C$72,0),""))</f>
        <v/>
      </c>
      <c r="D62" s="14" t="str">
        <f aca="false">IF(ISERROR($B62),"",IF(ISTEXT($A62),VLOOKUP($A62,All_Data,D$72,0),""))</f>
        <v/>
      </c>
      <c r="E62" s="15" t="str">
        <f aca="false">IF(ISERROR($B62),"",IF(ISTEXT($A62),VLOOKUP($A62,All_Data,E$72,0),""))</f>
        <v/>
      </c>
      <c r="F62" s="15" t="str">
        <f aca="false">IF(ISERROR($B62),"",IF(ISTEXT($A62),VLOOKUP($A62,All_Data,F$72,0),""))</f>
        <v/>
      </c>
      <c r="G62" s="15" t="str">
        <f aca="false">IF(ISERROR($B62),"",IF(ISTEXT($A62),VLOOKUP($A62,All_Data,G$72,0),""))</f>
        <v/>
      </c>
      <c r="H62" s="15" t="str">
        <f aca="false">IF(ISERROR($B62),"",IF(ISTEXT($A62),VLOOKUP($A62,All_Data,H$72,0),""))</f>
        <v/>
      </c>
      <c r="I62" s="15" t="str">
        <f aca="false">IF(ISERROR($B62),"",IF(ISTEXT($A62),VLOOKUP($A62,All_Data,I$72,0),""))</f>
        <v/>
      </c>
      <c r="J62" s="15" t="str">
        <f aca="false">IF(ISERROR($B62),"",IF(ISTEXT($A62),VLOOKUP($A62,All_Data,J$72,0),""))</f>
        <v/>
      </c>
      <c r="K62" s="15" t="str">
        <f aca="false">IF(ISERROR($B62),"",IF(ISTEXT($A62),VLOOKUP($A62,All_Data,K$72,0),""))</f>
        <v/>
      </c>
      <c r="L62" s="15" t="str">
        <f aca="false">IF(ISERROR($B62),"",IF(ISTEXT($A62),VLOOKUP($A62,All_Data,L$72,0),""))</f>
        <v/>
      </c>
      <c r="M62" s="15" t="str">
        <f aca="false">IF(ISERROR($B62),"",IF(ISTEXT($A62),VLOOKUP($A62,All_Data,M$72,0),""))</f>
        <v/>
      </c>
      <c r="N62" s="17" t="n">
        <f aca="false">SUM(D62:M62)</f>
        <v>0</v>
      </c>
      <c r="P62" s="53"/>
      <c r="Q62" s="254" t="str">
        <f aca="false">IF(LEN($A62)&gt;1,VLOOKUP($A62,All_Data,Q$72,0),"")</f>
        <v/>
      </c>
      <c r="R62" s="15" t="n">
        <f aca="false">SUM(S62:Z62)</f>
        <v>0</v>
      </c>
      <c r="S62" s="15" t="str">
        <f aca="false">IF(ISERROR($B62),"",IF(ISTEXT($A62),VLOOKUP($A62,All_Data,S$72,0),""))</f>
        <v/>
      </c>
      <c r="T62" s="15" t="str">
        <f aca="false">IF(ISERROR($B62),"",IF(ISTEXT($A62),VLOOKUP($A62,All_Data,T$72,0),""))</f>
        <v/>
      </c>
      <c r="U62" s="15" t="str">
        <f aca="false">IF(ISERROR($B62),"",IF(ISTEXT($A62),VLOOKUP($A62,All_Data,U$72,0),""))</f>
        <v/>
      </c>
      <c r="V62" s="15" t="str">
        <f aca="false">IF(ISERROR($B62),"",IF(ISTEXT($A62),VLOOKUP($A62,All_Data,V$72,0),""))</f>
        <v/>
      </c>
      <c r="W62" s="15" t="str">
        <f aca="false">IF(ISERROR($B62),"",IF(ISTEXT($A62),VLOOKUP($A62,All_Data,W$72,0),""))</f>
        <v/>
      </c>
      <c r="X62" s="15" t="str">
        <f aca="false">IF(ISERROR($B62),"",IF(ISTEXT($A62),VLOOKUP($A62,All_Data,X$72,0),""))</f>
        <v/>
      </c>
      <c r="Y62" s="15" t="str">
        <f aca="false">IF(ISERROR($B62),"",IF(ISTEXT($A62),VLOOKUP($A62,All_Data,Y$72,0),""))</f>
        <v/>
      </c>
      <c r="Z62" s="15" t="str">
        <f aca="false">IF(ISERROR($B62),"",IF(ISTEXT($A62),VLOOKUP($A62,All_Data,Z$72,0),""))</f>
        <v/>
      </c>
      <c r="AA62" s="75" t="n">
        <f aca="false">IF(N62=0,,R62/N62*1000)</f>
        <v>0</v>
      </c>
      <c r="AB62" s="15" t="str">
        <f aca="false">IF(ISERROR($B62),"",IF(ISTEXT($A62),VLOOKUP($A62,All_Data,AB$72,0),""))</f>
        <v/>
      </c>
      <c r="AC62" s="284"/>
    </row>
    <row r="63" customFormat="false" ht="15.75" hidden="false" customHeight="false" outlineLevel="0" collapsed="false">
      <c r="A63" s="268" t="s">
        <v>86</v>
      </c>
      <c r="B63" s="269"/>
      <c r="C63" s="270" t="n">
        <f aca="false">SUM(C61:C62)</f>
        <v>1428908.77666468</v>
      </c>
      <c r="D63" s="271" t="n">
        <f aca="false">SUM(D61:D62)</f>
        <v>68.4829232563957</v>
      </c>
      <c r="E63" s="272" t="n">
        <f aca="false">SUM(E61:E62)</f>
        <v>23.5616980070076</v>
      </c>
      <c r="F63" s="272" t="n">
        <f aca="false">SUM(F61:F62)</f>
        <v>2641.55959432703</v>
      </c>
      <c r="G63" s="272" t="n">
        <f aca="false">SUM(G61:G62)</f>
        <v>748348.742509551</v>
      </c>
      <c r="H63" s="272" t="n">
        <f aca="false">SUM(H61:H62)</f>
        <v>389489.877299164</v>
      </c>
      <c r="I63" s="272" t="n">
        <f aca="false">SUM(I61:I62)</f>
        <v>60040.9698044277</v>
      </c>
      <c r="J63" s="272" t="n">
        <f aca="false">SUM(J61:J62)</f>
        <v>134807.587221844</v>
      </c>
      <c r="K63" s="272" t="n">
        <f aca="false">SUM(K61:K62)</f>
        <v>33974.1607779725</v>
      </c>
      <c r="L63" s="272" t="n">
        <f aca="false">SUM(L61:L62)</f>
        <v>33314.5444059845</v>
      </c>
      <c r="M63" s="272" t="n">
        <f aca="false">SUM(M61:M62)</f>
        <v>26199.2904301452</v>
      </c>
      <c r="N63" s="273" t="n">
        <f aca="false">SUM(N61:N62)</f>
        <v>1428908.77666468</v>
      </c>
      <c r="P63" s="277" t="s">
        <v>86</v>
      </c>
      <c r="Q63" s="278"/>
      <c r="R63" s="286" t="n">
        <f aca="false">SUM(S63:Z63)</f>
        <v>3389979.48276012</v>
      </c>
      <c r="S63" s="286" t="n">
        <f aca="false">SUM(S61:S62)</f>
        <v>2701.58071280932</v>
      </c>
      <c r="T63" s="286" t="n">
        <f aca="false">SUM(T61:T62)</f>
        <v>1341115.48872453</v>
      </c>
      <c r="U63" s="286" t="n">
        <f aca="false">SUM(U61:U62)</f>
        <v>992367.804143093</v>
      </c>
      <c r="V63" s="286" t="n">
        <f aca="false">SUM(V61:V62)</f>
        <v>197712.827411643</v>
      </c>
      <c r="W63" s="286" t="n">
        <f aca="false">SUM(W61:W62)</f>
        <v>445340.8713176</v>
      </c>
      <c r="X63" s="286" t="n">
        <f aca="false">SUM(X61:X62)</f>
        <v>137645.422305973</v>
      </c>
      <c r="Y63" s="286" t="n">
        <f aca="false">SUM(Y61:Y62)</f>
        <v>135236.966705877</v>
      </c>
      <c r="Z63" s="286" t="n">
        <f aca="false">SUM(Z61:Z62)</f>
        <v>137858.521438591</v>
      </c>
      <c r="AA63" s="287" t="n">
        <f aca="false">IF(N63=0,,R63/N63*1000)</f>
        <v>2372.42540470143</v>
      </c>
      <c r="AB63" s="286" t="n">
        <f aca="false">SUM(AB61:AB62)</f>
        <v>3389979.48276012</v>
      </c>
      <c r="AC63" s="288" t="n">
        <f aca="false">IF(AB63=0,,R63/AB63)</f>
        <v>1</v>
      </c>
    </row>
    <row r="65" customFormat="false" ht="16.5" hidden="false" customHeight="false" outlineLevel="0" collapsed="false">
      <c r="A65" s="247" t="s">
        <v>177</v>
      </c>
      <c r="B65" s="242"/>
      <c r="C65" s="243"/>
      <c r="D65" s="244"/>
      <c r="E65" s="245"/>
      <c r="F65" s="245"/>
      <c r="G65" s="245"/>
      <c r="H65" s="245"/>
      <c r="I65" s="245"/>
      <c r="J65" s="245"/>
      <c r="K65" s="245"/>
      <c r="L65" s="245"/>
      <c r="M65" s="245"/>
      <c r="N65" s="246"/>
      <c r="P65" s="247" t="s">
        <v>177</v>
      </c>
      <c r="Q65" s="242"/>
      <c r="R65" s="245"/>
      <c r="S65" s="245"/>
      <c r="T65" s="245"/>
      <c r="U65" s="245"/>
      <c r="V65" s="245"/>
      <c r="W65" s="245"/>
      <c r="X65" s="245"/>
      <c r="Y65" s="245"/>
      <c r="Z65" s="245"/>
      <c r="AA65" s="245"/>
      <c r="AB65" s="245"/>
      <c r="AC65" s="283"/>
    </row>
    <row r="66" customFormat="false" ht="15" hidden="false" customHeight="false" outlineLevel="0" collapsed="false">
      <c r="A66" s="53" t="s">
        <v>159</v>
      </c>
      <c r="B66" s="254" t="str">
        <f aca="false">IF(LEN($A66)&gt;1,VLOOKUP($A66,All_Data,B$72,0),"")</f>
        <v>EPNG Check MTR #1</v>
      </c>
      <c r="C66" s="26" t="n">
        <f aca="false">IF(ISERROR($B66),"",IF(ISTEXT($A66),VLOOKUP($A66,All_Data,C$72,0),""))</f>
        <v>428115.53</v>
      </c>
      <c r="D66" s="14" t="n">
        <f aca="false">IF(ISERROR($B66),"",IF(ISTEXT($A66),VLOOKUP($A66,All_Data,D$72,0),""))</f>
        <v>122.326524451793</v>
      </c>
      <c r="E66" s="15" t="n">
        <f aca="false">IF(ISERROR($B66),"",IF(ISTEXT($A66),VLOOKUP($A66,All_Data,E$72,0),""))</f>
        <v>4403.84306677252</v>
      </c>
      <c r="F66" s="15" t="n">
        <f aca="false">IF(ISERROR($B66),"",IF(ISTEXT($A66),VLOOKUP($A66,All_Data,F$72,0),""))</f>
        <v>409677.845717062</v>
      </c>
      <c r="G66" s="15" t="n">
        <f aca="false">IF(ISERROR($B66),"",IF(ISTEXT($A66),VLOOKUP($A66,All_Data,G$72,0),""))</f>
        <v>13537.0347658842</v>
      </c>
      <c r="H66" s="15" t="n">
        <f aca="false">IF(ISERROR($B66),"",IF(ISTEXT($A66),VLOOKUP($A66,All_Data,H$72,0),""))</f>
        <v>358.515619554066</v>
      </c>
      <c r="I66" s="15" t="n">
        <f aca="false">IF(ISERROR($B66),"",IF(ISTEXT($A66),VLOOKUP($A66,All_Data,I$72,0),""))</f>
        <v>6.44600871405155</v>
      </c>
      <c r="J66" s="15" t="n">
        <f aca="false">IF(ISERROR($B66),"",IF(ISTEXT($A66),VLOOKUP($A66,All_Data,J$72,0),""))</f>
        <v>9.11614992673303</v>
      </c>
      <c r="K66" s="15" t="n">
        <f aca="false">IF(ISERROR($B66),"",IF(ISTEXT($A66),VLOOKUP($A66,All_Data,K$72,0),""))</f>
        <v>0.202625105741432</v>
      </c>
      <c r="L66" s="15" t="n">
        <f aca="false">IF(ISERROR($B66),"",IF(ISTEXT($A66),VLOOKUP($A66,All_Data,L$72,0),""))</f>
        <v>0.187937127345596</v>
      </c>
      <c r="M66" s="15" t="n">
        <f aca="false">IF(ISERROR($B66),"",IF(ISTEXT($A66),VLOOKUP($A66,All_Data,M$72,0),""))</f>
        <v>0.0115854016025313</v>
      </c>
      <c r="N66" s="17" t="n">
        <f aca="false">SUM(D66:M66)</f>
        <v>428115.53</v>
      </c>
      <c r="P66" s="53" t="s">
        <v>159</v>
      </c>
      <c r="Q66" s="254" t="str">
        <f aca="false">IF(LEN($A66)&gt;1,VLOOKUP($A66,All_Data,Q$72,0),"")</f>
        <v>EPNG Check MTR #1</v>
      </c>
      <c r="R66" s="15" t="n">
        <f aca="false">SUM(S66:Z66)</f>
        <v>438211.513945455</v>
      </c>
      <c r="S66" s="15" t="n">
        <f aca="false">IF(ISERROR($B66),"",IF(ISTEXT($A66),VLOOKUP($A66,All_Data,S$72,0),""))</f>
        <v>413326.158060862</v>
      </c>
      <c r="T66" s="15" t="n">
        <f aca="false">IF(ISERROR($B66),"",IF(ISTEXT($A66),VLOOKUP($A66,All_Data,T$72,0),""))</f>
        <v>23931.9764751043</v>
      </c>
      <c r="U66" s="15" t="n">
        <f aca="false">IF(ISERROR($B66),"",IF(ISTEXT($A66),VLOOKUP($A66,All_Data,U$72,0),""))</f>
        <v>901.109255001673</v>
      </c>
      <c r="V66" s="15" t="n">
        <f aca="false">IF(ISERROR($B66),"",IF(ISTEXT($A66),VLOOKUP($A66,All_Data,V$72,0),""))</f>
        <v>20.9397221415989</v>
      </c>
      <c r="W66" s="15" t="n">
        <f aca="false">IF(ISERROR($B66),"",IF(ISTEXT($A66),VLOOKUP($A66,All_Data,W$72,0),""))</f>
        <v>29.7086252647066</v>
      </c>
      <c r="X66" s="15" t="n">
        <f aca="false">IF(ISERROR($B66),"",IF(ISTEXT($A66),VLOOKUP($A66,All_Data,X$72,0),""))</f>
        <v>0.809839894622736</v>
      </c>
      <c r="Y66" s="15" t="n">
        <f aca="false">IF(ISERROR($B66),"",IF(ISTEXT($A66),VLOOKUP($A66,All_Data,Y$72,0),""))</f>
        <v>0.752604836668142</v>
      </c>
      <c r="Z66" s="15" t="n">
        <f aca="false">IF(ISERROR($B66),"",IF(ISTEXT($A66),VLOOKUP($A66,All_Data,Z$72,0),""))</f>
        <v>0.0593623490851435</v>
      </c>
      <c r="AA66" s="75" t="n">
        <f aca="false">IF(N66=0,,R66/N66*1000)</f>
        <v>1023.58238194595</v>
      </c>
      <c r="AB66" s="15" t="n">
        <f aca="false">IF(ISERROR($B66),"",IF(ISTEXT($A66),VLOOKUP($A66,All_Data,AB$72,0),""))</f>
        <v>440602.56</v>
      </c>
      <c r="AC66" s="284" t="n">
        <f aca="false">IF(AB66=0,,R66/AB66)</f>
        <v>0.99457323612794</v>
      </c>
    </row>
    <row r="67" customFormat="false" ht="15" hidden="false" customHeight="false" outlineLevel="0" collapsed="false">
      <c r="A67" s="53" t="s">
        <v>160</v>
      </c>
      <c r="B67" s="254" t="str">
        <f aca="false">IF(LEN($A67)&gt;1,VLOOKUP($A67,All_Data,B$72,0),"")</f>
        <v>EPNG Check MTR #2</v>
      </c>
      <c r="C67" s="26" t="n">
        <f aca="false">IF(ISERROR($B67),"",IF(ISTEXT($A67),VLOOKUP($A67,All_Data,C$72,0),""))</f>
        <v>4239406.28</v>
      </c>
      <c r="D67" s="14" t="n">
        <f aca="false">IF(ISERROR($B67),"",IF(ISTEXT($A67),VLOOKUP($A67,All_Data,D$72,0),""))</f>
        <v>1198.63489789474</v>
      </c>
      <c r="E67" s="15" t="n">
        <f aca="false">IF(ISERROR($B67),"",IF(ISTEXT($A67),VLOOKUP($A67,All_Data,E$72,0),""))</f>
        <v>43609.2304243154</v>
      </c>
      <c r="F67" s="15" t="n">
        <f aca="false">IF(ISERROR($B67),"",IF(ISTEXT($A67),VLOOKUP($A67,All_Data,F$72,0),""))</f>
        <v>4056902.55043941</v>
      </c>
      <c r="G67" s="15" t="n">
        <f aca="false">IF(ISERROR($B67),"",IF(ISTEXT($A67),VLOOKUP($A67,All_Data,G$72,0),""))</f>
        <v>133992.900887202</v>
      </c>
      <c r="H67" s="15" t="n">
        <f aca="false">IF(ISERROR($B67),"",IF(ISTEXT($A67),VLOOKUP($A67,All_Data,H$72,0),""))</f>
        <v>3545.1116259121</v>
      </c>
      <c r="I67" s="15" t="n">
        <f aca="false">IF(ISERROR($B67),"",IF(ISTEXT($A67),VLOOKUP($A67,All_Data,I$72,0),""))</f>
        <v>63.7417791481651</v>
      </c>
      <c r="J67" s="15" t="n">
        <f aca="false">IF(ISERROR($B67),"",IF(ISTEXT($A67),VLOOKUP($A67,All_Data,J$72,0),""))</f>
        <v>90.1633310315911</v>
      </c>
      <c r="K67" s="15" t="n">
        <f aca="false">IF(ISERROR($B67),"",IF(ISTEXT($A67),VLOOKUP($A67,All_Data,K$72,0),""))</f>
        <v>1.98788219309849</v>
      </c>
      <c r="L67" s="15" t="n">
        <f aca="false">IF(ISERROR($B67),"",IF(ISTEXT($A67),VLOOKUP($A67,All_Data,L$72,0),""))</f>
        <v>1.84522708819443</v>
      </c>
      <c r="M67" s="15" t="n">
        <f aca="false">IF(ISERROR($B67),"",IF(ISTEXT($A67),VLOOKUP($A67,All_Data,M$72,0),""))</f>
        <v>0.113505806476899</v>
      </c>
      <c r="N67" s="17" t="n">
        <f aca="false">SUM(D67:M67)</f>
        <v>4239406.28</v>
      </c>
      <c r="P67" s="53" t="s">
        <v>160</v>
      </c>
      <c r="Q67" s="254" t="str">
        <f aca="false">IF(LEN($A67)&gt;1,VLOOKUP($A67,All_Data,Q$72,0),"")</f>
        <v>EPNG Check MTR #2</v>
      </c>
      <c r="R67" s="15" t="n">
        <f aca="false">SUM(S67:Z67)</f>
        <v>4339342.08085416</v>
      </c>
      <c r="S67" s="15" t="n">
        <f aca="false">IF(ISERROR($B67),"",IF(ISTEXT($A67),VLOOKUP($A67,All_Data,S$72,0),""))</f>
        <v>4093030.25232798</v>
      </c>
      <c r="T67" s="15" t="n">
        <f aca="false">IF(ISERROR($B67),"",IF(ISTEXT($A67),VLOOKUP($A67,All_Data,T$72,0),""))</f>
        <v>236884.573427211</v>
      </c>
      <c r="U67" s="15" t="n">
        <f aca="false">IF(ISERROR($B67),"",IF(ISTEXT($A67),VLOOKUP($A67,All_Data,U$72,0),""))</f>
        <v>8910.44204755512</v>
      </c>
      <c r="V67" s="15" t="n">
        <f aca="false">IF(ISERROR($B67),"",IF(ISTEXT($A67),VLOOKUP($A67,All_Data,V$72,0),""))</f>
        <v>207.063797311069</v>
      </c>
      <c r="W67" s="15" t="n">
        <f aca="false">IF(ISERROR($B67),"",IF(ISTEXT($A67),VLOOKUP($A67,All_Data,W$72,0),""))</f>
        <v>293.833299186314</v>
      </c>
      <c r="X67" s="15" t="n">
        <f aca="false">IF(ISERROR($B67),"",IF(ISTEXT($A67),VLOOKUP($A67,All_Data,X$72,0),""))</f>
        <v>7.94504795668175</v>
      </c>
      <c r="Y67" s="15" t="n">
        <f aca="false">IF(ISERROR($B67),"",IF(ISTEXT($A67),VLOOKUP($A67,All_Data,Y$72,0),""))</f>
        <v>7.38931548256902</v>
      </c>
      <c r="Z67" s="15" t="n">
        <f aca="false">IF(ISERROR($B67),"",IF(ISTEXT($A67),VLOOKUP($A67,All_Data,Z$72,0),""))</f>
        <v>0.581591473631812</v>
      </c>
      <c r="AA67" s="75" t="n">
        <f aca="false">IF(N67=0,,R67/N67*1000)</f>
        <v>1023.57306524869</v>
      </c>
      <c r="AB67" s="15" t="n">
        <f aca="false">IF(ISERROR($B67),"",IF(ISTEXT($A67),VLOOKUP($A67,All_Data,AB$72,0),""))</f>
        <v>4363011.77</v>
      </c>
      <c r="AC67" s="284" t="n">
        <f aca="false">IF(AB67=0,,R67/AB67)</f>
        <v>0.994574919712894</v>
      </c>
    </row>
    <row r="68" customFormat="false" ht="15" hidden="false" customHeight="false" outlineLevel="0" collapsed="false">
      <c r="A68" s="53" t="s">
        <v>161</v>
      </c>
      <c r="B68" s="254" t="str">
        <f aca="false">IF(LEN($A68)&gt;1,VLOOKUP($A68,All_Data,B$72,0),"")</f>
        <v>ONEOK Check MTR #1</v>
      </c>
      <c r="C68" s="26" t="n">
        <f aca="false">IF(ISERROR($B68),"",IF(ISTEXT($A68),VLOOKUP($A68,All_Data,C$72,0),""))</f>
        <v>1887090.82</v>
      </c>
      <c r="D68" s="14" t="n">
        <f aca="false">IF(ISERROR($B68),"",IF(ISTEXT($A68),VLOOKUP($A68,All_Data,D$72,0),""))</f>
        <v>618.011309041949</v>
      </c>
      <c r="E68" s="15" t="n">
        <f aca="false">IF(ISERROR($B68),"",IF(ISTEXT($A68),VLOOKUP($A68,All_Data,E$72,0),""))</f>
        <v>18937.0602880649</v>
      </c>
      <c r="F68" s="15" t="n">
        <f aca="false">IF(ISERROR($B68),"",IF(ISTEXT($A68),VLOOKUP($A68,All_Data,F$72,0),""))</f>
        <v>1801853.4125819</v>
      </c>
      <c r="G68" s="15" t="n">
        <f aca="false">IF(ISERROR($B68),"",IF(ISTEXT($A68),VLOOKUP($A68,All_Data,G$72,0),""))</f>
        <v>64018.6138711528</v>
      </c>
      <c r="H68" s="15" t="n">
        <f aca="false">IF(ISERROR($B68),"",IF(ISTEXT($A68),VLOOKUP($A68,All_Data,H$72,0),""))</f>
        <v>1614.44083849639</v>
      </c>
      <c r="I68" s="15" t="n">
        <f aca="false">IF(ISERROR($B68),"",IF(ISTEXT($A68),VLOOKUP($A68,All_Data,I$72,0),""))</f>
        <v>27.3541714885906</v>
      </c>
      <c r="J68" s="15" t="n">
        <f aca="false">IF(ISERROR($B68),"",IF(ISTEXT($A68),VLOOKUP($A68,All_Data,J$72,0),""))</f>
        <v>21.8904990413979</v>
      </c>
      <c r="K68" s="15" t="n">
        <f aca="false">IF(ISERROR($B68),"",IF(ISTEXT($A68),VLOOKUP($A68,All_Data,K$72,0),""))</f>
        <v>0.0133855214149193</v>
      </c>
      <c r="L68" s="15" t="n">
        <f aca="false">IF(ISERROR($B68),"",IF(ISTEXT($A68),VLOOKUP($A68,All_Data,L$72,0),""))</f>
        <v>0.0230552943956925</v>
      </c>
      <c r="M68" s="15" t="n">
        <f aca="false">IF(ISERROR($B68),"",IF(ISTEXT($A68),VLOOKUP($A68,All_Data,M$72,0),""))</f>
        <v>0</v>
      </c>
      <c r="N68" s="17" t="n">
        <f aca="false">SUM(D68:M68)</f>
        <v>1887090.82</v>
      </c>
      <c r="P68" s="53" t="s">
        <v>161</v>
      </c>
      <c r="Q68" s="254" t="str">
        <f aca="false">IF(LEN($A68)&gt;1,VLOOKUP($A68,All_Data,Q$72,0),"")</f>
        <v>ONEOK Check MTR #1</v>
      </c>
      <c r="R68" s="15" t="n">
        <f aca="false">SUM(S68:Z68)</f>
        <v>1935316.00631137</v>
      </c>
      <c r="S68" s="15" t="n">
        <f aca="false">IF(ISERROR($B68),"",IF(ISTEXT($A68),VLOOKUP($A68,All_Data,S$72,0),""))</f>
        <v>1817918.79655688</v>
      </c>
      <c r="T68" s="15" t="n">
        <f aca="false">IF(ISERROR($B68),"",IF(ISTEXT($A68),VLOOKUP($A68,All_Data,T$72,0),""))</f>
        <v>113179.012650083</v>
      </c>
      <c r="U68" s="15" t="n">
        <f aca="false">IF(ISERROR($B68),"",IF(ISTEXT($A68),VLOOKUP($A68,All_Data,U$72,0),""))</f>
        <v>4057.85117559561</v>
      </c>
      <c r="V68" s="15" t="n">
        <f aca="false">IF(ISERROR($B68),"",IF(ISTEXT($A68),VLOOKUP($A68,All_Data,V$72,0),""))</f>
        <v>88.8603875223633</v>
      </c>
      <c r="W68" s="15" t="n">
        <f aca="false">IF(ISERROR($B68),"",IF(ISTEXT($A68),VLOOKUP($A68,All_Data,W$72,0),""))</f>
        <v>71.339715058815</v>
      </c>
      <c r="X68" s="15" t="n">
        <f aca="false">IF(ISERROR($B68),"",IF(ISTEXT($A68),VLOOKUP($A68,All_Data,X$72,0),""))</f>
        <v>0.0534990188597484</v>
      </c>
      <c r="Y68" s="15" t="n">
        <f aca="false">IF(ISERROR($B68),"",IF(ISTEXT($A68),VLOOKUP($A68,All_Data,Y$72,0),""))</f>
        <v>0.0923272083489917</v>
      </c>
      <c r="Z68" s="15" t="n">
        <f aca="false">IF(ISERROR($B68),"",IF(ISTEXT($A68),VLOOKUP($A68,All_Data,Z$72,0),""))</f>
        <v>0</v>
      </c>
      <c r="AA68" s="75" t="n">
        <f aca="false">IF(N68=0,,R68/N68*1000)</f>
        <v>1025.55530756668</v>
      </c>
      <c r="AB68" s="15" t="n">
        <f aca="false">IF(ISERROR($B68),"",IF(ISTEXT($A68),VLOOKUP($A68,All_Data,AB$72,0),""))</f>
        <v>1945942.1</v>
      </c>
      <c r="AC68" s="284" t="n">
        <f aca="false">IF(AB68=0,,R68/AB68)</f>
        <v>0.994539357728766</v>
      </c>
    </row>
    <row r="69" customFormat="false" ht="15.75" hidden="false" customHeight="false" outlineLevel="0" collapsed="false">
      <c r="A69" s="119" t="s">
        <v>162</v>
      </c>
      <c r="B69" s="289" t="str">
        <f aca="false">IF(LEN($A69)&gt;1,VLOOKUP($A69,All_Data,B$72,0),"")</f>
        <v>ONEOK Check MTR #2</v>
      </c>
      <c r="C69" s="120" t="n">
        <f aca="false">IF(ISERROR($B69),"",IF(ISTEXT($A69),VLOOKUP($A69,All_Data,C$72,0),""))</f>
        <v>669315.42</v>
      </c>
      <c r="D69" s="121" t="n">
        <f aca="false">IF(ISERROR($B69),"",IF(ISTEXT($A69),VLOOKUP($A69,All_Data,D$72,0),""))</f>
        <v>676.30518279757</v>
      </c>
      <c r="E69" s="122" t="n">
        <f aca="false">IF(ISERROR($B69),"",IF(ISTEXT($A69),VLOOKUP($A69,All_Data,E$72,0),""))</f>
        <v>6689.728457694</v>
      </c>
      <c r="F69" s="122" t="n">
        <f aca="false">IF(ISERROR($B69),"",IF(ISTEXT($A69),VLOOKUP($A69,All_Data,F$72,0),""))</f>
        <v>631179.062779155</v>
      </c>
      <c r="G69" s="122" t="n">
        <f aca="false">IF(ISERROR($B69),"",IF(ISTEXT($A69),VLOOKUP($A69,All_Data,G$72,0),""))</f>
        <v>29778.6265508273</v>
      </c>
      <c r="H69" s="122" t="n">
        <f aca="false">IF(ISERROR($B69),"",IF(ISTEXT($A69),VLOOKUP($A69,All_Data,H$72,0),""))</f>
        <v>960.695095174483</v>
      </c>
      <c r="I69" s="122" t="n">
        <f aca="false">IF(ISERROR($B69),"",IF(ISTEXT($A69),VLOOKUP($A69,All_Data,I$72,0),""))</f>
        <v>16.5577901707756</v>
      </c>
      <c r="J69" s="122" t="n">
        <f aca="false">IF(ISERROR($B69),"",IF(ISTEXT($A69),VLOOKUP($A69,All_Data,J$72,0),""))</f>
        <v>14.4061808092714</v>
      </c>
      <c r="K69" s="122" t="n">
        <f aca="false">IF(ISERROR($B69),"",IF(ISTEXT($A69),VLOOKUP($A69,All_Data,K$72,0),""))</f>
        <v>0.0379633718140451</v>
      </c>
      <c r="L69" s="122" t="n">
        <f aca="false">IF(ISERROR($B69),"",IF(ISTEXT($A69),VLOOKUP($A69,All_Data,L$72,0),""))</f>
        <v>0</v>
      </c>
      <c r="M69" s="122" t="n">
        <f aca="false">IF(ISERROR($B69),"",IF(ISTEXT($A69),VLOOKUP($A69,All_Data,M$72,0),""))</f>
        <v>0</v>
      </c>
      <c r="N69" s="290" t="n">
        <f aca="false">SUM(D69:M69)</f>
        <v>669315.42</v>
      </c>
      <c r="P69" s="119" t="s">
        <v>162</v>
      </c>
      <c r="Q69" s="289" t="str">
        <f aca="false">IF(LEN($A69)&gt;1,VLOOKUP($A69,All_Data,Q$72,0),"")</f>
        <v>ONEOK Check MTR #2</v>
      </c>
      <c r="R69" s="122" t="n">
        <f aca="false">SUM(S69:Z69)</f>
        <v>692004.482818625</v>
      </c>
      <c r="S69" s="122" t="n">
        <f aca="false">IF(ISERROR($B69),"",IF(ISTEXT($A69),VLOOKUP($A69,All_Data,S$72,0),""))</f>
        <v>636840.146131974</v>
      </c>
      <c r="T69" s="122" t="n">
        <f aca="false">IF(ISERROR($B69),"",IF(ISTEXT($A69),VLOOKUP($A69,All_Data,T$72,0),""))</f>
        <v>52648.6359055005</v>
      </c>
      <c r="U69" s="122" t="n">
        <f aca="false">IF(ISERROR($B69),"",IF(ISTEXT($A69),VLOOKUP($A69,All_Data,U$72,0),""))</f>
        <v>2414.80673911515</v>
      </c>
      <c r="V69" s="122" t="n">
        <f aca="false">IF(ISERROR($B69),"",IF(ISTEXT($A69),VLOOKUP($A69,All_Data,V$72,0),""))</f>
        <v>53.791027230289</v>
      </c>
      <c r="W69" s="122" t="n">
        <f aca="false">IF(ISERROR($B69),"",IF(ISTEXT($A69),VLOOKUP($A69,All_Data,W$72,0),""))</f>
        <v>46.9512754872073</v>
      </c>
      <c r="X69" s="122" t="n">
        <f aca="false">IF(ISERROR($B69),"",IF(ISTEXT($A69),VLOOKUP($A69,All_Data,X$72,0),""))</f>
        <v>0.151739318179387</v>
      </c>
      <c r="Y69" s="122" t="n">
        <f aca="false">IF(ISERROR($B69),"",IF(ISTEXT($A69),VLOOKUP($A69,All_Data,Y$72,0),""))</f>
        <v>0</v>
      </c>
      <c r="Z69" s="122" t="n">
        <f aca="false">IF(ISERROR($B69),"",IF(ISTEXT($A69),VLOOKUP($A69,All_Data,Z$72,0),""))</f>
        <v>0</v>
      </c>
      <c r="AA69" s="291" t="n">
        <f aca="false">IF(N69=0,,R69/N69*1000)</f>
        <v>1033.89890945382</v>
      </c>
      <c r="AB69" s="122" t="n">
        <f aca="false">IF(ISERROR($B69),"",IF(ISTEXT($A69),VLOOKUP($A69,All_Data,AB$72,0),""))</f>
        <v>695762.62</v>
      </c>
      <c r="AC69" s="292" t="n">
        <f aca="false">IF(AB69=0,,R69/AB69)</f>
        <v>0.994598535372058</v>
      </c>
    </row>
    <row r="70" customFormat="false" ht="15.75" hidden="false" customHeight="false" outlineLevel="0" collapsed="false">
      <c r="A70" s="277" t="s">
        <v>86</v>
      </c>
      <c r="B70" s="278"/>
      <c r="C70" s="293" t="n">
        <f aca="false">SUM(C66:C69)</f>
        <v>7223928.05</v>
      </c>
      <c r="D70" s="294" t="n">
        <f aca="false">SUM(D66:D69)</f>
        <v>2615.27791418605</v>
      </c>
      <c r="E70" s="295" t="n">
        <f aca="false">SUM(E66:E69)</f>
        <v>73639.8622368468</v>
      </c>
      <c r="F70" s="295" t="n">
        <f aca="false">SUM(F66:F69)</f>
        <v>6899612.87151752</v>
      </c>
      <c r="G70" s="295" t="n">
        <f aca="false">SUM(G66:G69)</f>
        <v>241327.176075066</v>
      </c>
      <c r="H70" s="295" t="n">
        <f aca="false">SUM(H66:H69)</f>
        <v>6478.76317913704</v>
      </c>
      <c r="I70" s="295" t="n">
        <f aca="false">SUM(I66:I69)</f>
        <v>114.099749521583</v>
      </c>
      <c r="J70" s="295" t="n">
        <f aca="false">SUM(J66:J69)</f>
        <v>135.576160808993</v>
      </c>
      <c r="K70" s="295" t="n">
        <f aca="false">SUM(K66:K69)</f>
        <v>2.24185619206888</v>
      </c>
      <c r="L70" s="295" t="n">
        <f aca="false">SUM(L66:L69)</f>
        <v>2.05621950993572</v>
      </c>
      <c r="M70" s="295" t="n">
        <f aca="false">SUM(M66:M69)</f>
        <v>0.12509120807943</v>
      </c>
      <c r="N70" s="296" t="n">
        <f aca="false">SUM(N66:N69)</f>
        <v>7223928.05</v>
      </c>
      <c r="P70" s="277" t="s">
        <v>86</v>
      </c>
      <c r="Q70" s="278"/>
      <c r="R70" s="286" t="n">
        <f aca="false">SUM(S70:Z70)</f>
        <v>7404874.08392961</v>
      </c>
      <c r="S70" s="286" t="n">
        <f aca="false">SUM(S66:S69)</f>
        <v>6961115.3530777</v>
      </c>
      <c r="T70" s="286" t="n">
        <f aca="false">SUM(T66:T69)</f>
        <v>426644.198457899</v>
      </c>
      <c r="U70" s="286" t="n">
        <f aca="false">SUM(U66:U69)</f>
        <v>16284.2092172676</v>
      </c>
      <c r="V70" s="286" t="n">
        <f aca="false">SUM(V66:V69)</f>
        <v>370.65493420532</v>
      </c>
      <c r="W70" s="286" t="n">
        <f aca="false">SUM(W66:W69)</f>
        <v>441.832914997042</v>
      </c>
      <c r="X70" s="286" t="n">
        <f aca="false">SUM(X66:X69)</f>
        <v>8.96012618834362</v>
      </c>
      <c r="Y70" s="286" t="n">
        <f aca="false">SUM(Y66:Y69)</f>
        <v>8.23424752758615</v>
      </c>
      <c r="Z70" s="286" t="n">
        <f aca="false">SUM(Z66:Z69)</f>
        <v>0.640953822716956</v>
      </c>
      <c r="AA70" s="287" t="n">
        <f aca="false">IF(N70=0,,R70/N70*1000)</f>
        <v>1025.04815007531</v>
      </c>
      <c r="AB70" s="286" t="n">
        <f aca="false">SUM(AB66:AB69)</f>
        <v>7445319.05</v>
      </c>
      <c r="AC70" s="288" t="n">
        <f aca="false">IF(AB70=0,,R70/AB70)</f>
        <v>0.994567732316268</v>
      </c>
    </row>
    <row r="71" customFormat="false" ht="15.75" hidden="false" customHeight="false" outlineLevel="0" collapsed="false"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</row>
    <row r="72" customFormat="false" ht="15" hidden="false" customHeight="false" outlineLevel="0" collapsed="false">
      <c r="B72" s="71" t="n">
        <v>2</v>
      </c>
      <c r="C72" s="71" t="n">
        <v>3</v>
      </c>
      <c r="D72" s="71" t="n">
        <v>17</v>
      </c>
      <c r="E72" s="71" t="n">
        <v>18</v>
      </c>
      <c r="F72" s="71" t="n">
        <v>19</v>
      </c>
      <c r="G72" s="71" t="n">
        <v>20</v>
      </c>
      <c r="H72" s="71" t="n">
        <v>21</v>
      </c>
      <c r="I72" s="71" t="n">
        <v>22</v>
      </c>
      <c r="J72" s="71" t="n">
        <v>23</v>
      </c>
      <c r="K72" s="71" t="n">
        <v>24</v>
      </c>
      <c r="L72" s="71" t="n">
        <v>25</v>
      </c>
      <c r="M72" s="71" t="n">
        <v>26</v>
      </c>
      <c r="Q72" s="71" t="n">
        <v>2</v>
      </c>
      <c r="R72" s="71"/>
      <c r="S72" s="71" t="n">
        <v>31</v>
      </c>
      <c r="T72" s="71" t="n">
        <v>32</v>
      </c>
      <c r="U72" s="71" t="n">
        <v>33</v>
      </c>
      <c r="V72" s="71" t="n">
        <v>34</v>
      </c>
      <c r="W72" s="71" t="n">
        <v>35</v>
      </c>
      <c r="X72" s="71" t="n">
        <v>36</v>
      </c>
      <c r="Y72" s="71" t="n">
        <v>37</v>
      </c>
      <c r="Z72" s="71" t="n">
        <v>38</v>
      </c>
      <c r="AA72" s="71"/>
      <c r="AB72" s="71" t="n">
        <v>4</v>
      </c>
    </row>
    <row r="73" customFormat="false" ht="15" hidden="false" customHeight="false" outlineLevel="0" collapsed="false">
      <c r="C73" s="71" t="n">
        <v>2</v>
      </c>
      <c r="D73" s="71" t="n">
        <v>3</v>
      </c>
      <c r="E73" s="71" t="n">
        <v>4</v>
      </c>
      <c r="F73" s="71" t="n">
        <v>5</v>
      </c>
      <c r="G73" s="71" t="n">
        <v>6</v>
      </c>
      <c r="H73" s="71" t="n">
        <v>7</v>
      </c>
      <c r="I73" s="71" t="n">
        <v>8</v>
      </c>
      <c r="J73" s="71" t="n">
        <v>9</v>
      </c>
      <c r="K73" s="71" t="n">
        <v>10</v>
      </c>
      <c r="L73" s="71" t="n">
        <v>11</v>
      </c>
      <c r="M73" s="71" t="n">
        <v>12</v>
      </c>
      <c r="R73" s="71" t="n">
        <v>14</v>
      </c>
      <c r="S73" s="71" t="n">
        <v>14</v>
      </c>
      <c r="T73" s="71" t="n">
        <v>15</v>
      </c>
      <c r="U73" s="71" t="n">
        <v>16</v>
      </c>
      <c r="V73" s="71" t="n">
        <v>17</v>
      </c>
      <c r="W73" s="71" t="n">
        <v>18</v>
      </c>
      <c r="X73" s="71" t="n">
        <v>19</v>
      </c>
      <c r="Y73" s="71" t="n">
        <v>20</v>
      </c>
      <c r="Z73" s="71" t="n">
        <v>21</v>
      </c>
    </row>
    <row r="77" customFormat="false" ht="15" hidden="false" customHeight="false" outlineLevel="0" collapsed="false">
      <c r="C77" s="18"/>
      <c r="D77" s="297"/>
      <c r="E77" s="18"/>
      <c r="F77" s="18"/>
      <c r="G77" s="18"/>
      <c r="H77" s="18"/>
      <c r="I77" s="18"/>
      <c r="J77" s="18"/>
      <c r="K77" s="18"/>
      <c r="L77" s="18"/>
      <c r="M77" s="18"/>
    </row>
    <row r="78" customFormat="false" ht="15" hidden="false" customHeight="false" outlineLevel="0" collapsed="false">
      <c r="C78" s="18"/>
      <c r="D78" s="297"/>
      <c r="E78" s="18"/>
      <c r="F78" s="18"/>
      <c r="G78" s="18"/>
      <c r="H78" s="18"/>
      <c r="I78" s="18"/>
      <c r="J78" s="18"/>
      <c r="K78" s="18"/>
      <c r="L78" s="18"/>
      <c r="M78" s="18"/>
    </row>
    <row r="79" customFormat="false" ht="15" hidden="false" customHeight="false" outlineLevel="0" collapsed="false">
      <c r="C79" s="18"/>
      <c r="D79" s="297"/>
      <c r="E79" s="18"/>
      <c r="F79" s="18"/>
      <c r="G79" s="18"/>
      <c r="H79" s="18"/>
      <c r="I79" s="18"/>
      <c r="J79" s="18"/>
      <c r="K79" s="18"/>
      <c r="L79" s="18"/>
      <c r="M79" s="18"/>
    </row>
    <row r="80" customFormat="false" ht="15" hidden="false" customHeight="false" outlineLevel="0" collapsed="false">
      <c r="D80" s="297"/>
      <c r="E80" s="298"/>
      <c r="F80" s="298"/>
      <c r="G80" s="298"/>
      <c r="H80" s="298"/>
      <c r="I80" s="298"/>
      <c r="J80" s="298"/>
      <c r="K80" s="298"/>
      <c r="L80" s="298"/>
      <c r="M80" s="298"/>
      <c r="N80" s="299"/>
    </row>
    <row r="81" customFormat="false" ht="15" hidden="false" customHeight="false" outlineLevel="0" collapsed="false">
      <c r="D81" s="297"/>
      <c r="N81" s="235"/>
    </row>
    <row r="82" customFormat="false" ht="15" hidden="false" customHeight="false" outlineLevel="0" collapsed="false">
      <c r="C82" s="18"/>
      <c r="D82" s="297"/>
    </row>
    <row r="83" customFormat="false" ht="15" hidden="false" customHeight="false" outlineLevel="0" collapsed="false">
      <c r="D83" s="297"/>
    </row>
    <row r="84" customFormat="false" ht="15" hidden="false" customHeight="false" outlineLevel="0" collapsed="false">
      <c r="D84" s="297"/>
    </row>
    <row r="85" customFormat="false" ht="15" hidden="false" customHeight="false" outlineLevel="0" collapsed="false">
      <c r="D85" s="297"/>
    </row>
    <row r="86" customFormat="false" ht="15" hidden="false" customHeight="false" outlineLevel="0" collapsed="false">
      <c r="D86" s="29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BT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0" topLeftCell="D1" activePane="topRight" state="frozen"/>
      <selection pane="topLeft" activeCell="A1" activeCellId="0" sqref="A1"/>
      <selection pane="topRight" activeCell="D20" activeCellId="0" sqref="D20"/>
    </sheetView>
  </sheetViews>
  <sheetFormatPr defaultColWidth="8.54296875" defaultRowHeight="15" zeroHeight="false" outlineLevelRow="0" outlineLevelCol="0"/>
  <cols>
    <col collapsed="false" customWidth="true" hidden="false" outlineLevel="0" max="3" min="2" style="0" width="24"/>
    <col collapsed="false" customWidth="true" hidden="false" outlineLevel="0" max="4" min="4" style="0" width="15.14"/>
    <col collapsed="false" customWidth="true" hidden="false" outlineLevel="0" max="6" min="5" style="0" width="12.57"/>
    <col collapsed="false" customWidth="true" hidden="false" outlineLevel="0" max="7" min="7" style="0" width="13.28"/>
    <col collapsed="false" customWidth="true" hidden="false" outlineLevel="0" max="9" min="8" style="0" width="14.43"/>
    <col collapsed="false" customWidth="true" hidden="false" outlineLevel="0" max="10" min="10" style="0" width="13.43"/>
    <col collapsed="false" customWidth="true" hidden="false" outlineLevel="0" max="11" min="11" style="0" width="13.71"/>
    <col collapsed="false" customWidth="true" hidden="false" outlineLevel="0" max="14" min="12" style="0" width="13.43"/>
    <col collapsed="false" customWidth="true" hidden="false" outlineLevel="0" max="16" min="15" style="0" width="10.57"/>
    <col collapsed="false" customWidth="true" hidden="false" outlineLevel="0" max="18" min="18" style="0" width="25.57"/>
    <col collapsed="false" customWidth="true" hidden="false" outlineLevel="0" max="19" min="19" style="0" width="11.14"/>
    <col collapsed="false" customWidth="true" hidden="false" outlineLevel="0" max="29" min="20" style="0" width="10.71"/>
    <col collapsed="false" customWidth="true" hidden="false" outlineLevel="0" max="30" min="30" style="0" width="11.14"/>
    <col collapsed="false" customWidth="true" hidden="false" outlineLevel="0" max="39" min="31" style="0" width="10.71"/>
    <col collapsed="false" customWidth="true" hidden="false" outlineLevel="0" max="40" min="40" style="0" width="11.14"/>
    <col collapsed="false" customWidth="true" hidden="false" outlineLevel="0" max="43" min="41" style="0" width="9.28"/>
    <col collapsed="false" customWidth="true" hidden="false" outlineLevel="0" max="45" min="44" style="0" width="11.57"/>
    <col collapsed="false" customWidth="true" hidden="false" outlineLevel="0" max="48" min="46" style="0" width="10.57"/>
    <col collapsed="false" customWidth="true" hidden="false" outlineLevel="0" max="50" min="49" style="0" width="11.57"/>
    <col collapsed="false" customWidth="true" hidden="false" outlineLevel="0" max="61" min="51" style="0" width="10.71"/>
    <col collapsed="false" customWidth="true" hidden="false" outlineLevel="0" max="62" min="62" style="0" width="12"/>
    <col collapsed="false" customWidth="true" hidden="false" outlineLevel="0" max="64" min="63" style="0" width="9.57"/>
  </cols>
  <sheetData>
    <row r="1" customFormat="false" ht="16.5" hidden="false" customHeight="false" outlineLevel="0" collapsed="false">
      <c r="R1" s="300" t="n">
        <v>1</v>
      </c>
      <c r="S1" s="301" t="n">
        <v>2</v>
      </c>
      <c r="T1" s="301" t="n">
        <v>3</v>
      </c>
      <c r="U1" s="301" t="n">
        <v>4</v>
      </c>
      <c r="V1" s="301" t="n">
        <v>5</v>
      </c>
      <c r="W1" s="301" t="n">
        <v>6</v>
      </c>
      <c r="X1" s="301" t="n">
        <v>7</v>
      </c>
      <c r="Y1" s="301" t="n">
        <v>8</v>
      </c>
      <c r="Z1" s="301" t="n">
        <v>9</v>
      </c>
      <c r="AA1" s="301" t="n">
        <v>10</v>
      </c>
      <c r="AB1" s="301" t="n">
        <v>11</v>
      </c>
      <c r="AC1" s="301" t="n">
        <v>12</v>
      </c>
      <c r="AD1" s="301" t="n">
        <v>13</v>
      </c>
      <c r="AE1" s="301" t="n">
        <v>14</v>
      </c>
      <c r="AF1" s="301" t="n">
        <v>15</v>
      </c>
      <c r="AG1" s="301" t="n">
        <v>16</v>
      </c>
      <c r="AH1" s="301" t="n">
        <v>17</v>
      </c>
      <c r="AI1" s="301" t="n">
        <v>18</v>
      </c>
      <c r="AJ1" s="301" t="n">
        <v>19</v>
      </c>
      <c r="AK1" s="301" t="n">
        <v>20</v>
      </c>
      <c r="AL1" s="301" t="n">
        <v>21</v>
      </c>
      <c r="AM1" s="302" t="n">
        <v>22</v>
      </c>
      <c r="AN1" s="303" t="s">
        <v>182</v>
      </c>
      <c r="AO1" s="303"/>
      <c r="AP1" s="303"/>
      <c r="AQ1" s="303"/>
      <c r="AR1" s="303"/>
      <c r="AS1" s="303"/>
      <c r="AT1" s="303"/>
      <c r="AU1" s="303"/>
      <c r="AV1" s="303"/>
      <c r="AW1" s="303"/>
      <c r="AX1" s="303"/>
      <c r="AY1" s="304" t="s">
        <v>183</v>
      </c>
      <c r="AZ1" s="304"/>
      <c r="BA1" s="304"/>
      <c r="BB1" s="304"/>
      <c r="BC1" s="304"/>
      <c r="BD1" s="304"/>
      <c r="BE1" s="304"/>
      <c r="BF1" s="304"/>
      <c r="BG1" s="304"/>
      <c r="BH1" s="304"/>
      <c r="BI1" s="304"/>
      <c r="BJ1" s="305" t="s">
        <v>184</v>
      </c>
      <c r="BK1" s="305"/>
      <c r="BL1" s="305"/>
      <c r="BM1" s="305"/>
      <c r="BN1" s="305"/>
      <c r="BO1" s="305"/>
      <c r="BP1" s="305"/>
      <c r="BQ1" s="305"/>
      <c r="BR1" s="305"/>
      <c r="BS1" s="305"/>
      <c r="BT1" s="305"/>
    </row>
    <row r="2" customFormat="false" ht="16.5" hidden="false" customHeight="false" outlineLevel="0" collapsed="false">
      <c r="C2" s="306"/>
      <c r="D2" s="307" t="s">
        <v>185</v>
      </c>
      <c r="E2" s="308" t="s">
        <v>1</v>
      </c>
      <c r="F2" s="309" t="s">
        <v>2</v>
      </c>
      <c r="G2" s="309" t="s">
        <v>3</v>
      </c>
      <c r="H2" s="309" t="s">
        <v>4</v>
      </c>
      <c r="I2" s="309" t="s">
        <v>5</v>
      </c>
      <c r="J2" s="309" t="s">
        <v>6</v>
      </c>
      <c r="K2" s="309" t="s">
        <v>7</v>
      </c>
      <c r="L2" s="309" t="s">
        <v>8</v>
      </c>
      <c r="M2" s="309" t="s">
        <v>9</v>
      </c>
      <c r="N2" s="309" t="s">
        <v>10</v>
      </c>
      <c r="O2" s="309" t="s">
        <v>186</v>
      </c>
      <c r="P2" s="309"/>
      <c r="Q2" s="310"/>
      <c r="R2" s="311"/>
      <c r="S2" s="312" t="s">
        <v>187</v>
      </c>
      <c r="T2" s="313" t="s">
        <v>1</v>
      </c>
      <c r="U2" s="313" t="s">
        <v>2</v>
      </c>
      <c r="V2" s="313" t="s">
        <v>3</v>
      </c>
      <c r="W2" s="313" t="s">
        <v>4</v>
      </c>
      <c r="X2" s="313" t="s">
        <v>5</v>
      </c>
      <c r="Y2" s="313" t="s">
        <v>6</v>
      </c>
      <c r="Z2" s="313" t="s">
        <v>7</v>
      </c>
      <c r="AA2" s="313" t="s">
        <v>8</v>
      </c>
      <c r="AB2" s="313" t="s">
        <v>9</v>
      </c>
      <c r="AC2" s="314" t="s">
        <v>10</v>
      </c>
      <c r="AD2" s="315" t="s">
        <v>13</v>
      </c>
      <c r="AE2" s="316" t="s">
        <v>3</v>
      </c>
      <c r="AF2" s="316" t="s">
        <v>4</v>
      </c>
      <c r="AG2" s="316" t="s">
        <v>5</v>
      </c>
      <c r="AH2" s="316" t="s">
        <v>6</v>
      </c>
      <c r="AI2" s="316" t="s">
        <v>7</v>
      </c>
      <c r="AJ2" s="316" t="s">
        <v>8</v>
      </c>
      <c r="AK2" s="316" t="s">
        <v>9</v>
      </c>
      <c r="AL2" s="316" t="s">
        <v>10</v>
      </c>
      <c r="AM2" s="317" t="s">
        <v>14</v>
      </c>
      <c r="AN2" s="318" t="s">
        <v>188</v>
      </c>
      <c r="AO2" s="319" t="s">
        <v>1</v>
      </c>
      <c r="AP2" s="319" t="s">
        <v>2</v>
      </c>
      <c r="AQ2" s="319" t="s">
        <v>3</v>
      </c>
      <c r="AR2" s="319" t="s">
        <v>4</v>
      </c>
      <c r="AS2" s="319" t="s">
        <v>5</v>
      </c>
      <c r="AT2" s="319" t="s">
        <v>6</v>
      </c>
      <c r="AU2" s="319" t="s">
        <v>7</v>
      </c>
      <c r="AV2" s="319" t="s">
        <v>8</v>
      </c>
      <c r="AW2" s="319" t="s">
        <v>9</v>
      </c>
      <c r="AX2" s="320" t="s">
        <v>10</v>
      </c>
      <c r="AY2" s="318" t="s">
        <v>1</v>
      </c>
      <c r="AZ2" s="319" t="s">
        <v>2</v>
      </c>
      <c r="BA2" s="319" t="s">
        <v>3</v>
      </c>
      <c r="BB2" s="319" t="s">
        <v>4</v>
      </c>
      <c r="BC2" s="319" t="s">
        <v>5</v>
      </c>
      <c r="BD2" s="319" t="s">
        <v>6</v>
      </c>
      <c r="BE2" s="319" t="s">
        <v>7</v>
      </c>
      <c r="BF2" s="319" t="s">
        <v>8</v>
      </c>
      <c r="BG2" s="319" t="s">
        <v>9</v>
      </c>
      <c r="BH2" s="319" t="s">
        <v>10</v>
      </c>
      <c r="BI2" s="321"/>
      <c r="BJ2" s="322" t="s">
        <v>1</v>
      </c>
      <c r="BK2" s="319" t="s">
        <v>2</v>
      </c>
      <c r="BL2" s="319" t="s">
        <v>3</v>
      </c>
      <c r="BM2" s="319" t="s">
        <v>4</v>
      </c>
      <c r="BN2" s="319" t="s">
        <v>5</v>
      </c>
      <c r="BO2" s="319" t="s">
        <v>6</v>
      </c>
      <c r="BP2" s="319" t="s">
        <v>7</v>
      </c>
      <c r="BQ2" s="319" t="s">
        <v>8</v>
      </c>
      <c r="BR2" s="319" t="s">
        <v>9</v>
      </c>
      <c r="BS2" s="319" t="s">
        <v>10</v>
      </c>
      <c r="BT2" s="323" t="s">
        <v>189</v>
      </c>
    </row>
    <row r="3" customFormat="false" ht="15" hidden="false" customHeight="false" outlineLevel="0" collapsed="false">
      <c r="C3" s="324" t="s">
        <v>140</v>
      </c>
      <c r="D3" s="325" t="n">
        <v>162</v>
      </c>
      <c r="E3" s="20" t="n">
        <f aca="false">$D3*E40/$P40</f>
        <v>0.00162</v>
      </c>
      <c r="F3" s="188" t="n">
        <f aca="false">$D3*F40/$P40</f>
        <v>0.0243</v>
      </c>
      <c r="G3" s="188" t="n">
        <f aca="false">$D3*G40/$P40</f>
        <v>0.07614</v>
      </c>
      <c r="H3" s="188" t="n">
        <f aca="false">$D3*H40/$P40</f>
        <v>0.53622</v>
      </c>
      <c r="I3" s="188" t="n">
        <f aca="false">$D3*I40/$P40</f>
        <v>3.98196</v>
      </c>
      <c r="J3" s="188" t="n">
        <f aca="false">$D3*J40/$P40</f>
        <v>2.43648</v>
      </c>
      <c r="K3" s="188" t="n">
        <f aca="false">$D3*K40/$P40</f>
        <v>14.69988</v>
      </c>
      <c r="L3" s="188" t="n">
        <f aca="false">$D3*L40/$P40</f>
        <v>13.22406</v>
      </c>
      <c r="M3" s="188" t="n">
        <f aca="false">$D3*M40/$P40</f>
        <v>22.61034</v>
      </c>
      <c r="N3" s="188" t="n">
        <f aca="false">$D3*N40/$P40</f>
        <v>104.409</v>
      </c>
      <c r="O3" s="188" t="n">
        <f aca="false">$D3*O40/$P40</f>
        <v>0</v>
      </c>
      <c r="P3" s="326" t="n">
        <f aca="false">SUM(E3:O3)</f>
        <v>162</v>
      </c>
      <c r="Q3" s="327"/>
      <c r="R3" s="328" t="str">
        <f aca="false">C3</f>
        <v>University Cond</v>
      </c>
      <c r="S3" s="188" t="n">
        <f aca="false">SUM(T3:AC3)</f>
        <v>160.014644303232</v>
      </c>
      <c r="T3" s="188" t="n">
        <f aca="false">AO3*$BT3</f>
        <v>0.00370151669740082</v>
      </c>
      <c r="U3" s="188" t="n">
        <f aca="false">AP3*$BT3</f>
        <v>0.0861280292106888</v>
      </c>
      <c r="V3" s="188" t="n">
        <f aca="false">AQ3*$BT3</f>
        <v>0.175132159452419</v>
      </c>
      <c r="W3" s="188" t="n">
        <f aca="false">AR3*$BT3</f>
        <v>0.781846825012181</v>
      </c>
      <c r="X3" s="188" t="n">
        <f aca="false">AS3*$BT3</f>
        <v>5.63608170401573</v>
      </c>
      <c r="Y3" s="188" t="n">
        <f aca="false">AT3*$BT3</f>
        <v>2.90332386980622</v>
      </c>
      <c r="Z3" s="188" t="n">
        <f aca="false">AU3*$BT3</f>
        <v>18.1819711206031</v>
      </c>
      <c r="AA3" s="188" t="n">
        <f aca="false">AV3*$BT3</f>
        <v>14.1001462342186</v>
      </c>
      <c r="AB3" s="188" t="n">
        <f aca="false">AW3*$BT3</f>
        <v>24.3228388628136</v>
      </c>
      <c r="AC3" s="329" t="n">
        <f aca="false">AX3*$BT3</f>
        <v>93.823473981402</v>
      </c>
      <c r="AD3" s="20" t="n">
        <f aca="false">SUM(AE3:AL3)</f>
        <v>783.913118247105</v>
      </c>
      <c r="AE3" s="188" t="n">
        <f aca="false">AQ3*AE$62/1000</f>
        <v>0.191000067753703</v>
      </c>
      <c r="AF3" s="188" t="n">
        <f aca="false">AR3*AF$62/1000</f>
        <v>1.4941489925264</v>
      </c>
      <c r="AG3" s="188" t="n">
        <f aca="false">AS3*AG$62/1000</f>
        <v>15.3131259811404</v>
      </c>
      <c r="AH3" s="188" t="n">
        <f aca="false">AT3*AH$62/1000</f>
        <v>10.1951288137009</v>
      </c>
      <c r="AI3" s="188" t="n">
        <f aca="false">AU3*AI$62/1000</f>
        <v>64.0514943838139</v>
      </c>
      <c r="AJ3" s="188" t="n">
        <f aca="false">AV3*AJ$62/1000</f>
        <v>60.9181542262374</v>
      </c>
      <c r="AK3" s="188" t="n">
        <f aca="false">AW3*AK$62/1000</f>
        <v>105.289700374512</v>
      </c>
      <c r="AL3" s="188" t="n">
        <f aca="false">AX3*AL$62/1000</f>
        <v>526.46036540742</v>
      </c>
      <c r="AM3" s="330" t="n">
        <f aca="false">IF(S3=0,0,AD3/S3*1000)</f>
        <v>4899.00859799788</v>
      </c>
      <c r="AN3" s="331" t="n">
        <f aca="false">SUM(AO3:AX3)</f>
        <v>173.33415281289</v>
      </c>
      <c r="AO3" s="188" t="n">
        <f aca="false">E3*42*AO$62/(Rollup!$AD$159/14.696)/1000</f>
        <v>0.00400962839157952</v>
      </c>
      <c r="AP3" s="188" t="n">
        <f aca="false">F3*42*AP$62/(Rollup!$AD$159/14.696)/1000</f>
        <v>0.0932972668950717</v>
      </c>
      <c r="AQ3" s="188" t="n">
        <f aca="false">G3*42*AQ$62/(Rollup!$AD$159/14.696)/1000</f>
        <v>0.189710039485204</v>
      </c>
      <c r="AR3" s="188" t="n">
        <f aca="false">H3*42*AR$62/(Rollup!$AD$159/14.696)/1000</f>
        <v>0.846927214899899</v>
      </c>
      <c r="AS3" s="188" t="n">
        <f aca="false">I3*42*AS$62/(Rollup!$AD$159/14.696)/1000</f>
        <v>6.10522525362427</v>
      </c>
      <c r="AT3" s="188" t="n">
        <f aca="false">J3*42*AT$62/(Rollup!$AD$159/14.696)/1000</f>
        <v>3.14499454412835</v>
      </c>
      <c r="AU3" s="188" t="n">
        <f aca="false">K3*42*AU$62/(Rollup!$AD$159/14.696)/1000</f>
        <v>19.6954258429365</v>
      </c>
      <c r="AV3" s="188" t="n">
        <f aca="false">L3*42*AV$62/(Rollup!$AD$159/14.696)/1000</f>
        <v>15.2738326713061</v>
      </c>
      <c r="AW3" s="188" t="n">
        <f aca="false">M3*42*AW$62/(Rollup!$AD$159/14.696)/1000</f>
        <v>26.3474551760453</v>
      </c>
      <c r="AX3" s="329" t="n">
        <f aca="false">N3*42*AX$62/(Rollup!$AD$159/14.696)/1000</f>
        <v>101.633275175178</v>
      </c>
      <c r="AY3" s="332" t="n">
        <f aca="false">IF($AN3=0,0,AO3/$AN3)</f>
        <v>2.31323621254711E-005</v>
      </c>
      <c r="AZ3" s="333" t="n">
        <f aca="false">IF($AN3=0,0,AP3/$AN3)</f>
        <v>0.00053825091813143</v>
      </c>
      <c r="BA3" s="333" t="n">
        <f aca="false">IF($AN3=0,0,AQ3/$AN3)</f>
        <v>0.00109447582260371</v>
      </c>
      <c r="BB3" s="333" t="n">
        <f aca="false">IF($AN3=0,0,AR3/$AN3)</f>
        <v>0.0048860954471802</v>
      </c>
      <c r="BC3" s="333" t="n">
        <f aca="false">IF($AN3=0,0,AS3/$AN3)</f>
        <v>0.0352222868635399</v>
      </c>
      <c r="BD3" s="333" t="n">
        <f aca="false">IF($AN3=0,0,AT3/$AN3)</f>
        <v>0.018144113511913</v>
      </c>
      <c r="BE3" s="333" t="n">
        <f aca="false">IF($AN3=0,0,AU3/$AN3)</f>
        <v>0.113626919584609</v>
      </c>
      <c r="BF3" s="333" t="n">
        <f aca="false">IF($AN3=0,0,AV3/$AN3)</f>
        <v>0.0881178488107527</v>
      </c>
      <c r="BG3" s="333" t="n">
        <f aca="false">IF($AN3=0,0,AW3/$AN3)</f>
        <v>0.152003830453925</v>
      </c>
      <c r="BH3" s="333" t="n">
        <f aca="false">IF($AN3=0,0,AX3/$AN3)</f>
        <v>0.58634304622522</v>
      </c>
      <c r="BI3" s="334" t="n">
        <f aca="false">SUM(AY3:BH3)</f>
        <v>1</v>
      </c>
      <c r="BJ3" s="335" t="n">
        <f aca="false">AY3*BJ$62</f>
        <v>4.51081061446687E-007</v>
      </c>
      <c r="BK3" s="336" t="n">
        <f aca="false">AZ3*BK$62</f>
        <v>2.37906905814092E-006</v>
      </c>
      <c r="BL3" s="336" t="n">
        <f aca="false">BA3*BL$62</f>
        <v>1.2695919542203E-005</v>
      </c>
      <c r="BM3" s="336" t="n">
        <f aca="false">BB3*BM$62</f>
        <v>0.000116289071642889</v>
      </c>
      <c r="BN3" s="336" t="n">
        <f aca="false">BC3*BN$62</f>
        <v>0.00122221335416483</v>
      </c>
      <c r="BO3" s="336" t="n">
        <f aca="false">BD3*BO$62</f>
        <v>0.000800155405875364</v>
      </c>
      <c r="BP3" s="336" t="n">
        <f aca="false">BE3*BP$62</f>
        <v>0.00534046522047661</v>
      </c>
      <c r="BQ3" s="336" t="n">
        <f aca="false">BF3*BQ$62</f>
        <v>0.00507558809149935</v>
      </c>
      <c r="BR3" s="336" t="n">
        <f aca="false">BG3*BR$62</f>
        <v>0.00921143212550786</v>
      </c>
      <c r="BS3" s="336" t="n">
        <f aca="false">BH3*BS$62</f>
        <v>0.0506424489024723</v>
      </c>
      <c r="BT3" s="337" t="n">
        <f aca="false">1-Rollup!AD$159*(SUM(BJ3:BS3))^2</f>
        <v>0.923157044970611</v>
      </c>
    </row>
    <row r="4" customFormat="false" ht="15" hidden="false" customHeight="false" outlineLevel="0" collapsed="false">
      <c r="C4" s="56" t="s">
        <v>141</v>
      </c>
      <c r="D4" s="338"/>
      <c r="E4" s="20" t="n">
        <f aca="false">$D4*E41/$P41</f>
        <v>0</v>
      </c>
      <c r="F4" s="15" t="n">
        <f aca="false">$D4*F41/$P41</f>
        <v>0</v>
      </c>
      <c r="G4" s="15" t="n">
        <f aca="false">$D4*G41/$P41</f>
        <v>0</v>
      </c>
      <c r="H4" s="15" t="n">
        <f aca="false">$D4*H41/$P41</f>
        <v>0</v>
      </c>
      <c r="I4" s="15" t="n">
        <f aca="false">$D4*I41/$P41</f>
        <v>0</v>
      </c>
      <c r="J4" s="15" t="n">
        <f aca="false">$D4*J41/$P41</f>
        <v>0</v>
      </c>
      <c r="K4" s="15" t="n">
        <f aca="false">$D4*K41/$P41</f>
        <v>0</v>
      </c>
      <c r="L4" s="15" t="n">
        <f aca="false">$D4*L41/$P41</f>
        <v>0</v>
      </c>
      <c r="M4" s="15" t="n">
        <f aca="false">$D4*M41/$P41</f>
        <v>0</v>
      </c>
      <c r="N4" s="15" t="n">
        <f aca="false">$D4*N41/$P41</f>
        <v>0</v>
      </c>
      <c r="O4" s="15" t="n">
        <f aca="false">$D4*O41/$P41</f>
        <v>0</v>
      </c>
      <c r="P4" s="219" t="n">
        <f aca="false">SUM(E4:O4)</f>
        <v>0</v>
      </c>
      <c r="Q4" s="220"/>
      <c r="R4" s="339" t="str">
        <f aca="false">C4</f>
        <v>Ameredev Cond</v>
      </c>
      <c r="S4" s="15" t="n">
        <f aca="false">SUM(T4:AC4)</f>
        <v>0</v>
      </c>
      <c r="T4" s="15" t="n">
        <f aca="false">AO4*$BT4</f>
        <v>0</v>
      </c>
      <c r="U4" s="15" t="n">
        <f aca="false">AP4*$BT4</f>
        <v>0</v>
      </c>
      <c r="V4" s="15" t="n">
        <f aca="false">AQ4*$BT4</f>
        <v>0</v>
      </c>
      <c r="W4" s="15" t="n">
        <f aca="false">AR4*$BT4</f>
        <v>0</v>
      </c>
      <c r="X4" s="15" t="n">
        <f aca="false">AS4*$BT4</f>
        <v>0</v>
      </c>
      <c r="Y4" s="15" t="n">
        <f aca="false">AT4*$BT4</f>
        <v>0</v>
      </c>
      <c r="Z4" s="15" t="n">
        <f aca="false">AU4*$BT4</f>
        <v>0</v>
      </c>
      <c r="AA4" s="15" t="n">
        <f aca="false">AV4*$BT4</f>
        <v>0</v>
      </c>
      <c r="AB4" s="15" t="n">
        <f aca="false">AW4*$BT4</f>
        <v>0</v>
      </c>
      <c r="AC4" s="57" t="n">
        <f aca="false">AX4*$BT4</f>
        <v>0</v>
      </c>
      <c r="AD4" s="14" t="n">
        <f aca="false">SUM(AE4:AL4)</f>
        <v>0</v>
      </c>
      <c r="AE4" s="15" t="n">
        <f aca="false">AQ4*AE$62/1000</f>
        <v>0</v>
      </c>
      <c r="AF4" s="15" t="n">
        <f aca="false">AR4*AF$62/1000</f>
        <v>0</v>
      </c>
      <c r="AG4" s="15" t="n">
        <f aca="false">AS4*AG$62/1000</f>
        <v>0</v>
      </c>
      <c r="AH4" s="15" t="n">
        <f aca="false">AT4*AH$62/1000</f>
        <v>0</v>
      </c>
      <c r="AI4" s="15" t="n">
        <f aca="false">AU4*AI$62/1000</f>
        <v>0</v>
      </c>
      <c r="AJ4" s="15" t="n">
        <f aca="false">AV4*AJ$62/1000</f>
        <v>0</v>
      </c>
      <c r="AK4" s="15" t="n">
        <f aca="false">AW4*AK$62/1000</f>
        <v>0</v>
      </c>
      <c r="AL4" s="15" t="n">
        <f aca="false">AX4*AL$62/1000</f>
        <v>0</v>
      </c>
      <c r="AM4" s="340" t="n">
        <f aca="false">IF(S4=0,0,AD4/S4*1000)</f>
        <v>0</v>
      </c>
      <c r="AN4" s="218" t="n">
        <f aca="false">SUM(AO4:AX4)</f>
        <v>0</v>
      </c>
      <c r="AO4" s="15" t="n">
        <f aca="false">E4*42*AO$62/(Rollup!$AD$159/14.696)/1000</f>
        <v>0</v>
      </c>
      <c r="AP4" s="15" t="n">
        <f aca="false">F4*42*AP$62/(Rollup!$AD$159/14.696)/1000</f>
        <v>0</v>
      </c>
      <c r="AQ4" s="15" t="n">
        <f aca="false">G4*42*AQ$62/(Rollup!$AD$159/14.696)/1000</f>
        <v>0</v>
      </c>
      <c r="AR4" s="15" t="n">
        <f aca="false">H4*42*AR$62/(Rollup!$AD$159/14.696)/1000</f>
        <v>0</v>
      </c>
      <c r="AS4" s="15" t="n">
        <f aca="false">I4*42*AS$62/(Rollup!$AD$159/14.696)/1000</f>
        <v>0</v>
      </c>
      <c r="AT4" s="15" t="n">
        <f aca="false">J4*42*AT$62/(Rollup!$AD$159/14.696)/1000</f>
        <v>0</v>
      </c>
      <c r="AU4" s="15" t="n">
        <f aca="false">K4*42*AU$62/(Rollup!$AD$159/14.696)/1000</f>
        <v>0</v>
      </c>
      <c r="AV4" s="15" t="n">
        <f aca="false">L4*42*AV$62/(Rollup!$AD$159/14.696)/1000</f>
        <v>0</v>
      </c>
      <c r="AW4" s="15" t="n">
        <f aca="false">M4*42*AW$62/(Rollup!$AD$159/14.696)/1000</f>
        <v>0</v>
      </c>
      <c r="AX4" s="57" t="n">
        <f aca="false">N4*42*AX$62/(Rollup!$AD$159/14.696)/1000</f>
        <v>0</v>
      </c>
      <c r="AY4" s="341" t="n">
        <f aca="false">IF($AN4=0,0,AO4/$AN4)</f>
        <v>0</v>
      </c>
      <c r="AZ4" s="76" t="n">
        <f aca="false">IF($AN4=0,0,AP4/$AN4)</f>
        <v>0</v>
      </c>
      <c r="BA4" s="76" t="n">
        <f aca="false">IF($AN4=0,0,AQ4/$AN4)</f>
        <v>0</v>
      </c>
      <c r="BB4" s="76" t="n">
        <f aca="false">IF($AN4=0,0,AR4/$AN4)</f>
        <v>0</v>
      </c>
      <c r="BC4" s="76" t="n">
        <f aca="false">IF($AN4=0,0,AS4/$AN4)</f>
        <v>0</v>
      </c>
      <c r="BD4" s="76" t="n">
        <f aca="false">IF($AN4=0,0,AT4/$AN4)</f>
        <v>0</v>
      </c>
      <c r="BE4" s="76" t="n">
        <f aca="false">IF($AN4=0,0,AU4/$AN4)</f>
        <v>0</v>
      </c>
      <c r="BF4" s="76" t="n">
        <f aca="false">IF($AN4=0,0,AV4/$AN4)</f>
        <v>0</v>
      </c>
      <c r="BG4" s="76" t="n">
        <f aca="false">IF($AN4=0,0,AW4/$AN4)</f>
        <v>0</v>
      </c>
      <c r="BH4" s="76" t="n">
        <f aca="false">IF($AN4=0,0,AX4/$AN4)</f>
        <v>0</v>
      </c>
      <c r="BI4" s="342" t="n">
        <f aca="false">SUM(AY4:BH4)</f>
        <v>0</v>
      </c>
      <c r="BJ4" s="343" t="n">
        <f aca="false">AY4*BJ$62</f>
        <v>0</v>
      </c>
      <c r="BK4" s="344" t="n">
        <f aca="false">AZ4*BK$62</f>
        <v>0</v>
      </c>
      <c r="BL4" s="344" t="n">
        <f aca="false">BA4*BL$62</f>
        <v>0</v>
      </c>
      <c r="BM4" s="344" t="n">
        <f aca="false">BB4*BM$62</f>
        <v>0</v>
      </c>
      <c r="BN4" s="344" t="n">
        <f aca="false">BC4*BN$62</f>
        <v>0</v>
      </c>
      <c r="BO4" s="344" t="n">
        <f aca="false">BD4*BO$62</f>
        <v>0</v>
      </c>
      <c r="BP4" s="344" t="n">
        <f aca="false">BE4*BP$62</f>
        <v>0</v>
      </c>
      <c r="BQ4" s="344" t="n">
        <f aca="false">BF4*BQ$62</f>
        <v>0</v>
      </c>
      <c r="BR4" s="344" t="n">
        <f aca="false">BG4*BR$62</f>
        <v>0</v>
      </c>
      <c r="BS4" s="344" t="n">
        <f aca="false">BH4*BS$62</f>
        <v>0</v>
      </c>
      <c r="BT4" s="345" t="n">
        <f aca="false">1-Rollup!AD$159*(SUM(BJ4:BS4))^2</f>
        <v>1</v>
      </c>
    </row>
    <row r="5" customFormat="false" ht="15" hidden="false" customHeight="false" outlineLevel="0" collapsed="false">
      <c r="C5" s="56" t="s">
        <v>142</v>
      </c>
      <c r="D5" s="338"/>
      <c r="E5" s="20" t="n">
        <f aca="false">$D5*E42/$P42</f>
        <v>0</v>
      </c>
      <c r="F5" s="15" t="n">
        <f aca="false">$D5*F42/$P42</f>
        <v>0</v>
      </c>
      <c r="G5" s="15" t="n">
        <f aca="false">$D5*G42/$P42</f>
        <v>0</v>
      </c>
      <c r="H5" s="15" t="n">
        <f aca="false">$D5*H42/$P42</f>
        <v>0</v>
      </c>
      <c r="I5" s="15" t="n">
        <f aca="false">$D5*I42/$P42</f>
        <v>0</v>
      </c>
      <c r="J5" s="15" t="n">
        <f aca="false">$D5*J42/$P42</f>
        <v>0</v>
      </c>
      <c r="K5" s="15" t="n">
        <f aca="false">$D5*K42/$P42</f>
        <v>0</v>
      </c>
      <c r="L5" s="15" t="n">
        <f aca="false">$D5*L42/$P42</f>
        <v>0</v>
      </c>
      <c r="M5" s="15" t="n">
        <f aca="false">$D5*M42/$P42</f>
        <v>0</v>
      </c>
      <c r="N5" s="15" t="n">
        <f aca="false">$D5*N42/$P42</f>
        <v>0</v>
      </c>
      <c r="O5" s="15" t="n">
        <f aca="false">$D5*O42/$P42</f>
        <v>0</v>
      </c>
      <c r="P5" s="219" t="n">
        <f aca="false">SUM(E5:O5)</f>
        <v>0</v>
      </c>
      <c r="Q5" s="220"/>
      <c r="R5" s="339" t="str">
        <f aca="false">C5</f>
        <v>Bluto Cond</v>
      </c>
      <c r="S5" s="15" t="n">
        <f aca="false">SUM(T5:AC5)</f>
        <v>0</v>
      </c>
      <c r="T5" s="15" t="n">
        <f aca="false">AO5*$BT5</f>
        <v>0</v>
      </c>
      <c r="U5" s="15" t="n">
        <f aca="false">AP5*$BT5</f>
        <v>0</v>
      </c>
      <c r="V5" s="15" t="n">
        <f aca="false">AQ5*$BT5</f>
        <v>0</v>
      </c>
      <c r="W5" s="15" t="n">
        <f aca="false">AR5*$BT5</f>
        <v>0</v>
      </c>
      <c r="X5" s="15" t="n">
        <f aca="false">AS5*$BT5</f>
        <v>0</v>
      </c>
      <c r="Y5" s="15" t="n">
        <f aca="false">AT5*$BT5</f>
        <v>0</v>
      </c>
      <c r="Z5" s="15" t="n">
        <f aca="false">AU5*$BT5</f>
        <v>0</v>
      </c>
      <c r="AA5" s="15" t="n">
        <f aca="false">AV5*$BT5</f>
        <v>0</v>
      </c>
      <c r="AB5" s="15" t="n">
        <f aca="false">AW5*$BT5</f>
        <v>0</v>
      </c>
      <c r="AC5" s="57" t="n">
        <f aca="false">AX5*$BT5</f>
        <v>0</v>
      </c>
      <c r="AD5" s="14" t="n">
        <f aca="false">SUM(AE5:AL5)</f>
        <v>0</v>
      </c>
      <c r="AE5" s="15" t="n">
        <f aca="false">AQ5*AE$62/1000</f>
        <v>0</v>
      </c>
      <c r="AF5" s="15" t="n">
        <f aca="false">AR5*AF$62/1000</f>
        <v>0</v>
      </c>
      <c r="AG5" s="15" t="n">
        <f aca="false">AS5*AG$62/1000</f>
        <v>0</v>
      </c>
      <c r="AH5" s="15" t="n">
        <f aca="false">AT5*AH$62/1000</f>
        <v>0</v>
      </c>
      <c r="AI5" s="15" t="n">
        <f aca="false">AU5*AI$62/1000</f>
        <v>0</v>
      </c>
      <c r="AJ5" s="15" t="n">
        <f aca="false">AV5*AJ$62/1000</f>
        <v>0</v>
      </c>
      <c r="AK5" s="15" t="n">
        <f aca="false">AW5*AK$62/1000</f>
        <v>0</v>
      </c>
      <c r="AL5" s="15" t="n">
        <f aca="false">AX5*AL$62/1000</f>
        <v>0</v>
      </c>
      <c r="AM5" s="340" t="n">
        <f aca="false">IF(S5=0,0,AD5/S5*1000)</f>
        <v>0</v>
      </c>
      <c r="AN5" s="218" t="n">
        <f aca="false">SUM(AO5:AX5)</f>
        <v>0</v>
      </c>
      <c r="AO5" s="15" t="n">
        <f aca="false">E5*42*AO$62/(Rollup!$AD$159/14.696)/1000</f>
        <v>0</v>
      </c>
      <c r="AP5" s="15" t="n">
        <f aca="false">F5*42*AP$62/(Rollup!$AD$159/14.696)/1000</f>
        <v>0</v>
      </c>
      <c r="AQ5" s="15" t="n">
        <f aca="false">G5*42*AQ$62/(Rollup!$AD$159/14.696)/1000</f>
        <v>0</v>
      </c>
      <c r="AR5" s="15" t="n">
        <f aca="false">H5*42*AR$62/(Rollup!$AD$159/14.696)/1000</f>
        <v>0</v>
      </c>
      <c r="AS5" s="15" t="n">
        <f aca="false">I5*42*AS$62/(Rollup!$AD$159/14.696)/1000</f>
        <v>0</v>
      </c>
      <c r="AT5" s="15" t="n">
        <f aca="false">J5*42*AT$62/(Rollup!$AD$159/14.696)/1000</f>
        <v>0</v>
      </c>
      <c r="AU5" s="15" t="n">
        <f aca="false">K5*42*AU$62/(Rollup!$AD$159/14.696)/1000</f>
        <v>0</v>
      </c>
      <c r="AV5" s="15" t="n">
        <f aca="false">L5*42*AV$62/(Rollup!$AD$159/14.696)/1000</f>
        <v>0</v>
      </c>
      <c r="AW5" s="15" t="n">
        <f aca="false">M5*42*AW$62/(Rollup!$AD$159/14.696)/1000</f>
        <v>0</v>
      </c>
      <c r="AX5" s="57" t="n">
        <f aca="false">N5*42*AX$62/(Rollup!$AD$159/14.696)/1000</f>
        <v>0</v>
      </c>
      <c r="AY5" s="341" t="n">
        <f aca="false">IF($AN5=0,0,AO5/$AN5)</f>
        <v>0</v>
      </c>
      <c r="AZ5" s="76" t="n">
        <f aca="false">IF($AN5=0,0,AP5/$AN5)</f>
        <v>0</v>
      </c>
      <c r="BA5" s="76" t="n">
        <f aca="false">IF($AN5=0,0,AQ5/$AN5)</f>
        <v>0</v>
      </c>
      <c r="BB5" s="76" t="n">
        <f aca="false">IF($AN5=0,0,AR5/$AN5)</f>
        <v>0</v>
      </c>
      <c r="BC5" s="76" t="n">
        <f aca="false">IF($AN5=0,0,AS5/$AN5)</f>
        <v>0</v>
      </c>
      <c r="BD5" s="76" t="n">
        <f aca="false">IF($AN5=0,0,AT5/$AN5)</f>
        <v>0</v>
      </c>
      <c r="BE5" s="76" t="n">
        <f aca="false">IF($AN5=0,0,AU5/$AN5)</f>
        <v>0</v>
      </c>
      <c r="BF5" s="76" t="n">
        <f aca="false">IF($AN5=0,0,AV5/$AN5)</f>
        <v>0</v>
      </c>
      <c r="BG5" s="76" t="n">
        <f aca="false">IF($AN5=0,0,AW5/$AN5)</f>
        <v>0</v>
      </c>
      <c r="BH5" s="76" t="n">
        <f aca="false">IF($AN5=0,0,AX5/$AN5)</f>
        <v>0</v>
      </c>
      <c r="BI5" s="342" t="n">
        <f aca="false">SUM(AY5:BH5)</f>
        <v>0</v>
      </c>
      <c r="BJ5" s="343" t="n">
        <f aca="false">AY5*BJ$62</f>
        <v>0</v>
      </c>
      <c r="BK5" s="344" t="n">
        <f aca="false">AZ5*BK$62</f>
        <v>0</v>
      </c>
      <c r="BL5" s="344" t="n">
        <f aca="false">BA5*BL$62</f>
        <v>0</v>
      </c>
      <c r="BM5" s="344" t="n">
        <f aca="false">BB5*BM$62</f>
        <v>0</v>
      </c>
      <c r="BN5" s="344" t="n">
        <f aca="false">BC5*BN$62</f>
        <v>0</v>
      </c>
      <c r="BO5" s="344" t="n">
        <f aca="false">BD5*BO$62</f>
        <v>0</v>
      </c>
      <c r="BP5" s="344" t="n">
        <f aca="false">BE5*BP$62</f>
        <v>0</v>
      </c>
      <c r="BQ5" s="344" t="n">
        <f aca="false">BF5*BQ$62</f>
        <v>0</v>
      </c>
      <c r="BR5" s="344" t="n">
        <f aca="false">BG5*BR$62</f>
        <v>0</v>
      </c>
      <c r="BS5" s="344" t="n">
        <f aca="false">BH5*BS$62</f>
        <v>0</v>
      </c>
      <c r="BT5" s="345" t="n">
        <f aca="false">1-Rollup!AD$159*(SUM(BJ5:BS5))^2</f>
        <v>1</v>
      </c>
    </row>
    <row r="6" customFormat="false" ht="15" hidden="false" customHeight="false" outlineLevel="0" collapsed="false">
      <c r="C6" s="56" t="s">
        <v>143</v>
      </c>
      <c r="D6" s="338" t="n">
        <v>0</v>
      </c>
      <c r="E6" s="20" t="n">
        <f aca="false">$D6*E43/$P43</f>
        <v>0</v>
      </c>
      <c r="F6" s="15" t="n">
        <f aca="false">$D6*F43/$P43</f>
        <v>0</v>
      </c>
      <c r="G6" s="15" t="n">
        <f aca="false">$D6*G43/$P43</f>
        <v>0</v>
      </c>
      <c r="H6" s="15" t="n">
        <f aca="false">$D6*H43/$P43</f>
        <v>0</v>
      </c>
      <c r="I6" s="15" t="n">
        <f aca="false">$D6*I43/$P43</f>
        <v>0</v>
      </c>
      <c r="J6" s="15" t="n">
        <f aca="false">$D6*J43/$P43</f>
        <v>0</v>
      </c>
      <c r="K6" s="15" t="n">
        <f aca="false">$D6*K43/$P43</f>
        <v>0</v>
      </c>
      <c r="L6" s="15" t="n">
        <f aca="false">$D6*L43/$P43</f>
        <v>0</v>
      </c>
      <c r="M6" s="15" t="n">
        <f aca="false">$D6*M43/$P43</f>
        <v>0</v>
      </c>
      <c r="N6" s="15" t="n">
        <f aca="false">$D6*N43/$P43</f>
        <v>0</v>
      </c>
      <c r="O6" s="15" t="n">
        <f aca="false">$D6*O43/$P43</f>
        <v>0</v>
      </c>
      <c r="P6" s="219" t="n">
        <f aca="false">SUM(E6:O6)</f>
        <v>0</v>
      </c>
      <c r="Q6" s="220"/>
      <c r="R6" s="339" t="str">
        <f aca="false">C6</f>
        <v>Abigail Cond</v>
      </c>
      <c r="S6" s="15" t="n">
        <f aca="false">SUM(T6:AC6)</f>
        <v>0</v>
      </c>
      <c r="T6" s="15" t="n">
        <f aca="false">AO6*$BT6</f>
        <v>0</v>
      </c>
      <c r="U6" s="15" t="n">
        <f aca="false">AP6*$BT6</f>
        <v>0</v>
      </c>
      <c r="V6" s="15" t="n">
        <f aca="false">AQ6*$BT6</f>
        <v>0</v>
      </c>
      <c r="W6" s="15" t="n">
        <f aca="false">AR6*$BT6</f>
        <v>0</v>
      </c>
      <c r="X6" s="15" t="n">
        <f aca="false">AS6*$BT6</f>
        <v>0</v>
      </c>
      <c r="Y6" s="15" t="n">
        <f aca="false">AT6*$BT6</f>
        <v>0</v>
      </c>
      <c r="Z6" s="15" t="n">
        <f aca="false">AU6*$BT6</f>
        <v>0</v>
      </c>
      <c r="AA6" s="15" t="n">
        <f aca="false">AV6*$BT6</f>
        <v>0</v>
      </c>
      <c r="AB6" s="15" t="n">
        <f aca="false">AW6*$BT6</f>
        <v>0</v>
      </c>
      <c r="AC6" s="57" t="n">
        <f aca="false">AX6*$BT6</f>
        <v>0</v>
      </c>
      <c r="AD6" s="14" t="n">
        <f aca="false">SUM(AE6:AL6)</f>
        <v>0</v>
      </c>
      <c r="AE6" s="15" t="n">
        <f aca="false">AQ6*AE$62/1000</f>
        <v>0</v>
      </c>
      <c r="AF6" s="15" t="n">
        <f aca="false">AR6*AF$62/1000</f>
        <v>0</v>
      </c>
      <c r="AG6" s="15" t="n">
        <f aca="false">AS6*AG$62/1000</f>
        <v>0</v>
      </c>
      <c r="AH6" s="15" t="n">
        <f aca="false">AT6*AH$62/1000</f>
        <v>0</v>
      </c>
      <c r="AI6" s="15" t="n">
        <f aca="false">AU6*AI$62/1000</f>
        <v>0</v>
      </c>
      <c r="AJ6" s="15" t="n">
        <f aca="false">AV6*AJ$62/1000</f>
        <v>0</v>
      </c>
      <c r="AK6" s="15" t="n">
        <f aca="false">AW6*AK$62/1000</f>
        <v>0</v>
      </c>
      <c r="AL6" s="15" t="n">
        <f aca="false">AX6*AL$62/1000</f>
        <v>0</v>
      </c>
      <c r="AM6" s="340" t="n">
        <f aca="false">IF(S6=0,0,AD6/S6*1000)</f>
        <v>0</v>
      </c>
      <c r="AN6" s="218" t="n">
        <f aca="false">SUM(AO6:AX6)</f>
        <v>0</v>
      </c>
      <c r="AO6" s="15" t="n">
        <f aca="false">E6*42*AO$62/(Rollup!$AD$159/14.696)/1000</f>
        <v>0</v>
      </c>
      <c r="AP6" s="15" t="n">
        <f aca="false">F6*42*AP$62/(Rollup!$AD$159/14.696)/1000</f>
        <v>0</v>
      </c>
      <c r="AQ6" s="15" t="n">
        <f aca="false">G6*42*AQ$62/(Rollup!$AD$159/14.696)/1000</f>
        <v>0</v>
      </c>
      <c r="AR6" s="15" t="n">
        <f aca="false">H6*42*AR$62/(Rollup!$AD$159/14.696)/1000</f>
        <v>0</v>
      </c>
      <c r="AS6" s="15" t="n">
        <f aca="false">I6*42*AS$62/(Rollup!$AD$159/14.696)/1000</f>
        <v>0</v>
      </c>
      <c r="AT6" s="15" t="n">
        <f aca="false">J6*42*AT$62/(Rollup!$AD$159/14.696)/1000</f>
        <v>0</v>
      </c>
      <c r="AU6" s="15" t="n">
        <f aca="false">K6*42*AU$62/(Rollup!$AD$159/14.696)/1000</f>
        <v>0</v>
      </c>
      <c r="AV6" s="15" t="n">
        <f aca="false">L6*42*AV$62/(Rollup!$AD$159/14.696)/1000</f>
        <v>0</v>
      </c>
      <c r="AW6" s="15" t="n">
        <f aca="false">M6*42*AW$62/(Rollup!$AD$159/14.696)/1000</f>
        <v>0</v>
      </c>
      <c r="AX6" s="57" t="n">
        <f aca="false">N6*42*AX$62/(Rollup!$AD$159/14.696)/1000</f>
        <v>0</v>
      </c>
      <c r="AY6" s="341" t="n">
        <f aca="false">IF($AN6=0,0,AO6/$AN6)</f>
        <v>0</v>
      </c>
      <c r="AZ6" s="76" t="n">
        <f aca="false">IF($AN6=0,0,AP6/$AN6)</f>
        <v>0</v>
      </c>
      <c r="BA6" s="76" t="n">
        <f aca="false">IF($AN6=0,0,AQ6/$AN6)</f>
        <v>0</v>
      </c>
      <c r="BB6" s="76" t="n">
        <f aca="false">IF($AN6=0,0,AR6/$AN6)</f>
        <v>0</v>
      </c>
      <c r="BC6" s="76" t="n">
        <f aca="false">IF($AN6=0,0,AS6/$AN6)</f>
        <v>0</v>
      </c>
      <c r="BD6" s="76" t="n">
        <f aca="false">IF($AN6=0,0,AT6/$AN6)</f>
        <v>0</v>
      </c>
      <c r="BE6" s="76" t="n">
        <f aca="false">IF($AN6=0,0,AU6/$AN6)</f>
        <v>0</v>
      </c>
      <c r="BF6" s="76" t="n">
        <f aca="false">IF($AN6=0,0,AV6/$AN6)</f>
        <v>0</v>
      </c>
      <c r="BG6" s="76" t="n">
        <f aca="false">IF($AN6=0,0,AW6/$AN6)</f>
        <v>0</v>
      </c>
      <c r="BH6" s="76" t="n">
        <f aca="false">IF($AN6=0,0,AX6/$AN6)</f>
        <v>0</v>
      </c>
      <c r="BI6" s="342" t="n">
        <f aca="false">SUM(AY6:BH6)</f>
        <v>0</v>
      </c>
      <c r="BJ6" s="343" t="n">
        <f aca="false">AY6*BJ$62</f>
        <v>0</v>
      </c>
      <c r="BK6" s="344" t="n">
        <f aca="false">AZ6*BK$62</f>
        <v>0</v>
      </c>
      <c r="BL6" s="344" t="n">
        <f aca="false">BA6*BL$62</f>
        <v>0</v>
      </c>
      <c r="BM6" s="344" t="n">
        <f aca="false">BB6*BM$62</f>
        <v>0</v>
      </c>
      <c r="BN6" s="344" t="n">
        <f aca="false">BC6*BN$62</f>
        <v>0</v>
      </c>
      <c r="BO6" s="344" t="n">
        <f aca="false">BD6*BO$62</f>
        <v>0</v>
      </c>
      <c r="BP6" s="344" t="n">
        <f aca="false">BE6*BP$62</f>
        <v>0</v>
      </c>
      <c r="BQ6" s="344" t="n">
        <f aca="false">BF6*BQ$62</f>
        <v>0</v>
      </c>
      <c r="BR6" s="344" t="n">
        <f aca="false">BG6*BR$62</f>
        <v>0</v>
      </c>
      <c r="BS6" s="344" t="n">
        <f aca="false">BH6*BS$62</f>
        <v>0</v>
      </c>
      <c r="BT6" s="345" t="n">
        <f aca="false">1-Rollup!AD$159*(SUM(BJ6:BS6))^2</f>
        <v>1</v>
      </c>
    </row>
    <row r="7" customFormat="false" ht="15" hidden="false" customHeight="false" outlineLevel="0" collapsed="false">
      <c r="C7" s="56" t="s">
        <v>144</v>
      </c>
      <c r="D7" s="338" t="n">
        <v>8191</v>
      </c>
      <c r="E7" s="20" t="n">
        <f aca="false">$D7*E44/$P44</f>
        <v>0</v>
      </c>
      <c r="F7" s="15" t="n">
        <f aca="false">$D7*F44/$P44</f>
        <v>0.08191</v>
      </c>
      <c r="G7" s="15" t="n">
        <f aca="false">$D7*G44/$P44</f>
        <v>0.08191</v>
      </c>
      <c r="H7" s="15" t="n">
        <f aca="false">$D7*H44/$P44</f>
        <v>13.84279</v>
      </c>
      <c r="I7" s="15" t="n">
        <f aca="false">$D7*I44/$P44</f>
        <v>269.15626</v>
      </c>
      <c r="J7" s="15" t="n">
        <f aca="false">$D7*J44/$P44</f>
        <v>181.92211</v>
      </c>
      <c r="K7" s="15" t="n">
        <f aca="false">$D7*K44/$P44</f>
        <v>1039.02835</v>
      </c>
      <c r="L7" s="15" t="n">
        <f aca="false">$D7*L44/$P44</f>
        <v>754.63683</v>
      </c>
      <c r="M7" s="15" t="n">
        <f aca="false">$D7*M44/$P44</f>
        <v>1289.42722</v>
      </c>
      <c r="N7" s="15" t="n">
        <f aca="false">$D7*N44/$P44</f>
        <v>4642.82262</v>
      </c>
      <c r="O7" s="15" t="n">
        <f aca="false">$D7*O44/$P44</f>
        <v>0</v>
      </c>
      <c r="P7" s="219" t="n">
        <f aca="false">SUM(E7:O7)</f>
        <v>8191</v>
      </c>
      <c r="Q7" s="220"/>
      <c r="R7" s="339" t="str">
        <f aca="false">C7</f>
        <v>Oasis Cond</v>
      </c>
      <c r="S7" s="15" t="n">
        <f aca="false">SUM(T7:AC7)</f>
        <v>8322.20702711332</v>
      </c>
      <c r="T7" s="15" t="n">
        <f aca="false">AO7*$BT7</f>
        <v>0</v>
      </c>
      <c r="U7" s="15" t="n">
        <f aca="false">AP7*$BT7</f>
        <v>0.292243862149622</v>
      </c>
      <c r="V7" s="15" t="n">
        <f aca="false">AQ7*$BT7</f>
        <v>0.189653207793481</v>
      </c>
      <c r="W7" s="15" t="n">
        <f aca="false">AR7*$BT7</f>
        <v>20.3176060686155</v>
      </c>
      <c r="X7" s="15" t="n">
        <f aca="false">AS7*$BT7</f>
        <v>383.490940537287</v>
      </c>
      <c r="Y7" s="15" t="n">
        <f aca="false">AT7*$BT7</f>
        <v>218.216886462885</v>
      </c>
      <c r="Z7" s="15" t="n">
        <f aca="false">AU7*$BT7</f>
        <v>1293.67387585476</v>
      </c>
      <c r="AA7" s="15" t="n">
        <f aca="false">AV7*$BT7</f>
        <v>809.966467300963</v>
      </c>
      <c r="AB7" s="15" t="n">
        <f aca="false">AW7*$BT7</f>
        <v>1396.28553900667</v>
      </c>
      <c r="AC7" s="57" t="n">
        <f aca="false">AX7*$BT7</f>
        <v>4199.7738148122</v>
      </c>
      <c r="AD7" s="14" t="n">
        <f aca="false">SUM(AE7:AL7)</f>
        <v>39253.6769514142</v>
      </c>
      <c r="AE7" s="15" t="n">
        <f aca="false">AQ7*AE$62/1000</f>
        <v>0.205474330834067</v>
      </c>
      <c r="AF7" s="15" t="n">
        <f aca="false">AR7*AF$62/1000</f>
        <v>38.5722105334649</v>
      </c>
      <c r="AG7" s="15" t="n">
        <f aca="false">AS7*AG$62/1000</f>
        <v>1035.07411375116</v>
      </c>
      <c r="AH7" s="15" t="n">
        <f aca="false">AT7*AH$62/1000</f>
        <v>761.229045799785</v>
      </c>
      <c r="AI7" s="15" t="n">
        <f aca="false">AU7*AI$62/1000</f>
        <v>4527.33753776551</v>
      </c>
      <c r="AJ7" s="15" t="n">
        <f aca="false">AV7*AJ$62/1000</f>
        <v>3476.32140165266</v>
      </c>
      <c r="AK7" s="15" t="n">
        <f aca="false">AW7*AK$62/1000</f>
        <v>6004.48315454522</v>
      </c>
      <c r="AL7" s="15" t="n">
        <f aca="false">AX7*AL$62/1000</f>
        <v>23410.4540130356</v>
      </c>
      <c r="AM7" s="340" t="n">
        <f aca="false">IF(S7=0,0,AD7/S7*1000)</f>
        <v>4716.73881982601</v>
      </c>
      <c r="AN7" s="218" t="n">
        <f aca="false">SUM(AO7:AX7)</f>
        <v>8955.55881502187</v>
      </c>
      <c r="AO7" s="15" t="n">
        <f aca="false">E7*42*AO$62/(Rollup!$AD$159/14.696)/1000</f>
        <v>0</v>
      </c>
      <c r="AP7" s="15" t="n">
        <f aca="false">F7*42*AP$62/(Rollup!$AD$159/14.696)/1000</f>
        <v>0.31448473791668</v>
      </c>
      <c r="AQ7" s="15" t="n">
        <f aca="false">G7*42*AQ$62/(Rollup!$AD$159/14.696)/1000</f>
        <v>0.204086542346113</v>
      </c>
      <c r="AR7" s="15" t="n">
        <f aca="false">H7*42*AR$62/(Rollup!$AD$159/14.696)/1000</f>
        <v>21.8638536069974</v>
      </c>
      <c r="AS7" s="15" t="n">
        <f aca="false">I7*42*AS$62/(Rollup!$AD$159/14.696)/1000</f>
        <v>412.676067997433</v>
      </c>
      <c r="AT7" s="15" t="n">
        <f aca="false">J7*42*AT$62/(Rollup!$AD$159/14.696)/1000</f>
        <v>234.824026220744</v>
      </c>
      <c r="AU7" s="15" t="n">
        <f aca="false">K7*42*AU$62/(Rollup!$AD$159/14.696)/1000</f>
        <v>1392.12740621921</v>
      </c>
      <c r="AV7" s="15" t="n">
        <f aca="false">L7*42*AV$62/(Rollup!$AD$159/14.696)/1000</f>
        <v>871.608013652758</v>
      </c>
      <c r="AW7" s="15" t="n">
        <f aca="false">M7*42*AW$62/(Rollup!$AD$159/14.696)/1000</f>
        <v>1502.54820943527</v>
      </c>
      <c r="AX7" s="57" t="n">
        <f aca="false">N7*42*AX$62/(Rollup!$AD$159/14.696)/1000</f>
        <v>4519.39266660919</v>
      </c>
      <c r="AY7" s="341" t="n">
        <f aca="false">IF($AN7=0,0,AO7/$AN7)</f>
        <v>0</v>
      </c>
      <c r="AZ7" s="76" t="n">
        <f aca="false">IF($AN7=0,0,AP7/$AN7)</f>
        <v>3.5116149021228E-005</v>
      </c>
      <c r="BA7" s="76" t="n">
        <f aca="false">IF($AN7=0,0,AQ7/$AN7)</f>
        <v>2.27888115707289E-005</v>
      </c>
      <c r="BB7" s="76" t="n">
        <f aca="false">IF($AN7=0,0,AR7/$AN7)</f>
        <v>0.00244137234298807</v>
      </c>
      <c r="BC7" s="76" t="n">
        <f aca="false">IF($AN7=0,0,AS7/$AN7)</f>
        <v>0.0460804374714416</v>
      </c>
      <c r="BD7" s="76" t="n">
        <f aca="false">IF($AN7=0,0,AT7/$AN7)</f>
        <v>0.0262210355680825</v>
      </c>
      <c r="BE7" s="76" t="n">
        <f aca="false">IF($AN7=0,0,AU7/$AN7)</f>
        <v>0.155448413100039</v>
      </c>
      <c r="BF7" s="76" t="n">
        <f aca="false">IF($AN7=0,0,AV7/$AN7)</f>
        <v>0.0973259214367216</v>
      </c>
      <c r="BG7" s="76" t="n">
        <f aca="false">IF($AN7=0,0,AW7/$AN7)</f>
        <v>0.167778274976535</v>
      </c>
      <c r="BH7" s="76" t="n">
        <f aca="false">IF($AN7=0,0,AX7/$AN7)</f>
        <v>0.504646640143601</v>
      </c>
      <c r="BI7" s="342" t="n">
        <f aca="false">SUM(AY7:BH7)</f>
        <v>1</v>
      </c>
      <c r="BJ7" s="343" t="n">
        <f aca="false">AY7*BJ$62</f>
        <v>0</v>
      </c>
      <c r="BK7" s="344" t="n">
        <f aca="false">AZ7*BK$62</f>
        <v>1.55213378673828E-007</v>
      </c>
      <c r="BL7" s="344" t="n">
        <f aca="false">BA7*BL$62</f>
        <v>2.64350214220455E-007</v>
      </c>
      <c r="BM7" s="344" t="n">
        <f aca="false">BB7*BM$62</f>
        <v>5.81046617631162E-005</v>
      </c>
      <c r="BN7" s="344" t="n">
        <f aca="false">BC7*BN$62</f>
        <v>0.00159899118025902</v>
      </c>
      <c r="BO7" s="344" t="n">
        <f aca="false">BD7*BO$62</f>
        <v>0.00115634766855244</v>
      </c>
      <c r="BP7" s="344" t="n">
        <f aca="false">BE7*BP$62</f>
        <v>0.00730607541570183</v>
      </c>
      <c r="BQ7" s="344" t="n">
        <f aca="false">BF7*BQ$62</f>
        <v>0.00560597307475516</v>
      </c>
      <c r="BR7" s="344" t="n">
        <f aca="false">BG7*BR$62</f>
        <v>0.010167363463578</v>
      </c>
      <c r="BS7" s="344" t="n">
        <f aca="false">BH7*BS$62</f>
        <v>0.0435863303092028</v>
      </c>
      <c r="BT7" s="345" t="n">
        <f aca="false">1-Rollup!AD$159*(SUM(BJ7:BS7))^2</f>
        <v>0.929278362077621</v>
      </c>
    </row>
    <row r="8" customFormat="false" ht="15" hidden="false" customHeight="false" outlineLevel="0" collapsed="false">
      <c r="C8" s="56" t="s">
        <v>145</v>
      </c>
      <c r="D8" s="338"/>
      <c r="E8" s="20" t="n">
        <f aca="false">$D8*E45/$P45</f>
        <v>0</v>
      </c>
      <c r="F8" s="15" t="n">
        <f aca="false">$D8*F45/$P45</f>
        <v>0</v>
      </c>
      <c r="G8" s="15" t="n">
        <f aca="false">$D8*G45/$P45</f>
        <v>0</v>
      </c>
      <c r="H8" s="15" t="n">
        <f aca="false">$D8*H45/$P45</f>
        <v>0</v>
      </c>
      <c r="I8" s="15" t="n">
        <f aca="false">$D8*I45/$P45</f>
        <v>0</v>
      </c>
      <c r="J8" s="15" t="n">
        <f aca="false">$D8*J45/$P45</f>
        <v>0</v>
      </c>
      <c r="K8" s="15" t="n">
        <f aca="false">$D8*K45/$P45</f>
        <v>0</v>
      </c>
      <c r="L8" s="15" t="n">
        <f aca="false">$D8*L45/$P45</f>
        <v>0</v>
      </c>
      <c r="M8" s="15" t="n">
        <f aca="false">$D8*M45/$P45</f>
        <v>0</v>
      </c>
      <c r="N8" s="15" t="n">
        <f aca="false">$D8*N45/$P45</f>
        <v>0</v>
      </c>
      <c r="O8" s="15" t="n">
        <f aca="false">$D8*O45/$P45</f>
        <v>0</v>
      </c>
      <c r="P8" s="219" t="n">
        <f aca="false">SUM(E8:O8)</f>
        <v>0</v>
      </c>
      <c r="Q8" s="220"/>
      <c r="R8" s="339" t="str">
        <f aca="false">C8</f>
        <v>Coyote Cond</v>
      </c>
      <c r="S8" s="15" t="n">
        <f aca="false">SUM(T8:AC8)</f>
        <v>0</v>
      </c>
      <c r="T8" s="15" t="n">
        <f aca="false">AO8*$BT8</f>
        <v>0</v>
      </c>
      <c r="U8" s="15" t="n">
        <f aca="false">AP8*$BT8</f>
        <v>0</v>
      </c>
      <c r="V8" s="15" t="n">
        <f aca="false">AQ8*$BT8</f>
        <v>0</v>
      </c>
      <c r="W8" s="15" t="n">
        <f aca="false">AR8*$BT8</f>
        <v>0</v>
      </c>
      <c r="X8" s="15" t="n">
        <f aca="false">AS8*$BT8</f>
        <v>0</v>
      </c>
      <c r="Y8" s="15" t="n">
        <f aca="false">AT8*$BT8</f>
        <v>0</v>
      </c>
      <c r="Z8" s="15" t="n">
        <f aca="false">AU8*$BT8</f>
        <v>0</v>
      </c>
      <c r="AA8" s="15" t="n">
        <f aca="false">AV8*$BT8</f>
        <v>0</v>
      </c>
      <c r="AB8" s="15" t="n">
        <f aca="false">AW8*$BT8</f>
        <v>0</v>
      </c>
      <c r="AC8" s="57" t="n">
        <f aca="false">AX8*$BT8</f>
        <v>0</v>
      </c>
      <c r="AD8" s="14" t="n">
        <f aca="false">SUM(AE8:AL8)</f>
        <v>0</v>
      </c>
      <c r="AE8" s="15" t="n">
        <f aca="false">AQ8*AE$62/1000</f>
        <v>0</v>
      </c>
      <c r="AF8" s="15" t="n">
        <f aca="false">AR8*AF$62/1000</f>
        <v>0</v>
      </c>
      <c r="AG8" s="15" t="n">
        <f aca="false">AS8*AG$62/1000</f>
        <v>0</v>
      </c>
      <c r="AH8" s="15" t="n">
        <f aca="false">AT8*AH$62/1000</f>
        <v>0</v>
      </c>
      <c r="AI8" s="15" t="n">
        <f aca="false">AU8*AI$62/1000</f>
        <v>0</v>
      </c>
      <c r="AJ8" s="15" t="n">
        <f aca="false">AV8*AJ$62/1000</f>
        <v>0</v>
      </c>
      <c r="AK8" s="15" t="n">
        <f aca="false">AW8*AK$62/1000</f>
        <v>0</v>
      </c>
      <c r="AL8" s="15" t="n">
        <f aca="false">AX8*AL$62/1000</f>
        <v>0</v>
      </c>
      <c r="AM8" s="340" t="n">
        <f aca="false">IF(S8=0,0,AD8/S8*1000)</f>
        <v>0</v>
      </c>
      <c r="AN8" s="218" t="n">
        <f aca="false">SUM(AO8:AX8)</f>
        <v>0</v>
      </c>
      <c r="AO8" s="15" t="n">
        <f aca="false">E8*42*AO$62/(Rollup!$AD$159/14.696)/1000</f>
        <v>0</v>
      </c>
      <c r="AP8" s="15" t="n">
        <f aca="false">F8*42*AP$62/(Rollup!$AD$159/14.696)/1000</f>
        <v>0</v>
      </c>
      <c r="AQ8" s="15" t="n">
        <f aca="false">G8*42*AQ$62/(Rollup!$AD$159/14.696)/1000</f>
        <v>0</v>
      </c>
      <c r="AR8" s="15" t="n">
        <f aca="false">H8*42*AR$62/(Rollup!$AD$159/14.696)/1000</f>
        <v>0</v>
      </c>
      <c r="AS8" s="15" t="n">
        <f aca="false">I8*42*AS$62/(Rollup!$AD$159/14.696)/1000</f>
        <v>0</v>
      </c>
      <c r="AT8" s="15" t="n">
        <f aca="false">J8*42*AT$62/(Rollup!$AD$159/14.696)/1000</f>
        <v>0</v>
      </c>
      <c r="AU8" s="15" t="n">
        <f aca="false">K8*42*AU$62/(Rollup!$AD$159/14.696)/1000</f>
        <v>0</v>
      </c>
      <c r="AV8" s="15" t="n">
        <f aca="false">L8*42*AV$62/(Rollup!$AD$159/14.696)/1000</f>
        <v>0</v>
      </c>
      <c r="AW8" s="15" t="n">
        <f aca="false">M8*42*AW$62/(Rollup!$AD$159/14.696)/1000</f>
        <v>0</v>
      </c>
      <c r="AX8" s="57" t="n">
        <f aca="false">N8*42*AX$62/(Rollup!$AD$159/14.696)/1000</f>
        <v>0</v>
      </c>
      <c r="AY8" s="341" t="n">
        <f aca="false">IF($AN8=0,0,AO8/$AN8)</f>
        <v>0</v>
      </c>
      <c r="AZ8" s="76" t="n">
        <f aca="false">IF($AN8=0,0,AP8/$AN8)</f>
        <v>0</v>
      </c>
      <c r="BA8" s="76" t="n">
        <f aca="false">IF($AN8=0,0,AQ8/$AN8)</f>
        <v>0</v>
      </c>
      <c r="BB8" s="76" t="n">
        <f aca="false">IF($AN8=0,0,AR8/$AN8)</f>
        <v>0</v>
      </c>
      <c r="BC8" s="76" t="n">
        <f aca="false">IF($AN8=0,0,AS8/$AN8)</f>
        <v>0</v>
      </c>
      <c r="BD8" s="76" t="n">
        <f aca="false">IF($AN8=0,0,AT8/$AN8)</f>
        <v>0</v>
      </c>
      <c r="BE8" s="76" t="n">
        <f aca="false">IF($AN8=0,0,AU8/$AN8)</f>
        <v>0</v>
      </c>
      <c r="BF8" s="76" t="n">
        <f aca="false">IF($AN8=0,0,AV8/$AN8)</f>
        <v>0</v>
      </c>
      <c r="BG8" s="76" t="n">
        <f aca="false">IF($AN8=0,0,AW8/$AN8)</f>
        <v>0</v>
      </c>
      <c r="BH8" s="76" t="n">
        <f aca="false">IF($AN8=0,0,AX8/$AN8)</f>
        <v>0</v>
      </c>
      <c r="BI8" s="342" t="n">
        <f aca="false">SUM(AY8:BH8)</f>
        <v>0</v>
      </c>
      <c r="BJ8" s="343" t="n">
        <f aca="false">AY8*BJ$62</f>
        <v>0</v>
      </c>
      <c r="BK8" s="344" t="n">
        <f aca="false">AZ8*BK$62</f>
        <v>0</v>
      </c>
      <c r="BL8" s="344" t="n">
        <f aca="false">BA8*BL$62</f>
        <v>0</v>
      </c>
      <c r="BM8" s="344" t="n">
        <f aca="false">BB8*BM$62</f>
        <v>0</v>
      </c>
      <c r="BN8" s="344" t="n">
        <f aca="false">BC8*BN$62</f>
        <v>0</v>
      </c>
      <c r="BO8" s="344" t="n">
        <f aca="false">BD8*BO$62</f>
        <v>0</v>
      </c>
      <c r="BP8" s="344" t="n">
        <f aca="false">BE8*BP$62</f>
        <v>0</v>
      </c>
      <c r="BQ8" s="344" t="n">
        <f aca="false">BF8*BQ$62</f>
        <v>0</v>
      </c>
      <c r="BR8" s="344" t="n">
        <f aca="false">BG8*BR$62</f>
        <v>0</v>
      </c>
      <c r="BS8" s="344" t="n">
        <f aca="false">BH8*BS$62</f>
        <v>0</v>
      </c>
      <c r="BT8" s="345" t="n">
        <f aca="false">1-Rollup!AD$159*(SUM(BJ8:BS8))^2</f>
        <v>1</v>
      </c>
    </row>
    <row r="9" customFormat="false" ht="15" hidden="false" customHeight="false" outlineLevel="0" collapsed="false">
      <c r="C9" s="56" t="s">
        <v>146</v>
      </c>
      <c r="D9" s="338" t="n">
        <v>1200</v>
      </c>
      <c r="E9" s="20" t="n">
        <f aca="false">$D9*E46/$P46</f>
        <v>0</v>
      </c>
      <c r="F9" s="15" t="n">
        <f aca="false">$D9*F46/$P46</f>
        <v>0.024</v>
      </c>
      <c r="G9" s="15" t="n">
        <f aca="false">$D9*G46/$P46</f>
        <v>0.492</v>
      </c>
      <c r="H9" s="15" t="n">
        <f aca="false">$D9*H46/$P46</f>
        <v>5.748</v>
      </c>
      <c r="I9" s="15" t="n">
        <f aca="false">$D9*I46/$P46</f>
        <v>23.316</v>
      </c>
      <c r="J9" s="15" t="n">
        <f aca="false">$D9*J46/$P46</f>
        <v>14.448</v>
      </c>
      <c r="K9" s="15" t="n">
        <f aca="false">$D9*K46/$P46</f>
        <v>53.868</v>
      </c>
      <c r="L9" s="15" t="n">
        <f aca="false">$D9*L46/$P46</f>
        <v>57.144</v>
      </c>
      <c r="M9" s="15" t="n">
        <f aca="false">$D9*M46/$P46</f>
        <v>88.884</v>
      </c>
      <c r="N9" s="15" t="n">
        <f aca="false">$D9*N46/$P46</f>
        <v>956.076</v>
      </c>
      <c r="O9" s="15" t="n">
        <f aca="false">$D9*O46/$P46</f>
        <v>0</v>
      </c>
      <c r="P9" s="219" t="n">
        <f aca="false">SUM(E9:O9)</f>
        <v>1200</v>
      </c>
      <c r="Q9" s="220"/>
      <c r="R9" s="339" t="str">
        <f aca="false">C9</f>
        <v>Pliny The Elder Cond</v>
      </c>
      <c r="S9" s="15" t="n">
        <f aca="false">SUM(T9:AC9)</f>
        <v>1127.74523101863</v>
      </c>
      <c r="T9" s="15" t="n">
        <f aca="false">AO9*$BT9</f>
        <v>0</v>
      </c>
      <c r="U9" s="15" t="n">
        <f aca="false">AP9*$BT9</f>
        <v>0.0839930885708476</v>
      </c>
      <c r="V9" s="15" t="n">
        <f aca="false">AQ9*$BT9</f>
        <v>1.11740910668518</v>
      </c>
      <c r="W9" s="15" t="n">
        <f aca="false">AR9*$BT9</f>
        <v>8.27540965005677</v>
      </c>
      <c r="X9" s="15" t="n">
        <f aca="false">AS9*$BT9</f>
        <v>32.5858089755677</v>
      </c>
      <c r="Y9" s="15" t="n">
        <f aca="false">AT9*$BT9</f>
        <v>16.999433162542</v>
      </c>
      <c r="Z9" s="15" t="n">
        <f aca="false">AU9*$BT9</f>
        <v>65.7888203246028</v>
      </c>
      <c r="AA9" s="15" t="n">
        <f aca="false">AV9*$BT9</f>
        <v>60.1621732960602</v>
      </c>
      <c r="AB9" s="15" t="n">
        <f aca="false">AW9*$BT9</f>
        <v>94.4114860922569</v>
      </c>
      <c r="AC9" s="57" t="n">
        <f aca="false">AX9*$BT9</f>
        <v>848.320697322292</v>
      </c>
      <c r="AD9" s="14" t="n">
        <f aca="false">SUM(AE9:AL9)</f>
        <v>5900.04767776936</v>
      </c>
      <c r="AE9" s="15" t="n">
        <f aca="false">AQ9*AE$62/1000</f>
        <v>1.234200595414</v>
      </c>
      <c r="AF9" s="15" t="n">
        <f aca="false">AR9*AF$62/1000</f>
        <v>16.0165014528398</v>
      </c>
      <c r="AG9" s="15" t="n">
        <f aca="false">AS9*AG$62/1000</f>
        <v>89.6645986841327</v>
      </c>
      <c r="AH9" s="15" t="n">
        <f aca="false">AT9*AH$62/1000</f>
        <v>60.4557480875485</v>
      </c>
      <c r="AI9" s="15" t="n">
        <f aca="false">AU9*AI$62/1000</f>
        <v>234.717963647818</v>
      </c>
      <c r="AJ9" s="15" t="n">
        <f aca="false">AV9*AJ$62/1000</f>
        <v>263.240412180836</v>
      </c>
      <c r="AK9" s="15" t="n">
        <f aca="false">AW9*AK$62/1000</f>
        <v>413.906634225232</v>
      </c>
      <c r="AL9" s="15" t="n">
        <f aca="false">AX9*AL$62/1000</f>
        <v>4820.81161889554</v>
      </c>
      <c r="AM9" s="340" t="n">
        <f aca="false">IF(S9=0,0,AD9/S9*1000)</f>
        <v>5231.72035269008</v>
      </c>
      <c r="AN9" s="218" t="n">
        <f aca="false">SUM(AO9:AX9)</f>
        <v>1237.20406280799</v>
      </c>
      <c r="AO9" s="15" t="n">
        <f aca="false">E9*42*AO$62/(Rollup!$AD$159/14.696)/1000</f>
        <v>0</v>
      </c>
      <c r="AP9" s="15" t="n">
        <f aca="false">F9*42*AP$62/(Rollup!$AD$159/14.696)/1000</f>
        <v>0.092145448785256</v>
      </c>
      <c r="AQ9" s="15" t="n">
        <f aca="false">G9*42*AQ$62/(Rollup!$AD$159/14.696)/1000</f>
        <v>1.22586471534962</v>
      </c>
      <c r="AR9" s="15" t="n">
        <f aca="false">H9*42*AR$62/(Rollup!$AD$159/14.696)/1000</f>
        <v>9.07862002768382</v>
      </c>
      <c r="AS9" s="15" t="n">
        <f aca="false">I9*42*AS$62/(Rollup!$AD$159/14.696)/1000</f>
        <v>35.7485841177469</v>
      </c>
      <c r="AT9" s="15" t="n">
        <f aca="false">J9*42*AT$62/(Rollup!$AD$159/14.696)/1000</f>
        <v>18.6493963314152</v>
      </c>
      <c r="AU9" s="15" t="n">
        <f aca="false">K9*42*AU$62/(Rollup!$AD$159/14.696)/1000</f>
        <v>72.1742762054728</v>
      </c>
      <c r="AV9" s="15" t="n">
        <f aca="false">L9*42*AV$62/(Rollup!$AD$159/14.696)/1000</f>
        <v>66.0015074167175</v>
      </c>
      <c r="AW9" s="15" t="n">
        <f aca="false">M9*42*AW$62/(Rollup!$AD$159/14.696)/1000</f>
        <v>103.575054858424</v>
      </c>
      <c r="AX9" s="57" t="n">
        <f aca="false">N9*42*AX$62/(Rollup!$AD$159/14.696)/1000</f>
        <v>930.658613686398</v>
      </c>
      <c r="AY9" s="341" t="n">
        <f aca="false">IF($AN9=0,0,AO9/$AN9)</f>
        <v>0</v>
      </c>
      <c r="AZ9" s="76" t="n">
        <f aca="false">IF($AN9=0,0,AP9/$AN9)</f>
        <v>7.44787796575127E-005</v>
      </c>
      <c r="BA9" s="76" t="n">
        <f aca="false">IF($AN9=0,0,AQ9/$AN9)</f>
        <v>0.000990834699142006</v>
      </c>
      <c r="BB9" s="76" t="n">
        <f aca="false">IF($AN9=0,0,AR9/$AN9)</f>
        <v>0.00733801342931152</v>
      </c>
      <c r="BC9" s="76" t="n">
        <f aca="false">IF($AN9=0,0,AS9/$AN9)</f>
        <v>0.0288946546429947</v>
      </c>
      <c r="BD9" s="76" t="n">
        <f aca="false">IF($AN9=0,0,AT9/$AN9)</f>
        <v>0.0150738240295525</v>
      </c>
      <c r="BE9" s="76" t="n">
        <f aca="false">IF($AN9=0,0,AU9/$AN9)</f>
        <v>0.0583365981208177</v>
      </c>
      <c r="BF9" s="76" t="n">
        <f aca="false">IF($AN9=0,0,AV9/$AN9)</f>
        <v>0.0533473089854868</v>
      </c>
      <c r="BG9" s="76" t="n">
        <f aca="false">IF($AN9=0,0,AW9/$AN9)</f>
        <v>0.0837170342161233</v>
      </c>
      <c r="BH9" s="76" t="n">
        <f aca="false">IF($AN9=0,0,AX9/$AN9)</f>
        <v>0.752227253096914</v>
      </c>
      <c r="BI9" s="342" t="n">
        <f aca="false">SUM(AY9:BH9)</f>
        <v>1</v>
      </c>
      <c r="BJ9" s="343" t="n">
        <f aca="false">AY9*BJ$62</f>
        <v>0</v>
      </c>
      <c r="BK9" s="344" t="n">
        <f aca="false">AZ9*BK$62</f>
        <v>3.29196206086206E-007</v>
      </c>
      <c r="BL9" s="344" t="n">
        <f aca="false">BA9*BL$62</f>
        <v>1.14936825100473E-005</v>
      </c>
      <c r="BM9" s="344" t="n">
        <f aca="false">BB9*BM$62</f>
        <v>0.000174644719617614</v>
      </c>
      <c r="BN9" s="344" t="n">
        <f aca="false">BC9*BN$62</f>
        <v>0.00100264451611192</v>
      </c>
      <c r="BO9" s="344" t="n">
        <f aca="false">BD9*BO$62</f>
        <v>0.000664755639703267</v>
      </c>
      <c r="BP9" s="344" t="n">
        <f aca="false">BE9*BP$62</f>
        <v>0.00274182011167843</v>
      </c>
      <c r="BQ9" s="344" t="n">
        <f aca="false">BF9*BQ$62</f>
        <v>0.00307280499756404</v>
      </c>
      <c r="BR9" s="344" t="n">
        <f aca="false">BG9*BR$62</f>
        <v>0.00507325227349707</v>
      </c>
      <c r="BS9" s="344" t="n">
        <f aca="false">BH9*BS$62</f>
        <v>0.0649698678499805</v>
      </c>
      <c r="BT9" s="345" t="n">
        <f aca="false">1-Rollup!AD$159*(SUM(BJ9:BS9))^2</f>
        <v>0.911527261282244</v>
      </c>
    </row>
    <row r="10" customFormat="false" ht="15" hidden="false" customHeight="false" outlineLevel="0" collapsed="false">
      <c r="C10" s="56" t="s">
        <v>147</v>
      </c>
      <c r="D10" s="338" t="n">
        <v>1171</v>
      </c>
      <c r="E10" s="20" t="n">
        <f aca="false">$D10*E47/$P47</f>
        <v>0.01171</v>
      </c>
      <c r="F10" s="15" t="n">
        <f aca="false">$D10*F47/$P47</f>
        <v>0.4684</v>
      </c>
      <c r="G10" s="15" t="n">
        <f aca="false">$D10*G47/$P47</f>
        <v>1.19442</v>
      </c>
      <c r="H10" s="15" t="n">
        <f aca="false">$D10*H47/$P47</f>
        <v>2.98605</v>
      </c>
      <c r="I10" s="15" t="n">
        <f aca="false">$D10*I47/$P47</f>
        <v>8.94644</v>
      </c>
      <c r="J10" s="15" t="n">
        <f aca="false">$D10*J47/$P47</f>
        <v>6.93232</v>
      </c>
      <c r="K10" s="15" t="n">
        <f aca="false">$D10*K47/$P47</f>
        <v>33.33837</v>
      </c>
      <c r="L10" s="15" t="n">
        <f aca="false">$D10*L47/$P47</f>
        <v>50.83311</v>
      </c>
      <c r="M10" s="15" t="n">
        <f aca="false">$D10*M47/$P47</f>
        <v>91.06867</v>
      </c>
      <c r="N10" s="15" t="n">
        <f aca="false">$D10*N47/$P47</f>
        <v>975.22051</v>
      </c>
      <c r="O10" s="15" t="n">
        <f aca="false">$D10*O47/$P47</f>
        <v>0</v>
      </c>
      <c r="P10" s="219" t="n">
        <f aca="false">SUM(E10:O10)</f>
        <v>1171</v>
      </c>
      <c r="Q10" s="220"/>
      <c r="R10" s="339" t="str">
        <f aca="false">C10</f>
        <v>Cypress Cond</v>
      </c>
      <c r="S10" s="15" t="n">
        <f aca="false">SUM(T10:AC10)</f>
        <v>1080.13229106036</v>
      </c>
      <c r="T10" s="15" t="n">
        <f aca="false">AO10*$BT10</f>
        <v>0.0262856346271115</v>
      </c>
      <c r="U10" s="15" t="n">
        <f aca="false">AP10*$BT10</f>
        <v>1.6309926206376</v>
      </c>
      <c r="V10" s="15" t="n">
        <f aca="false">AQ10*$BT10</f>
        <v>2.69902539371137</v>
      </c>
      <c r="W10" s="15" t="n">
        <f aca="false">AR10*$BT10</f>
        <v>4.27732861947698</v>
      </c>
      <c r="X10" s="15" t="n">
        <f aca="false">AS10*$BT10</f>
        <v>12.4402043492735</v>
      </c>
      <c r="Y10" s="15" t="n">
        <f aca="false">AT10*$BT10</f>
        <v>8.11536596428561</v>
      </c>
      <c r="Z10" s="15" t="n">
        <f aca="false">AU10*$BT10</f>
        <v>40.5105752206699</v>
      </c>
      <c r="AA10" s="15" t="n">
        <f aca="false">AV10*$BT10</f>
        <v>53.2478847387942</v>
      </c>
      <c r="AB10" s="15" t="n">
        <f aca="false">AW10*$BT10</f>
        <v>96.2438609902288</v>
      </c>
      <c r="AC10" s="57" t="n">
        <f aca="false">AX10*$BT10</f>
        <v>860.940767528656</v>
      </c>
      <c r="AD10" s="14" t="n">
        <f aca="false">SUM(AE10:AL10)</f>
        <v>5795.58571310895</v>
      </c>
      <c r="AE10" s="15" t="n">
        <f aca="false">AQ10*AE$62/1000</f>
        <v>2.99624771376909</v>
      </c>
      <c r="AF10" s="15" t="n">
        <f aca="false">AR10*AF$62/1000</f>
        <v>8.32047219263262</v>
      </c>
      <c r="AG10" s="15" t="n">
        <f aca="false">AS10*AG$62/1000</f>
        <v>34.4046556978758</v>
      </c>
      <c r="AH10" s="15" t="n">
        <f aca="false">AT10*AH$62/1000</f>
        <v>29.0073776012095</v>
      </c>
      <c r="AI10" s="15" t="n">
        <f aca="false">AU10*AI$62/1000</f>
        <v>145.264615685333</v>
      </c>
      <c r="AJ10" s="15" t="n">
        <f aca="false">AV10*AJ$62/1000</f>
        <v>234.168571133169</v>
      </c>
      <c r="AK10" s="15" t="n">
        <f aca="false">AW10*AK$62/1000</f>
        <v>424.079999584496</v>
      </c>
      <c r="AL10" s="15" t="n">
        <f aca="false">AX10*AL$62/1000</f>
        <v>4917.34377350047</v>
      </c>
      <c r="AM10" s="340" t="n">
        <f aca="false">IF(S10=0,0,AD10/S10*1000)</f>
        <v>5365.62582294383</v>
      </c>
      <c r="AN10" s="218" t="n">
        <f aca="false">SUM(AO10:AX10)</f>
        <v>1190.9800531631</v>
      </c>
      <c r="AO10" s="15" t="n">
        <f aca="false">E10*42*AO$62/(Rollup!$AD$159/14.696)/1000</f>
        <v>0.0289831780650594</v>
      </c>
      <c r="AP10" s="15" t="n">
        <f aca="false">F10*42*AP$62/(Rollup!$AD$159/14.696)/1000</f>
        <v>1.79837200879225</v>
      </c>
      <c r="AQ10" s="15" t="n">
        <f aca="false">G10*42*AQ$62/(Rollup!$AD$159/14.696)/1000</f>
        <v>2.9760108400567</v>
      </c>
      <c r="AR10" s="15" t="n">
        <f aca="false">H10*42*AR$62/(Rollup!$AD$159/14.696)/1000</f>
        <v>4.71628624454859</v>
      </c>
      <c r="AS10" s="15" t="n">
        <f aca="false">I10*42*AS$62/(Rollup!$AD$159/14.696)/1000</f>
        <v>13.7168709424591</v>
      </c>
      <c r="AT10" s="15" t="n">
        <f aca="false">J10*42*AT$62/(Rollup!$AD$159/14.696)/1000</f>
        <v>8.94819927852962</v>
      </c>
      <c r="AU10" s="15" t="n">
        <f aca="false">K10*42*AU$62/(Rollup!$AD$159/14.696)/1000</f>
        <v>44.6679424634337</v>
      </c>
      <c r="AV10" s="15" t="n">
        <f aca="false">L10*42*AV$62/(Rollup!$AD$159/14.696)/1000</f>
        <v>58.7124087687215</v>
      </c>
      <c r="AW10" s="15" t="n">
        <f aca="false">M10*42*AW$62/(Rollup!$AD$159/14.696)/1000</f>
        <v>106.120814670061</v>
      </c>
      <c r="AX10" s="57" t="n">
        <f aca="false">N10*42*AX$62/(Rollup!$AD$159/14.696)/1000</f>
        <v>949.29416476843</v>
      </c>
      <c r="AY10" s="341" t="n">
        <f aca="false">IF($AN10=0,0,AO10/$AN10)</f>
        <v>2.43355696748099E-005</v>
      </c>
      <c r="AZ10" s="76" t="n">
        <f aca="false">IF($AN10=0,0,AP10/$AN10)</f>
        <v>0.00150999339075074</v>
      </c>
      <c r="BA10" s="76" t="n">
        <f aca="false">IF($AN10=0,0,AQ10/$AN10)</f>
        <v>0.00249879150549397</v>
      </c>
      <c r="BB10" s="76" t="n">
        <f aca="false">IF($AN10=0,0,AR10/$AN10)</f>
        <v>0.00396000439471904</v>
      </c>
      <c r="BC10" s="76" t="n">
        <f aca="false">IF($AN10=0,0,AS10/$AN10)</f>
        <v>0.0115172969572653</v>
      </c>
      <c r="BD10" s="76" t="n">
        <f aca="false">IF($AN10=0,0,AT10/$AN10)</f>
        <v>0.0075133074267401</v>
      </c>
      <c r="BE10" s="76" t="n">
        <f aca="false">IF($AN10=0,0,AU10/$AN10)</f>
        <v>0.0375051977947079</v>
      </c>
      <c r="BF10" s="76" t="n">
        <f aca="false">IF($AN10=0,0,AV10/$AN10)</f>
        <v>0.0492975584375141</v>
      </c>
      <c r="BG10" s="76" t="n">
        <f aca="false">IF($AN10=0,0,AW10/$AN10)</f>
        <v>0.0891037716275908</v>
      </c>
      <c r="BH10" s="76" t="n">
        <f aca="false">IF($AN10=0,0,AX10/$AN10)</f>
        <v>0.797069742895543</v>
      </c>
      <c r="BI10" s="342" t="n">
        <f aca="false">SUM(AY10:BH10)</f>
        <v>1</v>
      </c>
      <c r="BJ10" s="343" t="n">
        <f aca="false">AY10*BJ$62</f>
        <v>4.74543608658793E-007</v>
      </c>
      <c r="BK10" s="344" t="n">
        <f aca="false">AZ10*BK$62</f>
        <v>6.67417078711828E-006</v>
      </c>
      <c r="BL10" s="344" t="n">
        <f aca="false">BA10*BL$62</f>
        <v>2.898598146373E-005</v>
      </c>
      <c r="BM10" s="344" t="n">
        <f aca="false">BB10*BM$62</f>
        <v>9.42481045943132E-005</v>
      </c>
      <c r="BN10" s="344" t="n">
        <f aca="false">BC10*BN$62</f>
        <v>0.000399650204417108</v>
      </c>
      <c r="BO10" s="344" t="n">
        <f aca="false">BD10*BO$62</f>
        <v>0.000331336857519238</v>
      </c>
      <c r="BP10" s="344" t="n">
        <f aca="false">BE10*BP$62</f>
        <v>0.00176274429635127</v>
      </c>
      <c r="BQ10" s="344" t="n">
        <f aca="false">BF10*BQ$62</f>
        <v>0.00283953936600081</v>
      </c>
      <c r="BR10" s="344" t="n">
        <f aca="false">BG10*BR$62</f>
        <v>0.005399688560632</v>
      </c>
      <c r="BS10" s="344" t="n">
        <f aca="false">BH10*BS$62</f>
        <v>0.0688429136938881</v>
      </c>
      <c r="BT10" s="345" t="n">
        <f aca="false">1-Rollup!AD$159*(SUM(BJ10:BS10))^2</f>
        <v>0.906927272368384</v>
      </c>
    </row>
    <row r="11" customFormat="false" ht="15" hidden="false" customHeight="false" outlineLevel="0" collapsed="false">
      <c r="C11" s="56" t="s">
        <v>148</v>
      </c>
      <c r="D11" s="338"/>
      <c r="E11" s="20" t="n">
        <f aca="false">$D11*E49/$P49</f>
        <v>0</v>
      </c>
      <c r="F11" s="15" t="n">
        <f aca="false">$D11*F49/$P49</f>
        <v>0</v>
      </c>
      <c r="G11" s="15" t="n">
        <f aca="false">$D11*G49/$P49</f>
        <v>0</v>
      </c>
      <c r="H11" s="15" t="n">
        <f aca="false">$D11*H49/$P49</f>
        <v>0</v>
      </c>
      <c r="I11" s="15" t="n">
        <f aca="false">$D11*I49/$P49</f>
        <v>0</v>
      </c>
      <c r="J11" s="15" t="n">
        <f aca="false">$D11*J49/$P49</f>
        <v>0</v>
      </c>
      <c r="K11" s="15" t="n">
        <f aca="false">$D11*K49/$P49</f>
        <v>0</v>
      </c>
      <c r="L11" s="15" t="n">
        <f aca="false">$D11*L49/$P49</f>
        <v>0</v>
      </c>
      <c r="M11" s="15" t="n">
        <f aca="false">$D11*M49/$P49</f>
        <v>0</v>
      </c>
      <c r="N11" s="15" t="n">
        <f aca="false">$D11*N49/$P49</f>
        <v>0</v>
      </c>
      <c r="O11" s="15" t="n">
        <f aca="false">$D11*O49/$P49</f>
        <v>0</v>
      </c>
      <c r="P11" s="219" t="n">
        <f aca="false">SUM(E11:O11)</f>
        <v>0</v>
      </c>
      <c r="Q11" s="220"/>
      <c r="R11" s="339" t="str">
        <f aca="false">C11</f>
        <v>Money Graham Cond</v>
      </c>
      <c r="S11" s="15" t="n">
        <f aca="false">SUM(T11:AC11)</f>
        <v>0</v>
      </c>
      <c r="T11" s="15" t="n">
        <f aca="false">AO11*$BT11</f>
        <v>0</v>
      </c>
      <c r="U11" s="15" t="n">
        <f aca="false">AP11*$BT11</f>
        <v>0</v>
      </c>
      <c r="V11" s="15" t="n">
        <f aca="false">AQ11*$BT11</f>
        <v>0</v>
      </c>
      <c r="W11" s="15" t="n">
        <f aca="false">AR11*$BT11</f>
        <v>0</v>
      </c>
      <c r="X11" s="15" t="n">
        <f aca="false">AS11*$BT11</f>
        <v>0</v>
      </c>
      <c r="Y11" s="15" t="n">
        <f aca="false">AT11*$BT11</f>
        <v>0</v>
      </c>
      <c r="Z11" s="15" t="n">
        <f aca="false">AU11*$BT11</f>
        <v>0</v>
      </c>
      <c r="AA11" s="15" t="n">
        <f aca="false">AV11*$BT11</f>
        <v>0</v>
      </c>
      <c r="AB11" s="15" t="n">
        <f aca="false">AW11*$BT11</f>
        <v>0</v>
      </c>
      <c r="AC11" s="57" t="n">
        <f aca="false">AX11*$BT11</f>
        <v>0</v>
      </c>
      <c r="AD11" s="14" t="n">
        <f aca="false">SUM(AE11:AL11)</f>
        <v>0</v>
      </c>
      <c r="AE11" s="15" t="n">
        <f aca="false">AQ11*AE$62/1000</f>
        <v>0</v>
      </c>
      <c r="AF11" s="15" t="n">
        <f aca="false">AR11*AF$62/1000</f>
        <v>0</v>
      </c>
      <c r="AG11" s="15" t="n">
        <f aca="false">AS11*AG$62/1000</f>
        <v>0</v>
      </c>
      <c r="AH11" s="15" t="n">
        <f aca="false">AT11*AH$62/1000</f>
        <v>0</v>
      </c>
      <c r="AI11" s="15" t="n">
        <f aca="false">AU11*AI$62/1000</f>
        <v>0</v>
      </c>
      <c r="AJ11" s="15" t="n">
        <f aca="false">AV11*AJ$62/1000</f>
        <v>0</v>
      </c>
      <c r="AK11" s="15" t="n">
        <f aca="false">AW11*AK$62/1000</f>
        <v>0</v>
      </c>
      <c r="AL11" s="15" t="n">
        <f aca="false">AX11*AL$62/1000</f>
        <v>0</v>
      </c>
      <c r="AM11" s="340" t="n">
        <f aca="false">IF(S11=0,0,AD11/S11*1000)</f>
        <v>0</v>
      </c>
      <c r="AN11" s="218" t="n">
        <f aca="false">SUM(AO11:AX11)</f>
        <v>0</v>
      </c>
      <c r="AO11" s="15" t="n">
        <f aca="false">E11*42*AO$62/(Rollup!$AD$159/14.696)/1000</f>
        <v>0</v>
      </c>
      <c r="AP11" s="15" t="n">
        <f aca="false">F11*42*AP$62/(Rollup!$AD$159/14.696)/1000</f>
        <v>0</v>
      </c>
      <c r="AQ11" s="15" t="n">
        <f aca="false">G11*42*AQ$62/(Rollup!$AD$159/14.696)/1000</f>
        <v>0</v>
      </c>
      <c r="AR11" s="15" t="n">
        <f aca="false">H11*42*AR$62/(Rollup!$AD$159/14.696)/1000</f>
        <v>0</v>
      </c>
      <c r="AS11" s="15" t="n">
        <f aca="false">I11*42*AS$62/(Rollup!$AD$159/14.696)/1000</f>
        <v>0</v>
      </c>
      <c r="AT11" s="15" t="n">
        <f aca="false">J11*42*AT$62/(Rollup!$AD$159/14.696)/1000</f>
        <v>0</v>
      </c>
      <c r="AU11" s="15" t="n">
        <f aca="false">K11*42*AU$62/(Rollup!$AD$159/14.696)/1000</f>
        <v>0</v>
      </c>
      <c r="AV11" s="15" t="n">
        <f aca="false">L11*42*AV$62/(Rollup!$AD$159/14.696)/1000</f>
        <v>0</v>
      </c>
      <c r="AW11" s="15" t="n">
        <f aca="false">M11*42*AW$62/(Rollup!$AD$159/14.696)/1000</f>
        <v>0</v>
      </c>
      <c r="AX11" s="57" t="n">
        <f aca="false">N11*42*AX$62/(Rollup!$AD$159/14.696)/1000</f>
        <v>0</v>
      </c>
      <c r="AY11" s="341" t="n">
        <f aca="false">IF($AN11=0,0,AO11/$AN11)</f>
        <v>0</v>
      </c>
      <c r="AZ11" s="76" t="n">
        <f aca="false">IF($AN11=0,0,AP11/$AN11)</f>
        <v>0</v>
      </c>
      <c r="BA11" s="76" t="n">
        <f aca="false">IF($AN11=0,0,AQ11/$AN11)</f>
        <v>0</v>
      </c>
      <c r="BB11" s="76" t="n">
        <f aca="false">IF($AN11=0,0,AR11/$AN11)</f>
        <v>0</v>
      </c>
      <c r="BC11" s="76" t="n">
        <f aca="false">IF($AN11=0,0,AS11/$AN11)</f>
        <v>0</v>
      </c>
      <c r="BD11" s="76" t="n">
        <f aca="false">IF($AN11=0,0,AT11/$AN11)</f>
        <v>0</v>
      </c>
      <c r="BE11" s="76" t="n">
        <f aca="false">IF($AN11=0,0,AU11/$AN11)</f>
        <v>0</v>
      </c>
      <c r="BF11" s="76" t="n">
        <f aca="false">IF($AN11=0,0,AV11/$AN11)</f>
        <v>0</v>
      </c>
      <c r="BG11" s="76" t="n">
        <f aca="false">IF($AN11=0,0,AW11/$AN11)</f>
        <v>0</v>
      </c>
      <c r="BH11" s="76" t="n">
        <f aca="false">IF($AN11=0,0,AX11/$AN11)</f>
        <v>0</v>
      </c>
      <c r="BI11" s="342" t="n">
        <f aca="false">SUM(AY11:BH11)</f>
        <v>0</v>
      </c>
      <c r="BJ11" s="343" t="n">
        <f aca="false">AY11*BJ$62</f>
        <v>0</v>
      </c>
      <c r="BK11" s="344" t="n">
        <f aca="false">AZ11*BK$62</f>
        <v>0</v>
      </c>
      <c r="BL11" s="344" t="n">
        <f aca="false">BA11*BL$62</f>
        <v>0</v>
      </c>
      <c r="BM11" s="344" t="n">
        <f aca="false">BB11*BM$62</f>
        <v>0</v>
      </c>
      <c r="BN11" s="344" t="n">
        <f aca="false">BC11*BN$62</f>
        <v>0</v>
      </c>
      <c r="BO11" s="344" t="n">
        <f aca="false">BD11*BO$62</f>
        <v>0</v>
      </c>
      <c r="BP11" s="344" t="n">
        <f aca="false">BE11*BP$62</f>
        <v>0</v>
      </c>
      <c r="BQ11" s="344" t="n">
        <f aca="false">BF11*BQ$62</f>
        <v>0</v>
      </c>
      <c r="BR11" s="344" t="n">
        <f aca="false">BG11*BR$62</f>
        <v>0</v>
      </c>
      <c r="BS11" s="344" t="n">
        <f aca="false">BH11*BS$62</f>
        <v>0</v>
      </c>
      <c r="BT11" s="345" t="n">
        <f aca="false">1-Rollup!AD$159*(SUM(BJ11:BS11))^2</f>
        <v>1</v>
      </c>
    </row>
    <row r="12" customFormat="false" ht="15" hidden="false" customHeight="false" outlineLevel="0" collapsed="false">
      <c r="C12" s="56" t="s">
        <v>149</v>
      </c>
      <c r="D12" s="338" t="n">
        <v>2369</v>
      </c>
      <c r="E12" s="20" t="n">
        <f aca="false">$D12*E50/$P50</f>
        <v>0.11845</v>
      </c>
      <c r="F12" s="15" t="n">
        <f aca="false">$D12*F50/$P50</f>
        <v>0.37904</v>
      </c>
      <c r="G12" s="15" t="n">
        <f aca="false">$D12*G50/$P50</f>
        <v>2.41638</v>
      </c>
      <c r="H12" s="15" t="n">
        <f aca="false">$D12*H50/$P50</f>
        <v>10.04456</v>
      </c>
      <c r="I12" s="15" t="n">
        <f aca="false">$D12*I50/$P50</f>
        <v>51.95217</v>
      </c>
      <c r="J12" s="15" t="n">
        <f aca="false">$D12*J50/$P50</f>
        <v>42.57093</v>
      </c>
      <c r="K12" s="15" t="n">
        <f aca="false">$D12*K50/$P50</f>
        <v>178.6226</v>
      </c>
      <c r="L12" s="15" t="n">
        <f aca="false">$D12*L50/$P50</f>
        <v>172.86593</v>
      </c>
      <c r="M12" s="15" t="n">
        <f aca="false">$D12*M50/$P50</f>
        <v>265.04372</v>
      </c>
      <c r="N12" s="15" t="n">
        <f aca="false">$D12*N50/$P50</f>
        <v>1644.98622</v>
      </c>
      <c r="O12" s="15" t="n">
        <f aca="false">$D12*O50/$P50</f>
        <v>0</v>
      </c>
      <c r="P12" s="219" t="n">
        <f aca="false">SUM(E12:O12)</f>
        <v>2369</v>
      </c>
      <c r="Q12" s="220"/>
      <c r="R12" s="339" t="str">
        <f aca="false">C12</f>
        <v>Welcome to Golden Cond</v>
      </c>
      <c r="S12" s="15" t="n">
        <f aca="false">SUM(T12:AC12)</f>
        <v>2306.46459849894</v>
      </c>
      <c r="T12" s="15" t="n">
        <f aca="false">AO12*$BT12</f>
        <v>0.269686753102334</v>
      </c>
      <c r="U12" s="15" t="n">
        <f aca="false">AP12*$BT12</f>
        <v>1.33869959141849</v>
      </c>
      <c r="V12" s="15" t="n">
        <f aca="false">AQ12*$BT12</f>
        <v>5.53832087599672</v>
      </c>
      <c r="W12" s="15" t="n">
        <f aca="false">AR12*$BT12</f>
        <v>14.5938351824033</v>
      </c>
      <c r="X12" s="15" t="n">
        <f aca="false">AS12*$BT12</f>
        <v>73.2729928720202</v>
      </c>
      <c r="Y12" s="15" t="n">
        <f aca="false">AT12*$BT12</f>
        <v>50.5481916027263</v>
      </c>
      <c r="Z12" s="15" t="n">
        <f aca="false">AU12*$BT12</f>
        <v>220.152403918467</v>
      </c>
      <c r="AA12" s="15" t="n">
        <f aca="false">AV12*$BT12</f>
        <v>183.665702392494</v>
      </c>
      <c r="AB12" s="15" t="n">
        <f aca="false">AW12*$BT12</f>
        <v>284.108704181395</v>
      </c>
      <c r="AC12" s="57" t="n">
        <f aca="false">AX12*$BT12</f>
        <v>1472.97606112892</v>
      </c>
      <c r="AD12" s="14" t="n">
        <f aca="false">SUM(AE12:AL12)</f>
        <v>11515.333478452</v>
      </c>
      <c r="AE12" s="15" t="n">
        <f aca="false">AQ12*AE$62/1000</f>
        <v>6.06158055842782</v>
      </c>
      <c r="AF12" s="15" t="n">
        <f aca="false">AR12*AF$62/1000</f>
        <v>27.9886412374977</v>
      </c>
      <c r="AG12" s="15" t="n">
        <f aca="false">AS12*AG$62/1000</f>
        <v>199.788577535591</v>
      </c>
      <c r="AH12" s="15" t="n">
        <f aca="false">AT12*AH$62/1000</f>
        <v>178.132434934431</v>
      </c>
      <c r="AI12" s="15" t="n">
        <f aca="false">AU12*AI$62/1000</f>
        <v>778.308697807209</v>
      </c>
      <c r="AJ12" s="15" t="n">
        <f aca="false">AV12*AJ$62/1000</f>
        <v>796.326800105411</v>
      </c>
      <c r="AK12" s="15" t="n">
        <f aca="false">AW12*AK$62/1000</f>
        <v>1234.23061594589</v>
      </c>
      <c r="AL12" s="15" t="n">
        <f aca="false">AX12*AL$62/1000</f>
        <v>8294.49613032756</v>
      </c>
      <c r="AM12" s="340" t="n">
        <f aca="false">IF(S12=0,0,AD12/S12*1000)</f>
        <v>4992.63395846017</v>
      </c>
      <c r="AN12" s="218" t="n">
        <f aca="false">SUM(AO12:AX12)</f>
        <v>2507.329171445</v>
      </c>
      <c r="AO12" s="15" t="n">
        <f aca="false">E12*42*AO$62/(Rollup!$AD$159/14.696)/1000</f>
        <v>0.293173137643577</v>
      </c>
      <c r="AP12" s="15" t="n">
        <f aca="false">F12*42*AP$62/(Rollup!$AD$159/14.696)/1000</f>
        <v>1.45528378781514</v>
      </c>
      <c r="AQ12" s="15" t="n">
        <f aca="false">G12*42*AQ$62/(Rollup!$AD$159/14.696)/1000</f>
        <v>6.02064020503359</v>
      </c>
      <c r="AR12" s="15" t="n">
        <f aca="false">H12*42*AR$62/(Rollup!$AD$159/14.696)/1000</f>
        <v>15.8647779375908</v>
      </c>
      <c r="AS12" s="15" t="n">
        <f aca="false">I12*42*AS$62/(Rollup!$AD$159/14.696)/1000</f>
        <v>79.6541653518823</v>
      </c>
      <c r="AT12" s="15" t="n">
        <f aca="false">J12*42*AT$62/(Rollup!$AD$159/14.696)/1000</f>
        <v>54.9503146294941</v>
      </c>
      <c r="AU12" s="15" t="n">
        <f aca="false">K12*42*AU$62/(Rollup!$AD$159/14.696)/1000</f>
        <v>239.324958582826</v>
      </c>
      <c r="AV12" s="15" t="n">
        <f aca="false">L12*42*AV$62/(Rollup!$AD$159/14.696)/1000</f>
        <v>199.660716103052</v>
      </c>
      <c r="AW12" s="15" t="n">
        <f aca="false">M12*42*AW$62/(Rollup!$AD$159/14.696)/1000</f>
        <v>308.851062495844</v>
      </c>
      <c r="AX12" s="57" t="n">
        <f aca="false">N12*42*AX$62/(Rollup!$AD$159/14.696)/1000</f>
        <v>1601.25407921382</v>
      </c>
      <c r="AY12" s="341" t="n">
        <f aca="false">IF($AN12=0,0,AO12/$AN12)</f>
        <v>0.000116926465412843</v>
      </c>
      <c r="AZ12" s="76" t="n">
        <f aca="false">IF($AN12=0,0,AP12/$AN12)</f>
        <v>0.000580411939680201</v>
      </c>
      <c r="BA12" s="76" t="n">
        <f aca="false">IF($AN12=0,0,AQ12/$AN12)</f>
        <v>0.00240121651101911</v>
      </c>
      <c r="BB12" s="76" t="n">
        <f aca="false">IF($AN12=0,0,AR12/$AN12)</f>
        <v>0.0063273614482967</v>
      </c>
      <c r="BC12" s="76" t="n">
        <f aca="false">IF($AN12=0,0,AS12/$AN12)</f>
        <v>0.031768531335667</v>
      </c>
      <c r="BD12" s="76" t="n">
        <f aca="false">IF($AN12=0,0,AT12/$AN12)</f>
        <v>0.0219158757674509</v>
      </c>
      <c r="BE12" s="76" t="n">
        <f aca="false">IF($AN12=0,0,AU12/$AN12)</f>
        <v>0.0954501552123294</v>
      </c>
      <c r="BF12" s="76" t="n">
        <f aca="false">IF($AN12=0,0,AV12/$AN12)</f>
        <v>0.0796308352237554</v>
      </c>
      <c r="BG12" s="76" t="n">
        <f aca="false">IF($AN12=0,0,AW12/$AN12)</f>
        <v>0.123179304103039</v>
      </c>
      <c r="BH12" s="76" t="n">
        <f aca="false">IF($AN12=0,0,AX12/$AN12)</f>
        <v>0.63862938199335</v>
      </c>
      <c r="BI12" s="342" t="n">
        <f aca="false">SUM(AY12:BH12)</f>
        <v>1</v>
      </c>
      <c r="BJ12" s="343" t="n">
        <f aca="false">AY12*BJ$62</f>
        <v>2.28006607555045E-006</v>
      </c>
      <c r="BK12" s="344" t="n">
        <f aca="false">AZ12*BK$62</f>
        <v>2.56542077338649E-006</v>
      </c>
      <c r="BL12" s="344" t="n">
        <f aca="false">BA12*BL$62</f>
        <v>2.78541115278217E-005</v>
      </c>
      <c r="BM12" s="344" t="n">
        <f aca="false">BB12*BM$62</f>
        <v>0.000150591202469462</v>
      </c>
      <c r="BN12" s="344" t="n">
        <f aca="false">BC12*BN$62</f>
        <v>0.00110236803734764</v>
      </c>
      <c r="BO12" s="344" t="n">
        <f aca="false">BD12*BO$62</f>
        <v>0.000966490121344585</v>
      </c>
      <c r="BP12" s="344" t="n">
        <f aca="false">BE12*BP$62</f>
        <v>0.00448615729497948</v>
      </c>
      <c r="BQ12" s="344" t="n">
        <f aca="false">BF12*BQ$62</f>
        <v>0.00458673610888831</v>
      </c>
      <c r="BR12" s="344" t="n">
        <f aca="false">BG12*BR$62</f>
        <v>0.00746466582864417</v>
      </c>
      <c r="BS12" s="344" t="n">
        <f aca="false">BH12*BS$62</f>
        <v>0.0551584197227656</v>
      </c>
      <c r="BT12" s="345" t="n">
        <f aca="false">1-Rollup!AD$159*(SUM(BJ12:BS12))^2</f>
        <v>0.919889029636147</v>
      </c>
    </row>
    <row r="13" customFormat="false" ht="15" hidden="false" customHeight="false" outlineLevel="0" collapsed="false">
      <c r="C13" s="346" t="s">
        <v>150</v>
      </c>
      <c r="D13" s="338" t="n">
        <v>1162</v>
      </c>
      <c r="E13" s="20" t="n">
        <f aca="false">$D13*E51/$P51</f>
        <v>0.02324</v>
      </c>
      <c r="F13" s="15" t="n">
        <f aca="false">$D13*F51/$P51</f>
        <v>0.45318</v>
      </c>
      <c r="G13" s="15" t="n">
        <f aca="false">$D13*G51/$P51</f>
        <v>0.7553</v>
      </c>
      <c r="H13" s="15" t="n">
        <f aca="false">$D13*H51/$P51</f>
        <v>3.04444</v>
      </c>
      <c r="I13" s="15" t="n">
        <f aca="false">$D13*I51/$P51</f>
        <v>15.90778</v>
      </c>
      <c r="J13" s="15" t="n">
        <f aca="false">$D13*J51/$P51</f>
        <v>12.04994</v>
      </c>
      <c r="K13" s="15" t="n">
        <f aca="false">$D13*K51/$P51</f>
        <v>48.26948</v>
      </c>
      <c r="L13" s="15" t="n">
        <f aca="false">$D13*L51/$P51</f>
        <v>49.76846</v>
      </c>
      <c r="M13" s="15" t="n">
        <f aca="false">$D13*M51/$P51</f>
        <v>82.89708</v>
      </c>
      <c r="N13" s="15" t="n">
        <f aca="false">$D13*N51/$P51</f>
        <v>948.8311</v>
      </c>
      <c r="O13" s="15" t="n">
        <f aca="false">$D13*O51/$P51</f>
        <v>0</v>
      </c>
      <c r="P13" s="219" t="n">
        <f aca="false">SUM(E13:O13)</f>
        <v>1162</v>
      </c>
      <c r="Q13" s="220"/>
      <c r="R13" s="339" t="str">
        <f aca="false">C13</f>
        <v>Nailed It A Cond</v>
      </c>
      <c r="S13" s="15" t="n">
        <f aca="false">SUM(T13:AC13)</f>
        <v>1082.88530216574</v>
      </c>
      <c r="T13" s="15" t="n">
        <f aca="false">AO13*$BT13</f>
        <v>0.0523084052130414</v>
      </c>
      <c r="U13" s="15" t="n">
        <f aca="false">AP13*$BT13</f>
        <v>1.58226648333425</v>
      </c>
      <c r="V13" s="15" t="n">
        <f aca="false">AQ13*$BT13</f>
        <v>1.71136707509256</v>
      </c>
      <c r="W13" s="15" t="n">
        <f aca="false">AR13*$BT13</f>
        <v>4.37277111285996</v>
      </c>
      <c r="X13" s="15" t="n">
        <f aca="false">AS13*$BT13</f>
        <v>22.1799529615086</v>
      </c>
      <c r="Y13" s="15" t="n">
        <f aca="false">AT13*$BT13</f>
        <v>14.1445187510715</v>
      </c>
      <c r="Z13" s="15" t="n">
        <f aca="false">AU13*$BT13</f>
        <v>58.8126098306559</v>
      </c>
      <c r="AA13" s="15" t="n">
        <f aca="false">AV13*$BT13</f>
        <v>52.2737510949315</v>
      </c>
      <c r="AB13" s="15" t="n">
        <f aca="false">AW13*$BT13</f>
        <v>87.8450026081888</v>
      </c>
      <c r="AC13" s="57" t="n">
        <f aca="false">AX13*$BT13</f>
        <v>839.910753842886</v>
      </c>
      <c r="AD13" s="14" t="n">
        <f aca="false">SUM(AE13:AL13)</f>
        <v>5731.87044499074</v>
      </c>
      <c r="AE13" s="15" t="n">
        <f aca="false">AQ13*AE$62/1000</f>
        <v>1.89469859698414</v>
      </c>
      <c r="AF13" s="15" t="n">
        <f aca="false">AR13*AF$62/1000</f>
        <v>8.48317287457961</v>
      </c>
      <c r="AG13" s="15" t="n">
        <f aca="false">AS13*AG$62/1000</f>
        <v>61.175360681741</v>
      </c>
      <c r="AH13" s="15" t="n">
        <f aca="false">AT13*AH$62/1000</f>
        <v>50.4213826903429</v>
      </c>
      <c r="AI13" s="15" t="n">
        <f aca="false">AU13*AI$62/1000</f>
        <v>210.323643943326</v>
      </c>
      <c r="AJ13" s="15" t="n">
        <f aca="false">AV13*AJ$62/1000</f>
        <v>229.264138387328</v>
      </c>
      <c r="AK13" s="15" t="n">
        <f aca="false">AW13*AK$62/1000</f>
        <v>386.02730941339</v>
      </c>
      <c r="AL13" s="15" t="n">
        <f aca="false">AX13*AL$62/1000</f>
        <v>4784.28073840305</v>
      </c>
      <c r="AM13" s="340" t="n">
        <f aca="false">IF(S13=0,0,AD13/S13*1000)</f>
        <v>5293.14640574321</v>
      </c>
      <c r="AN13" s="218" t="n">
        <f aca="false">SUM(AO13:AX13)</f>
        <v>1190.7928366284</v>
      </c>
      <c r="AO13" s="15" t="n">
        <f aca="false">E13*42*AO$62/(Rollup!$AD$159/14.696)/1000</f>
        <v>0.0575208418643877</v>
      </c>
      <c r="AP13" s="15" t="n">
        <f aca="false">F13*42*AP$62/(Rollup!$AD$159/14.696)/1000</f>
        <v>1.7399364366876</v>
      </c>
      <c r="AQ13" s="15" t="n">
        <f aca="false">G13*42*AQ$62/(Rollup!$AD$159/14.696)/1000</f>
        <v>1.88190166565767</v>
      </c>
      <c r="AR13" s="15" t="n">
        <f aca="false">H13*42*AR$62/(Rollup!$AD$159/14.696)/1000</f>
        <v>4.80850973505249</v>
      </c>
      <c r="AS13" s="15" t="n">
        <f aca="false">I13*42*AS$62/(Rollup!$AD$159/14.696)/1000</f>
        <v>24.3901445984136</v>
      </c>
      <c r="AT13" s="15" t="n">
        <f aca="false">J13*42*AT$62/(Rollup!$AD$159/14.696)/1000</f>
        <v>15.5539941050507</v>
      </c>
      <c r="AU13" s="15" t="n">
        <f aca="false">K13*42*AU$62/(Rollup!$AD$159/14.696)/1000</f>
        <v>64.6731785441179</v>
      </c>
      <c r="AV13" s="15" t="n">
        <f aca="false">L13*42*AV$62/(Rollup!$AD$159/14.696)/1000</f>
        <v>57.4827345269602</v>
      </c>
      <c r="AW13" s="15" t="n">
        <f aca="false">M13*42*AW$62/(Rollup!$AD$159/14.696)/1000</f>
        <v>96.5985960195662</v>
      </c>
      <c r="AX13" s="57" t="n">
        <f aca="false">N13*42*AX$62/(Rollup!$AD$159/14.696)/1000</f>
        <v>923.606320155029</v>
      </c>
      <c r="AY13" s="341" t="n">
        <f aca="false">IF($AN13=0,0,AO13/$AN13)</f>
        <v>4.83046589591954E-005</v>
      </c>
      <c r="AZ13" s="76" t="n">
        <f aca="false">IF($AN13=0,0,AP13/$AN13)</f>
        <v>0.00146115796397805</v>
      </c>
      <c r="BA13" s="76" t="n">
        <f aca="false">IF($AN13=0,0,AQ13/$AN13)</f>
        <v>0.00158037704609146</v>
      </c>
      <c r="BB13" s="76" t="n">
        <f aca="false">IF($AN13=0,0,AR13/$AN13)</f>
        <v>0.00403807411931303</v>
      </c>
      <c r="BC13" s="76" t="n">
        <f aca="false">IF($AN13=0,0,AS13/$AN13)</f>
        <v>0.0204822735308617</v>
      </c>
      <c r="BD13" s="76" t="n">
        <f aca="false">IF($AN13=0,0,AT13/$AN13)</f>
        <v>0.0130618808130305</v>
      </c>
      <c r="BE13" s="76" t="n">
        <f aca="false">IF($AN13=0,0,AU13/$AN13)</f>
        <v>0.0543110241805224</v>
      </c>
      <c r="BF13" s="76" t="n">
        <f aca="false">IF($AN13=0,0,AV13/$AN13)</f>
        <v>0.0482726573076441</v>
      </c>
      <c r="BG13" s="76" t="n">
        <f aca="false">IF($AN13=0,0,AW13/$AN13)</f>
        <v>0.0811212438034768</v>
      </c>
      <c r="BH13" s="76" t="n">
        <f aca="false">IF($AN13=0,0,AX13/$AN13)</f>
        <v>0.775623006576123</v>
      </c>
      <c r="BI13" s="342" t="n">
        <f aca="false">SUM(AY13:BH13)</f>
        <v>1</v>
      </c>
      <c r="BJ13" s="343" t="n">
        <f aca="false">AY13*BJ$62</f>
        <v>9.4194084970431E-007</v>
      </c>
      <c r="BK13" s="344" t="n">
        <f aca="false">AZ13*BK$62</f>
        <v>6.45831820078297E-006</v>
      </c>
      <c r="BL13" s="344" t="n">
        <f aca="false">BA13*BL$62</f>
        <v>1.8332373734661E-005</v>
      </c>
      <c r="BM13" s="344" t="n">
        <f aca="false">BB13*BM$62</f>
        <v>9.61061640396502E-005</v>
      </c>
      <c r="BN13" s="344" t="n">
        <f aca="false">BC13*BN$62</f>
        <v>0.000710734891520901</v>
      </c>
      <c r="BO13" s="344" t="n">
        <f aca="false">BD13*BO$62</f>
        <v>0.000576028943854647</v>
      </c>
      <c r="BP13" s="344" t="n">
        <f aca="false">BE13*BP$62</f>
        <v>0.00255261813648455</v>
      </c>
      <c r="BQ13" s="344" t="n">
        <f aca="false">BF13*BQ$62</f>
        <v>0.0027805050609203</v>
      </c>
      <c r="BR13" s="344" t="n">
        <f aca="false">BG13*BR$62</f>
        <v>0.0049159473744907</v>
      </c>
      <c r="BS13" s="344" t="n">
        <f aca="false">BH13*BS$62</f>
        <v>0.0669905590779798</v>
      </c>
      <c r="BT13" s="345" t="n">
        <f aca="false">1-Rollup!AD$159*(SUM(BJ13:BS13))^2</f>
        <v>0.909381773937954</v>
      </c>
    </row>
    <row r="14" customFormat="false" ht="15" hidden="false" customHeight="false" outlineLevel="0" collapsed="false">
      <c r="C14" s="56" t="s">
        <v>151</v>
      </c>
      <c r="D14" s="338" t="n">
        <v>1737</v>
      </c>
      <c r="E14" s="20" t="n">
        <f aca="false">$D14*E52/$P52</f>
        <v>0</v>
      </c>
      <c r="F14" s="15" t="n">
        <f aca="false">$D14*F52/$P52</f>
        <v>0.03474</v>
      </c>
      <c r="G14" s="15" t="n">
        <f aca="false">$D14*G52/$P52</f>
        <v>1.23327</v>
      </c>
      <c r="H14" s="15" t="n">
        <f aca="false">$D14*H52/$P52</f>
        <v>4.62042</v>
      </c>
      <c r="I14" s="15" t="n">
        <f aca="false">$D14*I52/$P52</f>
        <v>18.62064</v>
      </c>
      <c r="J14" s="15" t="n">
        <f aca="false">$D14*J52/$P52</f>
        <v>17.37</v>
      </c>
      <c r="K14" s="15" t="n">
        <f aca="false">$D14*K52/$P52</f>
        <v>77.14017</v>
      </c>
      <c r="L14" s="15" t="n">
        <f aca="false">$D14*L52/$P52</f>
        <v>94.35384</v>
      </c>
      <c r="M14" s="15" t="n">
        <f aca="false">$D14*M52/$P52</f>
        <v>156.48633</v>
      </c>
      <c r="N14" s="15" t="n">
        <f aca="false">$D14*N52/$P52</f>
        <v>1367.14059</v>
      </c>
      <c r="O14" s="15" t="n">
        <f aca="false">$D14*O52/$P52</f>
        <v>0</v>
      </c>
      <c r="P14" s="219" t="n">
        <f aca="false">SUM(E14:O14)</f>
        <v>1737</v>
      </c>
      <c r="Q14" s="220"/>
      <c r="R14" s="339" t="str">
        <f aca="false">C14</f>
        <v>Nailed It B Cond</v>
      </c>
      <c r="S14" s="15" t="n">
        <f aca="false">SUM(T14:AC14)</f>
        <v>1627.83533596271</v>
      </c>
      <c r="T14" s="15" t="n">
        <f aca="false">AO14*$BT14</f>
        <v>0</v>
      </c>
      <c r="U14" s="15" t="n">
        <f aca="false">AP14*$BT14</f>
        <v>0.121503674113493</v>
      </c>
      <c r="V14" s="15" t="n">
        <f aca="false">AQ14*$BT14</f>
        <v>2.79919115892143</v>
      </c>
      <c r="W14" s="15" t="n">
        <f aca="false">AR14*$BT14</f>
        <v>6.6478541697081</v>
      </c>
      <c r="X14" s="15" t="n">
        <f aca="false">AS14*$BT14</f>
        <v>26.0073649119915</v>
      </c>
      <c r="Y14" s="15" t="n">
        <f aca="false">AT14*$BT14</f>
        <v>20.4246118855625</v>
      </c>
      <c r="Z14" s="15" t="n">
        <f aca="false">AU14*$BT14</f>
        <v>94.1519081406692</v>
      </c>
      <c r="AA14" s="15" t="n">
        <f aca="false">AV14*$BT14</f>
        <v>99.2749657333864</v>
      </c>
      <c r="AB14" s="15" t="n">
        <f aca="false">AW14*$BT14</f>
        <v>166.11350246492</v>
      </c>
      <c r="AC14" s="57" t="n">
        <f aca="false">AX14*$BT14</f>
        <v>1212.29443382344</v>
      </c>
      <c r="AD14" s="14" t="n">
        <f aca="false">SUM(AE14:AL14)</f>
        <v>8553.26081147721</v>
      </c>
      <c r="AE14" s="15" t="n">
        <f aca="false">AQ14*AE$62/1000</f>
        <v>3.09370440712648</v>
      </c>
      <c r="AF14" s="15" t="n">
        <f aca="false">AR14*AF$62/1000</f>
        <v>12.8745587409064</v>
      </c>
      <c r="AG14" s="15" t="n">
        <f aca="false">AS14*AG$62/1000</f>
        <v>71.6080036387764</v>
      </c>
      <c r="AH14" s="15" t="n">
        <f aca="false">AT14*AH$62/1000</f>
        <v>72.682471226517</v>
      </c>
      <c r="AI14" s="15" t="n">
        <f aca="false">AU14*AI$62/1000</f>
        <v>336.121326536098</v>
      </c>
      <c r="AJ14" s="15" t="n">
        <f aca="false">AV14*AJ$62/1000</f>
        <v>434.651822281336</v>
      </c>
      <c r="AK14" s="15" t="n">
        <f aca="false">AW14*AK$62/1000</f>
        <v>728.71079330992</v>
      </c>
      <c r="AL14" s="15" t="n">
        <f aca="false">AX14*AL$62/1000</f>
        <v>6893.51813133653</v>
      </c>
      <c r="AM14" s="340" t="n">
        <f aca="false">IF(S14=0,0,AD14/S14*1000)</f>
        <v>5254.37716120026</v>
      </c>
      <c r="AN14" s="218" t="n">
        <f aca="false">SUM(AO14:AX14)</f>
        <v>1786.95461707088</v>
      </c>
      <c r="AO14" s="15" t="n">
        <f aca="false">E14*42*AO$62/(Rollup!$AD$159/14.696)/1000</f>
        <v>0</v>
      </c>
      <c r="AP14" s="15" t="n">
        <f aca="false">F14*42*AP$62/(Rollup!$AD$159/14.696)/1000</f>
        <v>0.133380537116658</v>
      </c>
      <c r="AQ14" s="15" t="n">
        <f aca="false">G14*42*AQ$62/(Rollup!$AD$159/14.696)/1000</f>
        <v>3.07280930386023</v>
      </c>
      <c r="AR14" s="15" t="n">
        <f aca="false">H14*42*AR$62/(Rollup!$AD$159/14.696)/1000</f>
        <v>7.29767528676251</v>
      </c>
      <c r="AS14" s="15" t="n">
        <f aca="false">I14*42*AS$62/(Rollup!$AD$159/14.696)/1000</f>
        <v>28.549558902311</v>
      </c>
      <c r="AT14" s="15" t="n">
        <f aca="false">J14*42*AT$62/(Rollup!$AD$159/14.696)/1000</f>
        <v>22.4210973336573</v>
      </c>
      <c r="AU14" s="15" t="n">
        <f aca="false">K14*42*AU$62/(Rollup!$AD$159/14.696)/1000</f>
        <v>103.355163290212</v>
      </c>
      <c r="AV14" s="15" t="n">
        <f aca="false">L14*42*AV$62/(Rollup!$AD$159/14.696)/1000</f>
        <v>108.978994654833</v>
      </c>
      <c r="AW14" s="15" t="n">
        <f aca="false">M14*42*AW$62/(Rollup!$AD$159/14.696)/1000</f>
        <v>182.350931712607</v>
      </c>
      <c r="AX14" s="57" t="n">
        <f aca="false">N14*42*AX$62/(Rollup!$AD$159/14.696)/1000</f>
        <v>1330.79500604952</v>
      </c>
      <c r="AY14" s="341" t="n">
        <f aca="false">IF($AN14=0,0,AO14/$AN14)</f>
        <v>0</v>
      </c>
      <c r="AZ14" s="76" t="n">
        <f aca="false">IF($AN14=0,0,AP14/$AN14)</f>
        <v>7.4641256046721E-005</v>
      </c>
      <c r="BA14" s="76" t="n">
        <f aca="false">IF($AN14=0,0,AQ14/$AN14)</f>
        <v>0.00171957881554769</v>
      </c>
      <c r="BB14" s="76" t="n">
        <f aca="false">IF($AN14=0,0,AR14/$AN14)</f>
        <v>0.00408386156931317</v>
      </c>
      <c r="BC14" s="76" t="n">
        <f aca="false">IF($AN14=0,0,AS14/$AN14)</f>
        <v>0.0159766558308618</v>
      </c>
      <c r="BD14" s="76" t="n">
        <f aca="false">IF($AN14=0,0,AT14/$AN14)</f>
        <v>0.0125470994727383</v>
      </c>
      <c r="BE14" s="76" t="n">
        <f aca="false">IF($AN14=0,0,AU14/$AN14)</f>
        <v>0.0578387175045487</v>
      </c>
      <c r="BF14" s="76" t="n">
        <f aca="false">IF($AN14=0,0,AV14/$AN14)</f>
        <v>0.0609858770971296</v>
      </c>
      <c r="BG14" s="76" t="n">
        <f aca="false">IF($AN14=0,0,AW14/$AN14)</f>
        <v>0.102045642329468</v>
      </c>
      <c r="BH14" s="76" t="n">
        <f aca="false">IF($AN14=0,0,AX14/$AN14)</f>
        <v>0.744727926124346</v>
      </c>
      <c r="BI14" s="342" t="n">
        <f aca="false">SUM(AY14:BH14)</f>
        <v>1</v>
      </c>
      <c r="BJ14" s="343" t="n">
        <f aca="false">AY14*BJ$62</f>
        <v>0</v>
      </c>
      <c r="BK14" s="344" t="n">
        <f aca="false">AZ14*BK$62</f>
        <v>3.29914351726507E-007</v>
      </c>
      <c r="BL14" s="344" t="n">
        <f aca="false">BA14*BL$62</f>
        <v>1.99471142603532E-005</v>
      </c>
      <c r="BM14" s="344" t="n">
        <f aca="false">BB14*BM$62</f>
        <v>9.71959053496534E-005</v>
      </c>
      <c r="BN14" s="344" t="n">
        <f aca="false">BC14*BN$62</f>
        <v>0.000554389957330905</v>
      </c>
      <c r="BO14" s="344" t="n">
        <f aca="false">BD14*BO$62</f>
        <v>0.000553327086747759</v>
      </c>
      <c r="BP14" s="344" t="n">
        <f aca="false">BE14*BP$62</f>
        <v>0.00271841972271379</v>
      </c>
      <c r="BQ14" s="344" t="n">
        <f aca="false">BF14*BQ$62</f>
        <v>0.00351278652079466</v>
      </c>
      <c r="BR14" s="344" t="n">
        <f aca="false">BG14*BR$62</f>
        <v>0.00618396592516577</v>
      </c>
      <c r="BS14" s="344" t="n">
        <f aca="false">BH14*BS$62</f>
        <v>0.0643221509793598</v>
      </c>
      <c r="BT14" s="345" t="n">
        <f aca="false">1-Rollup!AD$159*(SUM(BJ14:BS14))^2</f>
        <v>0.910955051914527</v>
      </c>
    </row>
    <row r="15" customFormat="false" ht="15" hidden="false" customHeight="false" outlineLevel="0" collapsed="false">
      <c r="C15" s="56" t="s">
        <v>153</v>
      </c>
      <c r="D15" s="338" t="n">
        <v>4954</v>
      </c>
      <c r="E15" s="20" t="n">
        <f aca="false">$D15*E53/$P53</f>
        <v>0</v>
      </c>
      <c r="F15" s="14" t="n">
        <f aca="false">$D15*F55/$P55</f>
        <v>0</v>
      </c>
      <c r="G15" s="14" t="n">
        <f aca="false">$D15*G55/$P55</f>
        <v>0.04954</v>
      </c>
      <c r="H15" s="15" t="n">
        <f aca="false">$D15*H55/$P55</f>
        <v>2.37792</v>
      </c>
      <c r="I15" s="15" t="n">
        <f aca="false">$D15*I55/$P55</f>
        <v>1.04034</v>
      </c>
      <c r="J15" s="15" t="n">
        <f aca="false">$D15*J55/$P55</f>
        <v>0.29724</v>
      </c>
      <c r="K15" s="15" t="n">
        <f aca="false">$D15*K55/$P55</f>
        <v>0.9908</v>
      </c>
      <c r="L15" s="15" t="n">
        <f aca="false">$D15*L55/$P55</f>
        <v>289.41268</v>
      </c>
      <c r="M15" s="15" t="n">
        <f aca="false">$D15*M55/$P55</f>
        <v>682.71074</v>
      </c>
      <c r="N15" s="15" t="n">
        <f aca="false">$D15*N55/$P55</f>
        <v>3976.97212</v>
      </c>
      <c r="O15" s="15" t="n">
        <f aca="false">$D15*O55/$P55</f>
        <v>0</v>
      </c>
      <c r="P15" s="219" t="n">
        <f aca="false">SUM(E15:O15)</f>
        <v>4953.85138</v>
      </c>
      <c r="Q15" s="220"/>
      <c r="R15" s="339" t="str">
        <f aca="false">C15</f>
        <v>Tribute Cond</v>
      </c>
      <c r="S15" s="15" t="n">
        <f aca="false">SUM(T15:AC15)</f>
        <v>4535.41802400524</v>
      </c>
      <c r="T15" s="15" t="n">
        <f aca="false">AO15*$BT15</f>
        <v>0</v>
      </c>
      <c r="U15" s="15" t="n">
        <f aca="false">AP15*$BT15</f>
        <v>0</v>
      </c>
      <c r="V15" s="15" t="n">
        <f aca="false">AQ15*$BT15</f>
        <v>0.111780092565588</v>
      </c>
      <c r="W15" s="15" t="n">
        <f aca="false">AR15*$BT15</f>
        <v>3.4011935013822</v>
      </c>
      <c r="X15" s="15" t="n">
        <f aca="false">AS15*$BT15</f>
        <v>1.44447861475939</v>
      </c>
      <c r="Y15" s="15" t="n">
        <f aca="false">AT15*$BT15</f>
        <v>0.347452402441603</v>
      </c>
      <c r="Z15" s="15" t="n">
        <f aca="false">AU15*$BT15</f>
        <v>1.20217752500195</v>
      </c>
      <c r="AA15" s="15" t="n">
        <f aca="false">AV15*$BT15</f>
        <v>302.713502506991</v>
      </c>
      <c r="AB15" s="15" t="n">
        <f aca="false">AW15*$BT15</f>
        <v>720.442520549684</v>
      </c>
      <c r="AC15" s="57" t="n">
        <f aca="false">AX15*$BT15</f>
        <v>3505.75491881241</v>
      </c>
      <c r="AD15" s="14" t="n">
        <f aca="false">SUM(AE15:AL15)</f>
        <v>24581.7510596068</v>
      </c>
      <c r="AE15" s="15" t="n">
        <f aca="false">AQ15*AE$62/1000</f>
        <v>0.12427296239189</v>
      </c>
      <c r="AF15" s="15" t="n">
        <f aca="false">AR15*AF$62/1000</f>
        <v>6.62594974508295</v>
      </c>
      <c r="AG15" s="15" t="n">
        <f aca="false">AS15*AG$62/1000</f>
        <v>4.00075778843072</v>
      </c>
      <c r="AH15" s="15" t="n">
        <f aca="false">AT15*AH$62/1000</f>
        <v>1.24376152834599</v>
      </c>
      <c r="AI15" s="15" t="n">
        <f aca="false">AU15*AI$62/1000</f>
        <v>4.3171931087521</v>
      </c>
      <c r="AJ15" s="15" t="n">
        <f aca="false">AV15*AJ$62/1000</f>
        <v>1333.21281628098</v>
      </c>
      <c r="AK15" s="15" t="n">
        <f aca="false">AW15*AK$62/1000</f>
        <v>3179.18303117341</v>
      </c>
      <c r="AL15" s="15" t="n">
        <f aca="false">AX15*AL$62/1000</f>
        <v>20053.0432770194</v>
      </c>
      <c r="AM15" s="340" t="n">
        <f aca="false">IF(S15=0,0,AD15/S15*1000)</f>
        <v>5419.95267679839</v>
      </c>
      <c r="AN15" s="218" t="n">
        <f aca="false">SUM(AO15:AX15)</f>
        <v>5008.25347366258</v>
      </c>
      <c r="AO15" s="15" t="n">
        <f aca="false">E15*42*AO$62/(Rollup!$AD$159/14.696)/1000</f>
        <v>0</v>
      </c>
      <c r="AP15" s="15" t="n">
        <f aca="false">F15*42*AP$62/(Rollup!$AD$159/14.696)/1000</f>
        <v>0</v>
      </c>
      <c r="AQ15" s="15" t="n">
        <f aca="false">G15*42*AQ$62/(Rollup!$AD$159/14.696)/1000</f>
        <v>0.123433613817928</v>
      </c>
      <c r="AR15" s="15" t="n">
        <f aca="false">H15*42*AR$62/(Rollup!$AD$159/14.696)/1000</f>
        <v>3.75578151291404</v>
      </c>
      <c r="AS15" s="15" t="n">
        <f aca="false">I15*42*AS$62/(Rollup!$AD$159/14.696)/1000</f>
        <v>1.59507128156874</v>
      </c>
      <c r="AT15" s="15" t="n">
        <f aca="false">J15*42*AT$62/(Rollup!$AD$159/14.696)/1000</f>
        <v>0.383675703595642</v>
      </c>
      <c r="AU15" s="15" t="n">
        <f aca="false">K15*42*AU$62/(Rollup!$AD$159/14.696)/1000</f>
        <v>1.32750933512257</v>
      </c>
      <c r="AV15" s="15" t="n">
        <f aca="false">L15*42*AV$62/(Rollup!$AD$159/14.696)/1000</f>
        <v>334.27259459457</v>
      </c>
      <c r="AW15" s="15" t="n">
        <f aca="false">M15*42*AW$62/(Rollup!$AD$159/14.696)/1000</f>
        <v>795.551531748514</v>
      </c>
      <c r="AX15" s="15" t="n">
        <f aca="false">N15*42*AX$62/(Rollup!$AD$159/14.696)/1000</f>
        <v>3871.24387587248</v>
      </c>
      <c r="AY15" s="341" t="n">
        <f aca="false">IF($AN15=0,0,AO15/$AN15)</f>
        <v>0</v>
      </c>
      <c r="AZ15" s="341" t="n">
        <f aca="false">IF($AN15=0,0,AP15/$AN15)</f>
        <v>0</v>
      </c>
      <c r="BA15" s="341" t="n">
        <f aca="false">IF($AN15=0,0,AQ15/$AN15)</f>
        <v>2.46460396757154E-005</v>
      </c>
      <c r="BB15" s="341" t="n">
        <f aca="false">IF($AN15=0,0,AR15/$AN15)</f>
        <v>0.000749918416203365</v>
      </c>
      <c r="BC15" s="341" t="n">
        <f aca="false">IF($AN15=0,0,AS15/$AN15)</f>
        <v>0.0003184885289766</v>
      </c>
      <c r="BD15" s="341" t="n">
        <f aca="false">IF($AN15=0,0,AT15/$AN15)</f>
        <v>7.66086831693558E-005</v>
      </c>
      <c r="BE15" s="341" t="n">
        <f aca="false">IF($AN15=0,0,AU15/$AN15)</f>
        <v>0.000265064326736591</v>
      </c>
      <c r="BF15" s="341" t="n">
        <f aca="false">IF($AN15=0,0,AV15/$AN15)</f>
        <v>0.0667443443812187</v>
      </c>
      <c r="BG15" s="341" t="n">
        <f aca="false">IF($AN15=0,0,AW15/$AN15)</f>
        <v>0.15884809663332</v>
      </c>
      <c r="BH15" s="341" t="n">
        <f aca="false">IF($AN15=0,0,AX15/$AN15)</f>
        <v>0.7729728329907</v>
      </c>
      <c r="BI15" s="342" t="n">
        <f aca="false">SUM(AY15:BH15)</f>
        <v>1</v>
      </c>
      <c r="BJ15" s="343" t="n">
        <f aca="false">AY15*BJ$62</f>
        <v>0</v>
      </c>
      <c r="BK15" s="344" t="n">
        <f aca="false">AZ15*BK$62</f>
        <v>0</v>
      </c>
      <c r="BL15" s="344" t="n">
        <f aca="false">BA15*BL$62</f>
        <v>2.85894060238299E-007</v>
      </c>
      <c r="BM15" s="344" t="n">
        <f aca="false">BB15*BM$62</f>
        <v>1.78480583056401E-005</v>
      </c>
      <c r="BN15" s="344" t="n">
        <f aca="false">BC15*BN$62</f>
        <v>1.1051551955488E-005</v>
      </c>
      <c r="BO15" s="344" t="n">
        <f aca="false">BD15*BO$62</f>
        <v>3.37844292776859E-006</v>
      </c>
      <c r="BP15" s="344" t="n">
        <f aca="false">BE15*BP$62</f>
        <v>1.24580233566198E-005</v>
      </c>
      <c r="BQ15" s="344" t="n">
        <f aca="false">BF15*BQ$62</f>
        <v>0.00384447423635819</v>
      </c>
      <c r="BR15" s="344" t="n">
        <f aca="false">BG15*BR$62</f>
        <v>0.00962619465597919</v>
      </c>
      <c r="BS15" s="344" t="n">
        <f aca="false">BH15*BS$62</f>
        <v>0.0667616635854068</v>
      </c>
      <c r="BT15" s="345" t="n">
        <f aca="false">1-Rollup!AD$159*(SUM(BJ15:BS15))^2</f>
        <v>0.905588754214639</v>
      </c>
    </row>
    <row r="16" customFormat="false" ht="15" hidden="false" customHeight="false" outlineLevel="0" collapsed="false">
      <c r="C16" s="56" t="s">
        <v>152</v>
      </c>
      <c r="D16" s="338" t="n">
        <v>199</v>
      </c>
      <c r="E16" s="20" t="n">
        <f aca="false">$D16*E54/$P54</f>
        <v>0</v>
      </c>
      <c r="F16" s="14" t="n">
        <f aca="false">$D16*F56/$P56</f>
        <v>0.00398</v>
      </c>
      <c r="G16" s="14" t="n">
        <f aca="false">$D16*G56/$P56</f>
        <v>0.14129</v>
      </c>
      <c r="H16" s="14" t="n">
        <f aca="false">$D16*H56/$P56</f>
        <v>0.52934</v>
      </c>
      <c r="I16" s="14" t="n">
        <f aca="false">$D16*I56/$P56</f>
        <v>2.13328</v>
      </c>
      <c r="J16" s="14" t="n">
        <f aca="false">$D16*J56/$P56</f>
        <v>1.99</v>
      </c>
      <c r="K16" s="14" t="n">
        <f aca="false">$D16*K56/$P56</f>
        <v>8.83759</v>
      </c>
      <c r="L16" s="14" t="n">
        <f aca="false">$D16*L56/$P56</f>
        <v>10.80968</v>
      </c>
      <c r="M16" s="14" t="n">
        <f aca="false">$D16*M56/$P56</f>
        <v>17.92791</v>
      </c>
      <c r="N16" s="14" t="n">
        <f aca="false">$D16*N56/$P56</f>
        <v>156.62693</v>
      </c>
      <c r="O16" s="14" t="n">
        <f aca="false">$D16*O56/$P56</f>
        <v>0</v>
      </c>
      <c r="P16" s="14" t="n">
        <f aca="false">$D16*P56/$P56</f>
        <v>199</v>
      </c>
      <c r="Q16" s="220"/>
      <c r="R16" s="339" t="str">
        <f aca="false">C16</f>
        <v>Lowe Cond</v>
      </c>
      <c r="S16" s="15" t="n">
        <f aca="false">SUM(T16:AC16)</f>
        <v>186.4935128708</v>
      </c>
      <c r="T16" s="15" t="n">
        <f aca="false">AO16*$BT16</f>
        <v>0</v>
      </c>
      <c r="U16" s="15" t="n">
        <f aca="false">AP16*$BT16</f>
        <v>0.0139201100452418</v>
      </c>
      <c r="V16" s="15" t="n">
        <f aca="false">AQ16*$BT16</f>
        <v>0.320690293969698</v>
      </c>
      <c r="W16" s="15" t="n">
        <f aca="false">AR16*$BT16</f>
        <v>0.76161369013927</v>
      </c>
      <c r="X16" s="15" t="n">
        <f aca="false">AS16*$BT16</f>
        <v>2.97954266982517</v>
      </c>
      <c r="Y16" s="15" t="n">
        <f aca="false">AT16*$BT16</f>
        <v>2.33995265701032</v>
      </c>
      <c r="Z16" s="15" t="n">
        <f aca="false">AU16*$BT16</f>
        <v>10.7865456073651</v>
      </c>
      <c r="AA16" s="15" t="n">
        <f aca="false">AV16*$BT16</f>
        <v>11.3734704553505</v>
      </c>
      <c r="AB16" s="15" t="n">
        <f aca="false">AW16*$BT16</f>
        <v>19.0308503111797</v>
      </c>
      <c r="AC16" s="15" t="n">
        <f aca="false">AX16*$BT16</f>
        <v>138.886927075915</v>
      </c>
      <c r="AD16" s="14" t="n">
        <f aca="false">SUM(AE16:AL16)</f>
        <v>979.907254740337</v>
      </c>
      <c r="AE16" s="15" t="n">
        <f aca="false">AQ16*AE$62/1000</f>
        <v>0.354431305134236</v>
      </c>
      <c r="AF16" s="15" t="n">
        <f aca="false">AR16*AF$62/1000</f>
        <v>1.47497823226274</v>
      </c>
      <c r="AG16" s="15" t="n">
        <f aca="false">AS16*AG$62/1000</f>
        <v>8.20379546581261</v>
      </c>
      <c r="AH16" s="15" t="n">
        <f aca="false">AT16*AH$62/1000</f>
        <v>8.3268922130552</v>
      </c>
      <c r="AI16" s="15" t="n">
        <f aca="false">AU16*AI$62/1000</f>
        <v>38.5078549111591</v>
      </c>
      <c r="AJ16" s="15" t="n">
        <f aca="false">AV16*AJ$62/1000</f>
        <v>49.7960349073034</v>
      </c>
      <c r="AK16" s="15" t="n">
        <f aca="false">AW16*AK$62/1000</f>
        <v>83.4850016515107</v>
      </c>
      <c r="AL16" s="15" t="n">
        <f aca="false">AX16*AL$62/1000</f>
        <v>789.758266054099</v>
      </c>
      <c r="AM16" s="340" t="n">
        <f aca="false">IF(S16=0,0,AD16/S16*1000)</f>
        <v>5254.37716120026</v>
      </c>
      <c r="AN16" s="218" t="n">
        <f aca="false">SUM(AO16:AX16)</f>
        <v>204.723067816411</v>
      </c>
      <c r="AO16" s="15" t="n">
        <f aca="false">E16*42*AO$62/(Rollup!$AD$159/14.696)/1000</f>
        <v>0</v>
      </c>
      <c r="AP16" s="15" t="n">
        <f aca="false">F16*42*AP$62/(Rollup!$AD$159/14.696)/1000</f>
        <v>0.015280786923555</v>
      </c>
      <c r="AQ16" s="15" t="n">
        <f aca="false">G16*42*AQ$62/(Rollup!$AD$159/14.696)/1000</f>
        <v>0.352037450471033</v>
      </c>
      <c r="AR16" s="15" t="n">
        <f aca="false">H16*42*AR$62/(Rollup!$AD$159/14.696)/1000</f>
        <v>0.836060669007334</v>
      </c>
      <c r="AS16" s="15" t="n">
        <f aca="false">I16*42*AS$62/(Rollup!$AD$159/14.696)/1000</f>
        <v>3.27078999514098</v>
      </c>
      <c r="AT16" s="15" t="n">
        <f aca="false">J16*42*AT$62/(Rollup!$AD$159/14.696)/1000</f>
        <v>2.56868069625666</v>
      </c>
      <c r="AU16" s="15" t="n">
        <f aca="false">K16*42*AU$62/(Rollup!$AD$159/14.696)/1000</f>
        <v>11.8409196860979</v>
      </c>
      <c r="AV16" s="15" t="n">
        <f aca="false">L16*42*AV$62/(Rollup!$AD$159/14.696)/1000</f>
        <v>12.485215852799</v>
      </c>
      <c r="AW16" s="15" t="n">
        <f aca="false">M16*42*AW$62/(Rollup!$AD$159/14.696)/1000</f>
        <v>20.8910969549849</v>
      </c>
      <c r="AX16" s="15" t="n">
        <f aca="false">N16*42*AX$62/(Rollup!$AD$159/14.696)/1000</f>
        <v>152.46298572473</v>
      </c>
      <c r="AY16" s="341" t="n">
        <f aca="false">IF($AN16=0,0,AO16/$AN16)</f>
        <v>0</v>
      </c>
      <c r="AZ16" s="341" t="n">
        <f aca="false">IF($AN16=0,0,AP16/$AN16)</f>
        <v>7.4641256046721E-005</v>
      </c>
      <c r="BA16" s="341" t="n">
        <f aca="false">IF($AN16=0,0,AQ16/$AN16)</f>
        <v>0.00171957881554769</v>
      </c>
      <c r="BB16" s="341" t="n">
        <f aca="false">IF($AN16=0,0,AR16/$AN16)</f>
        <v>0.00408386156931317</v>
      </c>
      <c r="BC16" s="341" t="n">
        <f aca="false">IF($AN16=0,0,AS16/$AN16)</f>
        <v>0.0159766558308618</v>
      </c>
      <c r="BD16" s="341" t="n">
        <f aca="false">IF($AN16=0,0,AT16/$AN16)</f>
        <v>0.0125470994727383</v>
      </c>
      <c r="BE16" s="341" t="n">
        <f aca="false">IF($AN16=0,0,AU16/$AN16)</f>
        <v>0.0578387175045487</v>
      </c>
      <c r="BF16" s="341" t="n">
        <f aca="false">IF($AN16=0,0,AV16/$AN16)</f>
        <v>0.0609858770971295</v>
      </c>
      <c r="BG16" s="341" t="n">
        <f aca="false">IF($AN16=0,0,AW16/$AN16)</f>
        <v>0.102045642329468</v>
      </c>
      <c r="BH16" s="341" t="n">
        <f aca="false">IF($AN16=0,0,AX16/$AN16)</f>
        <v>0.744727926124346</v>
      </c>
      <c r="BI16" s="342" t="n">
        <f aca="false">SUM(AY16:BH16)</f>
        <v>1</v>
      </c>
      <c r="BJ16" s="343" t="n">
        <f aca="false">AY16*BJ$62</f>
        <v>0</v>
      </c>
      <c r="BK16" s="344" t="n">
        <f aca="false">AZ16*BK$62</f>
        <v>3.29914351726507E-007</v>
      </c>
      <c r="BL16" s="344" t="n">
        <f aca="false">BA16*BL$62</f>
        <v>1.99471142603532E-005</v>
      </c>
      <c r="BM16" s="344" t="n">
        <f aca="false">BB16*BM$62</f>
        <v>9.71959053496534E-005</v>
      </c>
      <c r="BN16" s="344" t="n">
        <f aca="false">BC16*BN$62</f>
        <v>0.000554389957330905</v>
      </c>
      <c r="BO16" s="344" t="n">
        <f aca="false">BD16*BO$62</f>
        <v>0.000553327086747759</v>
      </c>
      <c r="BP16" s="344" t="n">
        <f aca="false">BE16*BP$62</f>
        <v>0.00271841972271379</v>
      </c>
      <c r="BQ16" s="344" t="n">
        <f aca="false">BF16*BQ$62</f>
        <v>0.00351278652079466</v>
      </c>
      <c r="BR16" s="344" t="n">
        <f aca="false">BG16*BR$62</f>
        <v>0.00618396592516577</v>
      </c>
      <c r="BS16" s="344" t="n">
        <f aca="false">BH16*BS$62</f>
        <v>0.0643221509793598</v>
      </c>
      <c r="BT16" s="345" t="n">
        <f aca="false">1-Rollup!AD$159*(SUM(BJ16:BS16))^2</f>
        <v>0.910955051914527</v>
      </c>
    </row>
    <row r="17" customFormat="false" ht="15" hidden="false" customHeight="false" outlineLevel="0" collapsed="false">
      <c r="C17" s="56" t="s">
        <v>155</v>
      </c>
      <c r="D17" s="338" t="n">
        <v>32537</v>
      </c>
      <c r="E17" s="20" t="n">
        <f aca="false">$D17*E55/$P55</f>
        <v>0.97611</v>
      </c>
      <c r="F17" s="15" t="n">
        <f aca="false">$D17*F55/$P55</f>
        <v>0</v>
      </c>
      <c r="G17" s="15" t="n">
        <f aca="false">$D17*G55/$P55</f>
        <v>0.32537</v>
      </c>
      <c r="H17" s="15" t="n">
        <f aca="false">$D17*H55/$P55</f>
        <v>15.61776</v>
      </c>
      <c r="I17" s="15" t="n">
        <f aca="false">$D17*I55/$P55</f>
        <v>6.83277</v>
      </c>
      <c r="J17" s="15" t="n">
        <f aca="false">$D17*J55/$P55</f>
        <v>1.95222</v>
      </c>
      <c r="K17" s="15" t="n">
        <f aca="false">$D17*K55/$P55</f>
        <v>6.5074</v>
      </c>
      <c r="L17" s="15" t="n">
        <f aca="false">$D17*L55/$P55</f>
        <v>1900.81154</v>
      </c>
      <c r="M17" s="15" t="n">
        <f aca="false">$D17*M55/$P55</f>
        <v>4483.92397</v>
      </c>
      <c r="N17" s="15" t="n">
        <f aca="false">$D17*N55/$P55</f>
        <v>26120.05286</v>
      </c>
      <c r="O17" s="15" t="n">
        <f aca="false">$D17*O55/$P55</f>
        <v>0</v>
      </c>
      <c r="P17" s="219" t="n">
        <f aca="false">SUM(E17:O17)</f>
        <v>32537</v>
      </c>
      <c r="Q17" s="220"/>
      <c r="R17" s="53" t="s">
        <v>155</v>
      </c>
      <c r="S17" s="15" t="n">
        <f aca="false">SUM(T17:AC17)</f>
        <v>29790.360481955</v>
      </c>
      <c r="T17" s="15" t="n">
        <f aca="false">AO17*$BT17</f>
        <v>2.18788216269009</v>
      </c>
      <c r="U17" s="15" t="n">
        <f aca="false">AP17*$BT17</f>
        <v>0</v>
      </c>
      <c r="V17" s="15" t="n">
        <f aca="false">AQ17*$BT17</f>
        <v>0.734160483761542</v>
      </c>
      <c r="W17" s="15" t="n">
        <f aca="false">AR17*$BT17</f>
        <v>22.3386992176287</v>
      </c>
      <c r="X17" s="15" t="n">
        <f aca="false">AS17*$BT17</f>
        <v>9.48719127220893</v>
      </c>
      <c r="Y17" s="15" t="n">
        <f aca="false">AT17*$BT17</f>
        <v>2.28203267689158</v>
      </c>
      <c r="Z17" s="15" t="n">
        <f aca="false">AU17*$BT17</f>
        <v>7.89578191487733</v>
      </c>
      <c r="AA17" s="15" t="n">
        <f aca="false">AV17*$BT17</f>
        <v>1988.19205048772</v>
      </c>
      <c r="AB17" s="15" t="n">
        <f aca="false">AW17*$BT17</f>
        <v>4731.79451966183</v>
      </c>
      <c r="AC17" s="57" t="n">
        <f aca="false">AX17*$BT17</f>
        <v>23025.4481640774</v>
      </c>
      <c r="AD17" s="14" t="n">
        <f aca="false">SUM(AE17:AL17)</f>
        <v>161448.614094959</v>
      </c>
      <c r="AE17" s="15" t="n">
        <f aca="false">AQ17*AE$62/1000</f>
        <v>0.816202942540353</v>
      </c>
      <c r="AF17" s="15" t="n">
        <f aca="false">AR17*AF$62/1000</f>
        <v>43.5180716301502</v>
      </c>
      <c r="AG17" s="15" t="n">
        <f aca="false">AS17*AG$62/1000</f>
        <v>26.2762729435144</v>
      </c>
      <c r="AH17" s="15" t="n">
        <f aca="false">AT17*AH$62/1000</f>
        <v>8.16880679204554</v>
      </c>
      <c r="AI17" s="15" t="n">
        <f aca="false">AU17*AI$62/1000</f>
        <v>28.3545644286369</v>
      </c>
      <c r="AJ17" s="15" t="n">
        <f aca="false">AV17*AJ$62/1000</f>
        <v>8756.30710604245</v>
      </c>
      <c r="AK17" s="15" t="n">
        <f aca="false">AW17*AK$62/1000</f>
        <v>20880.3145509264</v>
      </c>
      <c r="AL17" s="15" t="n">
        <f aca="false">AX17*AL$62/1000</f>
        <v>131704.858519253</v>
      </c>
      <c r="AM17" s="340" t="n">
        <f aca="false">IF(S17=0,0,AD17/S17*1000)</f>
        <v>5419.49179140527</v>
      </c>
      <c r="AN17" s="218" t="n">
        <f aca="false">SUM(AO17:AX17)</f>
        <v>32895.7432149638</v>
      </c>
      <c r="AO17" s="15" t="n">
        <f aca="false">E17*42*AO$62/(Rollup!$AD$159/14.696)/1000</f>
        <v>2.41594961068191</v>
      </c>
      <c r="AP17" s="15" t="n">
        <f aca="false">F17*42*AP$62/(Rollup!$AD$159/14.696)/1000</f>
        <v>0</v>
      </c>
      <c r="AQ17" s="15" t="n">
        <f aca="false">G17*42*AQ$62/(Rollup!$AD$159/14.696)/1000</f>
        <v>0.810690248848185</v>
      </c>
      <c r="AR17" s="15" t="n">
        <f aca="false">H17*42*AR$62/(Rollup!$AD$159/14.696)/1000</f>
        <v>24.6673118864926</v>
      </c>
      <c r="AS17" s="15" t="n">
        <f aca="false">I17*42*AS$62/(Rollup!$AD$159/14.696)/1000</f>
        <v>10.4761474138882</v>
      </c>
      <c r="AT17" s="15" t="n">
        <f aca="false">J17*42*AT$62/(Rollup!$AD$159/14.696)/1000</f>
        <v>2.51991448685737</v>
      </c>
      <c r="AU17" s="15" t="n">
        <f aca="false">K17*42*AU$62/(Rollup!$AD$159/14.696)/1000</f>
        <v>8.71884764571719</v>
      </c>
      <c r="AV17" s="15" t="n">
        <f aca="false">L17*42*AV$62/(Rollup!$AD$159/14.696)/1000</f>
        <v>2195.44356284286</v>
      </c>
      <c r="AW17" s="15" t="n">
        <f aca="false">M17*42*AW$62/(Rollup!$AD$159/14.696)/1000</f>
        <v>5225.04242803823</v>
      </c>
      <c r="AX17" s="57" t="n">
        <f aca="false">N17*42*AX$62/(Rollup!$AD$159/14.696)/1000</f>
        <v>25425.6483627902</v>
      </c>
      <c r="AY17" s="341" t="n">
        <f aca="false">IF($AN17=0,0,AO17/$AN17)</f>
        <v>7.34426212806442E-005</v>
      </c>
      <c r="AZ17" s="76" t="n">
        <f aca="false">IF($AN17=0,0,AP17/$AN17)</f>
        <v>0</v>
      </c>
      <c r="BA17" s="76" t="n">
        <f aca="false">IF($AN17=0,0,AQ17/$AN17)</f>
        <v>2.46442296059575E-005</v>
      </c>
      <c r="BB17" s="76" t="n">
        <f aca="false">IF($AN17=0,0,AR17/$AN17)</f>
        <v>0.000749863340229132</v>
      </c>
      <c r="BC17" s="76" t="n">
        <f aca="false">IF($AN17=0,0,AS17/$AN17)</f>
        <v>0.000318465138344184</v>
      </c>
      <c r="BD17" s="76" t="n">
        <f aca="false">IF($AN17=0,0,AT17/$AN17)</f>
        <v>7.6603056826851E-005</v>
      </c>
      <c r="BE17" s="76" t="n">
        <f aca="false">IF($AN17=0,0,AU17/$AN17)</f>
        <v>0.000265044859717628</v>
      </c>
      <c r="BF17" s="76" t="n">
        <f aca="false">IF($AN17=0,0,AV17/$AN17)</f>
        <v>0.0667394425016117</v>
      </c>
      <c r="BG17" s="76" t="n">
        <f aca="false">IF($AN17=0,0,AW17/$AN17)</f>
        <v>0.158836430412718</v>
      </c>
      <c r="BH17" s="76" t="n">
        <f aca="false">IF($AN17=0,0,AX17/$AN17)</f>
        <v>0.772916063839666</v>
      </c>
      <c r="BI17" s="342" t="n">
        <f aca="false">SUM(AY17:BH17)</f>
        <v>1</v>
      </c>
      <c r="BJ17" s="343" t="n">
        <f aca="false">AY17*BJ$62</f>
        <v>1.43213111497256E-006</v>
      </c>
      <c r="BK17" s="344" t="n">
        <f aca="false">AZ17*BK$62</f>
        <v>0</v>
      </c>
      <c r="BL17" s="344" t="n">
        <f aca="false">BA17*BL$62</f>
        <v>2.85873063429107E-007</v>
      </c>
      <c r="BM17" s="344" t="n">
        <f aca="false">BB17*BM$62</f>
        <v>1.78467474974534E-005</v>
      </c>
      <c r="BN17" s="344" t="n">
        <f aca="false">BC17*BN$62</f>
        <v>1.10507403005432E-005</v>
      </c>
      <c r="BO17" s="344" t="n">
        <f aca="false">BD17*BO$62</f>
        <v>3.37819480606413E-006</v>
      </c>
      <c r="BP17" s="344" t="n">
        <f aca="false">BE17*BP$62</f>
        <v>1.24571084067285E-005</v>
      </c>
      <c r="BQ17" s="344" t="n">
        <f aca="false">BF17*BQ$62</f>
        <v>0.00384419188809283</v>
      </c>
      <c r="BR17" s="344" t="n">
        <f aca="false">BG17*BR$62</f>
        <v>0.00962548768301069</v>
      </c>
      <c r="BS17" s="344" t="n">
        <f aca="false">BH17*BS$62</f>
        <v>0.066756760433832</v>
      </c>
      <c r="BT17" s="345" t="n">
        <f aca="false">1-Rollup!AD$159*(SUM(BJ17:BS17))^2</f>
        <v>0.905599252987962</v>
      </c>
    </row>
    <row r="18" customFormat="false" ht="15" hidden="false" customHeight="false" outlineLevel="0" collapsed="false">
      <c r="B18" s="18"/>
      <c r="C18" s="56" t="s">
        <v>190</v>
      </c>
      <c r="D18" s="338"/>
      <c r="E18" s="20" t="n">
        <f aca="false">$D18*E56/$P56</f>
        <v>0</v>
      </c>
      <c r="F18" s="15" t="n">
        <f aca="false">$D18*F56/$P56</f>
        <v>0</v>
      </c>
      <c r="G18" s="15" t="n">
        <f aca="false">$D18*G56/$P56</f>
        <v>0</v>
      </c>
      <c r="H18" s="15" t="n">
        <f aca="false">$D18*H56/$P56</f>
        <v>0</v>
      </c>
      <c r="I18" s="15" t="n">
        <f aca="false">$D18*I56/$P56</f>
        <v>0</v>
      </c>
      <c r="J18" s="15" t="n">
        <f aca="false">$D18*J56/$P56</f>
        <v>0</v>
      </c>
      <c r="K18" s="15" t="n">
        <f aca="false">$D18*K56/$P56</f>
        <v>0</v>
      </c>
      <c r="L18" s="15" t="n">
        <f aca="false">$D18*L56/$P56</f>
        <v>0</v>
      </c>
      <c r="M18" s="15" t="n">
        <f aca="false">$D18*M56/$P56</f>
        <v>0</v>
      </c>
      <c r="N18" s="15" t="n">
        <f aca="false">$D18*N56/$P56</f>
        <v>0</v>
      </c>
      <c r="O18" s="15" t="n">
        <f aca="false">$D18*O56/$P56</f>
        <v>0</v>
      </c>
      <c r="P18" s="219" t="n">
        <f aca="false">SUM(E18:O18)</f>
        <v>0</v>
      </c>
      <c r="Q18" s="220"/>
      <c r="R18" s="339" t="str">
        <f aca="false">C18</f>
        <v>ELLiq</v>
      </c>
      <c r="S18" s="15" t="n">
        <f aca="false">SUM(T18:AC18)</f>
        <v>0</v>
      </c>
      <c r="T18" s="15" t="n">
        <f aca="false">AO18*$BT18</f>
        <v>0</v>
      </c>
      <c r="U18" s="15" t="n">
        <f aca="false">AP18*$BT18</f>
        <v>0</v>
      </c>
      <c r="V18" s="15" t="n">
        <f aca="false">AQ18*$BT18</f>
        <v>0</v>
      </c>
      <c r="W18" s="15" t="n">
        <f aca="false">AR18*$BT18</f>
        <v>0</v>
      </c>
      <c r="X18" s="15" t="n">
        <f aca="false">AS18*$BT18</f>
        <v>0</v>
      </c>
      <c r="Y18" s="15" t="n">
        <f aca="false">AT18*$BT18</f>
        <v>0</v>
      </c>
      <c r="Z18" s="15" t="n">
        <f aca="false">AU18*$BT18</f>
        <v>0</v>
      </c>
      <c r="AA18" s="15" t="n">
        <f aca="false">AV18*$BT18</f>
        <v>0</v>
      </c>
      <c r="AB18" s="15" t="n">
        <f aca="false">AW18*$BT18</f>
        <v>0</v>
      </c>
      <c r="AC18" s="57" t="n">
        <f aca="false">AX18*$BT18</f>
        <v>0</v>
      </c>
      <c r="AD18" s="14" t="n">
        <f aca="false">SUM(AE18:AL18)</f>
        <v>0</v>
      </c>
      <c r="AE18" s="15" t="n">
        <f aca="false">AQ18*AE$62/1000</f>
        <v>0</v>
      </c>
      <c r="AF18" s="15" t="n">
        <f aca="false">AR18*AF$62/1000</f>
        <v>0</v>
      </c>
      <c r="AG18" s="15" t="n">
        <f aca="false">AS18*AG$62/1000</f>
        <v>0</v>
      </c>
      <c r="AH18" s="15" t="n">
        <f aca="false">AT18*AH$62/1000</f>
        <v>0</v>
      </c>
      <c r="AI18" s="15" t="n">
        <f aca="false">AU18*AI$62/1000</f>
        <v>0</v>
      </c>
      <c r="AJ18" s="15" t="n">
        <f aca="false">AV18*AJ$62/1000</f>
        <v>0</v>
      </c>
      <c r="AK18" s="15" t="n">
        <f aca="false">AW18*AK$62/1000</f>
        <v>0</v>
      </c>
      <c r="AL18" s="15" t="n">
        <f aca="false">AX18*AL$62/1000</f>
        <v>0</v>
      </c>
      <c r="AM18" s="340" t="n">
        <f aca="false">IF(S18=0,0,AD18/S18*1000)</f>
        <v>0</v>
      </c>
      <c r="AN18" s="218" t="n">
        <f aca="false">SUM(AO18:AX18)</f>
        <v>0</v>
      </c>
      <c r="AO18" s="15" t="n">
        <f aca="false">E18*42*AO$62/(Rollup!$AD$159/14.696)/1000</f>
        <v>0</v>
      </c>
      <c r="AP18" s="15" t="n">
        <f aca="false">F18*42*AP$62/(Rollup!$AD$159/14.696)/1000</f>
        <v>0</v>
      </c>
      <c r="AQ18" s="15" t="n">
        <f aca="false">G18*42*AQ$62/(Rollup!$AD$159/14.696)/1000</f>
        <v>0</v>
      </c>
      <c r="AR18" s="15" t="n">
        <f aca="false">H18*42*AR$62/(Rollup!$AD$159/14.696)/1000</f>
        <v>0</v>
      </c>
      <c r="AS18" s="15" t="n">
        <f aca="false">I18*42*AS$62/(Rollup!$AD$159/14.696)/1000</f>
        <v>0</v>
      </c>
      <c r="AT18" s="15" t="n">
        <f aca="false">J18*42*AT$62/(Rollup!$AD$159/14.696)/1000</f>
        <v>0</v>
      </c>
      <c r="AU18" s="15" t="n">
        <f aca="false">K18*42*AU$62/(Rollup!$AD$159/14.696)/1000</f>
        <v>0</v>
      </c>
      <c r="AV18" s="15" t="n">
        <f aca="false">L18*42*AV$62/(Rollup!$AD$159/14.696)/1000</f>
        <v>0</v>
      </c>
      <c r="AW18" s="15" t="n">
        <f aca="false">M18*42*AW$62/(Rollup!$AD$159/14.696)/1000</f>
        <v>0</v>
      </c>
      <c r="AX18" s="57" t="n">
        <f aca="false">N18*42*AX$62/(Rollup!$AD$159/14.696)/1000</f>
        <v>0</v>
      </c>
      <c r="AY18" s="341" t="n">
        <f aca="false">IF($AN18=0,0,AO18/$AN18)</f>
        <v>0</v>
      </c>
      <c r="AZ18" s="76" t="n">
        <f aca="false">IF($AN18=0,0,AP18/$AN18)</f>
        <v>0</v>
      </c>
      <c r="BA18" s="76" t="n">
        <f aca="false">IF($AN18=0,0,AQ18/$AN18)</f>
        <v>0</v>
      </c>
      <c r="BB18" s="76" t="n">
        <f aca="false">IF($AN18=0,0,AR18/$AN18)</f>
        <v>0</v>
      </c>
      <c r="BC18" s="76" t="n">
        <f aca="false">IF($AN18=0,0,AS18/$AN18)</f>
        <v>0</v>
      </c>
      <c r="BD18" s="76" t="n">
        <f aca="false">IF($AN18=0,0,AT18/$AN18)</f>
        <v>0</v>
      </c>
      <c r="BE18" s="76" t="n">
        <f aca="false">IF($AN18=0,0,AU18/$AN18)</f>
        <v>0</v>
      </c>
      <c r="BF18" s="76" t="n">
        <f aca="false">IF($AN18=0,0,AV18/$AN18)</f>
        <v>0</v>
      </c>
      <c r="BG18" s="76" t="n">
        <f aca="false">IF($AN18=0,0,AW18/$AN18)</f>
        <v>0</v>
      </c>
      <c r="BH18" s="76" t="n">
        <f aca="false">IF($AN18=0,0,AX18/$AN18)</f>
        <v>0</v>
      </c>
      <c r="BI18" s="342" t="n">
        <f aca="false">SUM(AY18:BH18)</f>
        <v>0</v>
      </c>
      <c r="BJ18" s="343" t="n">
        <f aca="false">AY18*BJ$62</f>
        <v>0</v>
      </c>
      <c r="BK18" s="344" t="n">
        <f aca="false">AZ18*BK$62</f>
        <v>0</v>
      </c>
      <c r="BL18" s="344" t="n">
        <f aca="false">BA18*BL$62</f>
        <v>0</v>
      </c>
      <c r="BM18" s="344" t="n">
        <f aca="false">BB18*BM$62</f>
        <v>0</v>
      </c>
      <c r="BN18" s="344" t="n">
        <f aca="false">BC18*BN$62</f>
        <v>0</v>
      </c>
      <c r="BO18" s="344" t="n">
        <f aca="false">BD18*BO$62</f>
        <v>0</v>
      </c>
      <c r="BP18" s="344" t="n">
        <f aca="false">BE18*BP$62</f>
        <v>0</v>
      </c>
      <c r="BQ18" s="344" t="n">
        <f aca="false">BF18*BQ$62</f>
        <v>0</v>
      </c>
      <c r="BR18" s="344" t="n">
        <f aca="false">BG18*BR$62</f>
        <v>0</v>
      </c>
      <c r="BS18" s="344" t="n">
        <f aca="false">BH18*BS$62</f>
        <v>0</v>
      </c>
      <c r="BT18" s="345" t="n">
        <f aca="false">1-Rollup!AD$159*(SUM(BJ18:BS18))^2</f>
        <v>1</v>
      </c>
    </row>
    <row r="19" customFormat="false" ht="15.75" hidden="false" customHeight="false" outlineLevel="0" collapsed="false">
      <c r="C19" s="64" t="s">
        <v>156</v>
      </c>
      <c r="D19" s="347" t="n">
        <v>976180</v>
      </c>
      <c r="E19" s="348" t="n">
        <f aca="false">$D19*E57/$P57</f>
        <v>28.1065478780103</v>
      </c>
      <c r="F19" s="349" t="n">
        <f aca="false">$D19*F57/$P57</f>
        <v>6.23387751277161</v>
      </c>
      <c r="G19" s="349" t="n">
        <f aca="false">$D19*G57/$P57</f>
        <v>1076.95435866835</v>
      </c>
      <c r="H19" s="349" t="n">
        <f aca="false">$D19*H57/$P57</f>
        <v>481299.355660585</v>
      </c>
      <c r="I19" s="349" t="n">
        <f aca="false">$D19*I57/$P57</f>
        <v>258051.093307296</v>
      </c>
      <c r="J19" s="349" t="n">
        <f aca="false">$D19*J57/$P57</f>
        <v>47250.3446042338</v>
      </c>
      <c r="K19" s="349" t="n">
        <f aca="false">$D19*K57/$P57</f>
        <v>102206.161315082</v>
      </c>
      <c r="L19" s="349" t="n">
        <f aca="false">$D19*L57/$P57</f>
        <v>29879.948701984</v>
      </c>
      <c r="M19" s="349" t="n">
        <f aca="false">$D19*M57/$P57</f>
        <v>29041.3382022385</v>
      </c>
      <c r="N19" s="349" t="n">
        <f aca="false">$D19*N57/$P57</f>
        <v>27340.4634245216</v>
      </c>
      <c r="O19" s="349" t="n">
        <f aca="false">$D19*O57/$P57</f>
        <v>0</v>
      </c>
      <c r="P19" s="349" t="n">
        <f aca="false">SUM(E19:O19)</f>
        <v>976180</v>
      </c>
      <c r="Q19" s="350"/>
      <c r="R19" s="351" t="str">
        <f aca="false">C19</f>
        <v>NGL</v>
      </c>
      <c r="S19" s="62" t="n">
        <f aca="false">SUM(T19:AC19)</f>
        <v>1428908.77666468</v>
      </c>
      <c r="T19" s="62" t="n">
        <f aca="false">AO19*$BT19</f>
        <v>68.4829232563957</v>
      </c>
      <c r="U19" s="62" t="n">
        <f aca="false">AP19*$BT19</f>
        <v>23.5616980070076</v>
      </c>
      <c r="V19" s="62" t="n">
        <f aca="false">AQ19*$BT19</f>
        <v>2641.55959432703</v>
      </c>
      <c r="W19" s="62" t="n">
        <f aca="false">AR19*$BT19</f>
        <v>748348.742509551</v>
      </c>
      <c r="X19" s="62" t="n">
        <f aca="false">AS19*$BT19</f>
        <v>389489.877299164</v>
      </c>
      <c r="Y19" s="62" t="n">
        <f aca="false">AT19*$BT19</f>
        <v>60040.9698044277</v>
      </c>
      <c r="Z19" s="62" t="n">
        <f aca="false">AU19*$BT19</f>
        <v>134807.587221844</v>
      </c>
      <c r="AA19" s="62" t="n">
        <f aca="false">AV19*$BT19</f>
        <v>33974.1607779725</v>
      </c>
      <c r="AB19" s="62" t="n">
        <f aca="false">AW19*$BT19</f>
        <v>33314.5444059845</v>
      </c>
      <c r="AC19" s="65" t="n">
        <f aca="false">AX19*$BT19</f>
        <v>26199.2904301452</v>
      </c>
      <c r="AD19" s="61" t="n">
        <f aca="false">SUM(AE19:AL19)</f>
        <v>3389979.48276012</v>
      </c>
      <c r="AE19" s="62" t="n">
        <f aca="false">AQ19*AE$62/1000</f>
        <v>2701.58071280932</v>
      </c>
      <c r="AF19" s="62" t="n">
        <f aca="false">AR19*AF$62/1000</f>
        <v>1341115.48872453</v>
      </c>
      <c r="AG19" s="62" t="n">
        <f aca="false">AS19*AG$62/1000</f>
        <v>992367.804143093</v>
      </c>
      <c r="AH19" s="62" t="n">
        <f aca="false">AT19*AH$62/1000</f>
        <v>197712.827411643</v>
      </c>
      <c r="AI19" s="62" t="n">
        <f aca="false">AU19*AI$62/1000</f>
        <v>445340.8713176</v>
      </c>
      <c r="AJ19" s="62" t="n">
        <f aca="false">AV19*AJ$62/1000</f>
        <v>137645.422305973</v>
      </c>
      <c r="AK19" s="62" t="n">
        <f aca="false">AW19*AK$62/1000</f>
        <v>135236.966705877</v>
      </c>
      <c r="AL19" s="62" t="n">
        <f aca="false">AX19*AL$62/1000</f>
        <v>137858.521438591</v>
      </c>
      <c r="AM19" s="352" t="n">
        <f aca="false">IF(S19=0,0,AD19/S19*1000)</f>
        <v>2372.42540470143</v>
      </c>
      <c r="AN19" s="353" t="n">
        <f aca="false">SUM(AO19:AX19)</f>
        <v>1451505.98555923</v>
      </c>
      <c r="AO19" s="62" t="n">
        <f aca="false">E19*42*AO$62/(Rollup!$AD$159/14.696)/1000</f>
        <v>69.5659335561478</v>
      </c>
      <c r="AP19" s="62" t="n">
        <f aca="false">F19*42*AP$62/(Rollup!$AD$159/14.696)/1000</f>
        <v>23.9343100452773</v>
      </c>
      <c r="AQ19" s="62" t="n">
        <f aca="false">G19*42*AQ$62/(Rollup!$AD$159/14.696)/1000</f>
        <v>2683.33404132828</v>
      </c>
      <c r="AR19" s="62" t="n">
        <f aca="false">H19*42*AR$62/(Rollup!$AD$159/14.696)/1000</f>
        <v>760183.362841251</v>
      </c>
      <c r="AS19" s="62" t="n">
        <f aca="false">I19*42*AS$62/(Rollup!$AD$159/14.696)/1000</f>
        <v>395649.391652617</v>
      </c>
      <c r="AT19" s="62" t="n">
        <f aca="false">J19*42*AT$62/(Rollup!$AD$159/14.696)/1000</f>
        <v>60990.4764202865</v>
      </c>
      <c r="AU19" s="62" t="n">
        <f aca="false">K19*42*AU$62/(Rollup!$AD$159/14.696)/1000</f>
        <v>136939.476436026</v>
      </c>
      <c r="AV19" s="62" t="n">
        <f aca="false">L19*42*AV$62/(Rollup!$AD$159/14.696)/1000</f>
        <v>34511.4387488649</v>
      </c>
      <c r="AW19" s="62" t="n">
        <f aca="false">M19*42*AW$62/(Rollup!$AD$159/14.696)/1000</f>
        <v>33841.3909979174</v>
      </c>
      <c r="AX19" s="65" t="n">
        <f aca="false">N19*42*AX$62/(Rollup!$AD$159/14.696)/1000</f>
        <v>26613.6141773342</v>
      </c>
      <c r="AY19" s="354" t="n">
        <f aca="false">IF($AN19=0,0,AO19/$AN19)</f>
        <v>4.79267286861004E-005</v>
      </c>
      <c r="AZ19" s="355" t="n">
        <f aca="false">IF($AN19=0,0,AP19/$AN19)</f>
        <v>1.64892947624023E-005</v>
      </c>
      <c r="BA19" s="355" t="n">
        <f aca="false">IF($AN19=0,0,AQ19/$AN19)</f>
        <v>0.00184865516782176</v>
      </c>
      <c r="BB19" s="355" t="n">
        <f aca="false">IF($AN19=0,0,AR19/$AN19)</f>
        <v>0.523720446490872</v>
      </c>
      <c r="BC19" s="355" t="n">
        <f aca="false">IF($AN19=0,0,AS19/$AN19)</f>
        <v>0.27257854641239</v>
      </c>
      <c r="BD19" s="355" t="n">
        <f aca="false">IF($AN19=0,0,AT19/$AN19)</f>
        <v>0.0420187563999528</v>
      </c>
      <c r="BE19" s="355" t="n">
        <f aca="false">IF($AN19=0,0,AU19/$AN19)</f>
        <v>0.094343032545792</v>
      </c>
      <c r="BF19" s="355" t="n">
        <f aca="false">IF($AN19=0,0,AV19/$AN19)</f>
        <v>0.0237762979224426</v>
      </c>
      <c r="BG19" s="355" t="n">
        <f aca="false">IF($AN19=0,0,AW19/$AN19)</f>
        <v>0.0233146754712687</v>
      </c>
      <c r="BH19" s="355" t="n">
        <f aca="false">IF($AN19=0,0,AX19/$AN19)</f>
        <v>0.0183351735660123</v>
      </c>
      <c r="BI19" s="356" t="n">
        <f aca="false">SUM(AY19:BH19)</f>
        <v>1</v>
      </c>
      <c r="BJ19" s="357" t="n">
        <f aca="false">AY19*BJ$62</f>
        <v>9.34571209378958E-007</v>
      </c>
      <c r="BK19" s="358" t="n">
        <f aca="false">AZ19*BK$62</f>
        <v>7.28826828498181E-008</v>
      </c>
      <c r="BL19" s="358" t="n">
        <f aca="false">BA19*BL$62</f>
        <v>2.14443999467324E-005</v>
      </c>
      <c r="BM19" s="358" t="n">
        <f aca="false">BB19*BM$62</f>
        <v>0.0124645466264827</v>
      </c>
      <c r="BN19" s="358" t="n">
        <f aca="false">BC19*BN$62</f>
        <v>0.00945847556050992</v>
      </c>
      <c r="BO19" s="358" t="n">
        <f aca="false">BD19*BO$62</f>
        <v>0.00185302715723792</v>
      </c>
      <c r="BP19" s="358" t="n">
        <f aca="false">BE19*BP$62</f>
        <v>0.00443412252965222</v>
      </c>
      <c r="BQ19" s="358" t="n">
        <f aca="false">BF19*BQ$62</f>
        <v>0.0013695147603327</v>
      </c>
      <c r="BR19" s="358" t="n">
        <f aca="false">BG19*BR$62</f>
        <v>0.00141286933355888</v>
      </c>
      <c r="BS19" s="358" t="n">
        <f aca="false">BH19*BS$62</f>
        <v>0.00158360894089648</v>
      </c>
      <c r="BT19" s="359" t="n">
        <f aca="false">1-Rollup!AD$159*(SUM(BJ19:BS19))^2</f>
        <v>0.984431887212755</v>
      </c>
    </row>
    <row r="20" customFormat="false" ht="15.75" hidden="false" customHeight="false" outlineLevel="0" collapsed="false"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186"/>
      <c r="AN20" s="18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360"/>
      <c r="AZ20" s="360"/>
      <c r="BA20" s="360"/>
      <c r="BB20" s="360"/>
      <c r="BC20" s="360"/>
      <c r="BD20" s="360"/>
      <c r="BE20" s="360"/>
      <c r="BF20" s="360"/>
      <c r="BG20" s="360"/>
      <c r="BH20" s="360"/>
      <c r="BI20" s="360"/>
      <c r="BJ20" s="235"/>
      <c r="BK20" s="235"/>
      <c r="BL20" s="235"/>
      <c r="BM20" s="235"/>
      <c r="BN20" s="235"/>
      <c r="BO20" s="235"/>
      <c r="BP20" s="235"/>
      <c r="BQ20" s="235"/>
      <c r="BR20" s="235"/>
      <c r="BS20" s="235"/>
      <c r="BT20" s="298"/>
    </row>
    <row r="21" customFormat="false" ht="15" hidden="false" customHeight="false" outlineLevel="0" collapsed="false">
      <c r="D21" s="18"/>
      <c r="G21" s="18"/>
      <c r="H21" s="18"/>
      <c r="I21" s="18"/>
      <c r="J21" s="18"/>
      <c r="K21" s="18"/>
      <c r="L21" s="18"/>
      <c r="M21" s="18"/>
      <c r="N21" s="18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186"/>
      <c r="AN21" s="18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360"/>
      <c r="AZ21" s="360"/>
      <c r="BA21" s="360"/>
      <c r="BB21" s="360"/>
      <c r="BC21" s="360"/>
      <c r="BD21" s="360"/>
      <c r="BE21" s="360"/>
      <c r="BF21" s="360"/>
      <c r="BG21" s="360"/>
      <c r="BH21" s="360"/>
      <c r="BI21" s="360"/>
      <c r="BJ21" s="235"/>
      <c r="BK21" s="235"/>
      <c r="BL21" s="235"/>
      <c r="BM21" s="235"/>
      <c r="BN21" s="235"/>
      <c r="BO21" s="235"/>
      <c r="BP21" s="235"/>
      <c r="BQ21" s="235"/>
      <c r="BR21" s="235"/>
      <c r="BS21" s="235"/>
      <c r="BT21" s="298"/>
    </row>
    <row r="22" customFormat="false" ht="15" hidden="false" customHeight="false" outlineLevel="0" collapsed="false">
      <c r="D22" s="18" t="n">
        <f aca="false">SUM(D3:D16)</f>
        <v>21145</v>
      </c>
      <c r="E22" s="18" t="n">
        <f aca="false">SUM(E3:E16)</f>
        <v>0.15502</v>
      </c>
      <c r="F22" s="18" t="n">
        <f aca="false">SUM(F3:F16)</f>
        <v>1.46955</v>
      </c>
      <c r="G22" s="18" t="n">
        <f aca="false">SUM(G3:G16)</f>
        <v>6.44025</v>
      </c>
      <c r="H22" s="18" t="n">
        <f aca="false">SUM(H3:H16)</f>
        <v>43.72974</v>
      </c>
      <c r="I22" s="18" t="n">
        <f aca="false">SUM(I3:I16)</f>
        <v>395.05487</v>
      </c>
      <c r="J22" s="18" t="n">
        <f aca="false">SUM(J3:J16)</f>
        <v>280.01702</v>
      </c>
      <c r="K22" s="18" t="n">
        <f aca="false">SUM(K3:K16)</f>
        <v>1454.79524</v>
      </c>
      <c r="L22" s="18" t="n">
        <f aca="false">SUM(L3:L16)</f>
        <v>1493.04859</v>
      </c>
      <c r="M22" s="18" t="n">
        <f aca="false">SUM(M3:M16)</f>
        <v>2697.05601</v>
      </c>
      <c r="N22" s="18" t="n">
        <f aca="false">SUM(N3:N16)</f>
        <v>14773.08509</v>
      </c>
      <c r="O22" s="18" t="n">
        <f aca="false">SUM(O3:O16)</f>
        <v>0</v>
      </c>
      <c r="P22" s="18" t="n">
        <f aca="false">SUM(P3:P16)</f>
        <v>21144.85138</v>
      </c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360"/>
      <c r="AZ22" s="360"/>
      <c r="BA22" s="360"/>
      <c r="BB22" s="360"/>
      <c r="BC22" s="360"/>
      <c r="BD22" s="360"/>
      <c r="BE22" s="360"/>
      <c r="BF22" s="360"/>
      <c r="BG22" s="360"/>
      <c r="BH22" s="360"/>
      <c r="BI22" s="360"/>
      <c r="BJ22" s="235"/>
      <c r="BK22" s="235"/>
      <c r="BL22" s="235"/>
      <c r="BM22" s="235"/>
      <c r="BN22" s="235"/>
      <c r="BO22" s="235"/>
      <c r="BP22" s="235"/>
      <c r="BQ22" s="235"/>
      <c r="BR22" s="235"/>
      <c r="BS22" s="235"/>
      <c r="BT22" s="298"/>
    </row>
    <row r="23" customFormat="false" ht="15" hidden="false" customHeight="false" outlineLevel="0" collapsed="false">
      <c r="B23" s="361"/>
      <c r="C23" s="18"/>
      <c r="D23" s="361"/>
      <c r="E23" s="361"/>
      <c r="F23" s="361"/>
      <c r="G23" s="361"/>
      <c r="H23" s="361"/>
      <c r="I23" s="361"/>
      <c r="J23" s="361"/>
      <c r="K23" s="361"/>
      <c r="L23" s="361"/>
      <c r="M23" s="361"/>
      <c r="N23" s="361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72"/>
      <c r="AP23" s="72"/>
      <c r="AQ23" s="72"/>
      <c r="AR23" s="360"/>
      <c r="AS23" s="360"/>
      <c r="AT23" s="360"/>
      <c r="AU23" s="360"/>
      <c r="AV23" s="360"/>
      <c r="AW23" s="360"/>
      <c r="AX23" s="360"/>
      <c r="AY23" s="360"/>
      <c r="AZ23" s="360"/>
      <c r="BA23" s="360"/>
      <c r="BB23" s="360"/>
      <c r="BC23" s="360"/>
      <c r="BD23" s="360"/>
      <c r="BE23" s="360"/>
      <c r="BF23" s="360"/>
      <c r="BG23" s="360"/>
      <c r="BH23" s="360"/>
      <c r="BI23" s="360"/>
      <c r="BJ23" s="235"/>
      <c r="BK23" s="235"/>
      <c r="BL23" s="235"/>
      <c r="BM23" s="235"/>
      <c r="BN23" s="235"/>
      <c r="BO23" s="235"/>
      <c r="BP23" s="235"/>
      <c r="BQ23" s="235"/>
      <c r="BR23" s="235"/>
      <c r="BS23" s="235"/>
      <c r="BT23" s="298"/>
    </row>
    <row r="24" customFormat="false" ht="15" hidden="false" customHeight="false" outlineLevel="0" collapsed="false">
      <c r="B24" s="361"/>
      <c r="D24" s="361"/>
      <c r="E24" s="361"/>
      <c r="F24" s="361"/>
      <c r="G24" s="361"/>
      <c r="H24" s="361"/>
      <c r="I24" s="361"/>
      <c r="J24" s="361"/>
      <c r="K24" s="361"/>
      <c r="L24" s="361"/>
      <c r="M24" s="361"/>
      <c r="N24" s="361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72"/>
      <c r="AP24" s="72"/>
      <c r="AQ24" s="72"/>
      <c r="AR24" s="360"/>
      <c r="AS24" s="360"/>
      <c r="AT24" s="360"/>
      <c r="AU24" s="360"/>
      <c r="AV24" s="360"/>
      <c r="AW24" s="360"/>
      <c r="AX24" s="360"/>
      <c r="AY24" s="360"/>
      <c r="AZ24" s="360"/>
      <c r="BA24" s="360"/>
      <c r="BB24" s="360"/>
      <c r="BC24" s="360"/>
      <c r="BD24" s="360"/>
      <c r="BE24" s="360"/>
      <c r="BF24" s="360"/>
      <c r="BG24" s="360"/>
      <c r="BH24" s="360"/>
      <c r="BI24" s="360"/>
      <c r="BJ24" s="235"/>
      <c r="BK24" s="235"/>
      <c r="BL24" s="235"/>
      <c r="BM24" s="235"/>
      <c r="BN24" s="235"/>
      <c r="BO24" s="235"/>
      <c r="BP24" s="235"/>
      <c r="BQ24" s="235"/>
      <c r="BR24" s="235"/>
      <c r="BS24" s="235"/>
      <c r="BT24" s="298"/>
    </row>
    <row r="25" customFormat="false" ht="15" hidden="false" customHeight="false" outlineLevel="0" collapsed="false">
      <c r="B25" s="361"/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72"/>
      <c r="AP25" s="72"/>
      <c r="AQ25" s="72"/>
      <c r="AR25" s="360"/>
      <c r="AS25" s="360"/>
      <c r="AT25" s="360"/>
      <c r="AU25" s="360"/>
      <c r="AV25" s="360"/>
      <c r="AW25" s="360"/>
      <c r="AX25" s="360"/>
      <c r="AY25" s="360"/>
      <c r="AZ25" s="360"/>
      <c r="BA25" s="360"/>
      <c r="BB25" s="360"/>
      <c r="BC25" s="360"/>
      <c r="BD25" s="360"/>
      <c r="BE25" s="360"/>
      <c r="BF25" s="360"/>
      <c r="BG25" s="360"/>
      <c r="BH25" s="360"/>
      <c r="BI25" s="360"/>
      <c r="BJ25" s="235"/>
      <c r="BK25" s="235"/>
      <c r="BL25" s="235"/>
      <c r="BM25" s="235"/>
      <c r="BN25" s="235"/>
      <c r="BO25" s="235"/>
      <c r="BP25" s="235"/>
      <c r="BQ25" s="235"/>
      <c r="BR25" s="235"/>
      <c r="BS25" s="235"/>
      <c r="BT25" s="298"/>
    </row>
    <row r="26" customFormat="false" ht="15" hidden="false" customHeight="false" outlineLevel="0" collapsed="false">
      <c r="B26" s="361"/>
      <c r="C26" s="361"/>
      <c r="D26" s="18"/>
      <c r="E26" s="18"/>
      <c r="F26" s="18"/>
      <c r="G26" s="18"/>
      <c r="H26" s="18"/>
      <c r="I26" s="18" t="n">
        <v>424821.42</v>
      </c>
      <c r="J26" s="18" t="n">
        <v>397624</v>
      </c>
      <c r="K26" s="18"/>
      <c r="L26" s="18" t="n">
        <v>181969</v>
      </c>
      <c r="M26" s="18"/>
      <c r="N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</row>
    <row r="27" customFormat="false" ht="15" hidden="false" customHeight="false" outlineLevel="0" collapsed="false">
      <c r="B27" s="361"/>
      <c r="C27" s="361"/>
      <c r="D27" s="18"/>
      <c r="E27" s="18"/>
      <c r="F27" s="18"/>
      <c r="G27" s="18"/>
      <c r="H27" s="18"/>
      <c r="I27" s="18" t="n">
        <v>280826.26</v>
      </c>
      <c r="J27" s="18" t="n">
        <v>262287</v>
      </c>
      <c r="K27" s="18"/>
      <c r="L27" s="18" t="n">
        <v>254132</v>
      </c>
      <c r="M27" s="18"/>
      <c r="N27" s="18"/>
      <c r="W27" s="18"/>
      <c r="X27" s="18"/>
      <c r="Y27" s="18"/>
      <c r="Z27" s="18"/>
      <c r="AA27" s="18"/>
      <c r="AB27" s="18"/>
      <c r="AC27" s="18"/>
      <c r="AD27" s="18"/>
      <c r="AN27" s="18"/>
      <c r="AO27" s="72"/>
      <c r="AP27" s="72"/>
      <c r="AQ27" s="72"/>
      <c r="AR27" s="235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</row>
    <row r="28" customFormat="false" ht="15" hidden="false" customHeight="false" outlineLevel="0" collapsed="false">
      <c r="B28" s="362"/>
      <c r="C28" s="362"/>
      <c r="D28" s="18"/>
      <c r="E28" s="18"/>
      <c r="F28" s="18"/>
      <c r="G28" s="18"/>
      <c r="H28" s="18"/>
      <c r="I28" s="18" t="n">
        <v>272253.52</v>
      </c>
      <c r="J28" s="18" t="n">
        <v>254132</v>
      </c>
      <c r="K28" s="18"/>
      <c r="L28" s="18" t="n">
        <v>262287</v>
      </c>
      <c r="M28" s="18"/>
      <c r="N28" s="18"/>
      <c r="W28" s="18"/>
      <c r="X28" s="18"/>
      <c r="Y28" s="18"/>
      <c r="Z28" s="18"/>
      <c r="AA28" s="18"/>
      <c r="AB28" s="18"/>
      <c r="AC28" s="18"/>
      <c r="AD28" s="18"/>
      <c r="AN28" s="18"/>
      <c r="AO28" s="72"/>
      <c r="AP28" s="72"/>
      <c r="AQ28" s="72"/>
      <c r="AR28" s="235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</row>
    <row r="29" customFormat="false" ht="15" hidden="false" customHeight="false" outlineLevel="0" collapsed="false">
      <c r="D29" s="18"/>
      <c r="E29" s="18"/>
      <c r="F29" s="18"/>
      <c r="G29" s="18"/>
      <c r="H29" s="18"/>
      <c r="I29" s="18" t="n">
        <v>194978.47</v>
      </c>
      <c r="J29" s="18" t="n">
        <v>181969</v>
      </c>
      <c r="K29" s="18"/>
      <c r="L29" s="18" t="n">
        <v>397624</v>
      </c>
      <c r="M29" s="18"/>
      <c r="N29" s="18"/>
      <c r="W29" s="18"/>
      <c r="X29" s="18"/>
      <c r="Y29" s="18"/>
      <c r="Z29" s="18"/>
      <c r="AA29" s="18"/>
      <c r="AB29" s="18"/>
      <c r="AC29" s="18"/>
      <c r="AD29" s="18"/>
      <c r="AN29" s="18"/>
      <c r="AO29" s="72"/>
      <c r="AP29" s="72"/>
      <c r="AQ29" s="72"/>
      <c r="AR29" s="235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</row>
    <row r="30" customFormat="false" ht="15" hidden="false" customHeight="false" outlineLevel="0" collapsed="false">
      <c r="I30" s="18" t="n">
        <f aca="false">SUM(I26:I29)</f>
        <v>1172879.67</v>
      </c>
      <c r="J30" s="18" t="n">
        <f aca="false">SUM(J26:J29)</f>
        <v>1096012</v>
      </c>
      <c r="L30" s="18" t="n">
        <f aca="false">SUM(L26:L29)</f>
        <v>1096012</v>
      </c>
      <c r="W30" s="18"/>
      <c r="X30" s="18"/>
      <c r="Y30" s="18"/>
      <c r="Z30" s="18"/>
      <c r="AA30" s="18"/>
      <c r="AB30" s="18"/>
      <c r="AC30" s="18"/>
      <c r="AD30" s="18"/>
      <c r="AN30" s="18"/>
      <c r="AO30" s="72"/>
      <c r="AP30" s="72"/>
      <c r="AQ30" s="72"/>
      <c r="AR30" s="235"/>
      <c r="AS30" s="72"/>
      <c r="AT30" s="72"/>
      <c r="AU30" s="72"/>
      <c r="AV30" s="72"/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</row>
    <row r="31" customFormat="false" ht="15" hidden="false" customHeight="false" outlineLevel="0" collapsed="false"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W31" s="18"/>
      <c r="X31" s="18"/>
      <c r="Y31" s="18"/>
      <c r="Z31" s="18"/>
      <c r="AA31" s="18"/>
      <c r="AB31" s="18"/>
      <c r="AC31" s="18"/>
      <c r="AD31" s="18"/>
      <c r="AN31" s="18"/>
      <c r="AO31" s="72"/>
      <c r="AP31" s="72"/>
      <c r="AQ31" s="72"/>
      <c r="AR31" s="235"/>
      <c r="AS31" s="72"/>
      <c r="AT31" s="72"/>
      <c r="AU31" s="72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</row>
    <row r="32" customFormat="false" ht="15" hidden="false" customHeight="false" outlineLevel="0" collapsed="false"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W32" s="18"/>
      <c r="X32" s="18"/>
      <c r="Y32" s="18"/>
      <c r="Z32" s="18"/>
      <c r="AA32" s="18"/>
      <c r="AB32" s="18"/>
      <c r="AC32" s="18"/>
      <c r="AD32" s="18"/>
      <c r="AN32" s="18"/>
      <c r="AO32" s="72"/>
      <c r="AP32" s="72"/>
      <c r="AQ32" s="72"/>
      <c r="AR32" s="235"/>
      <c r="AS32" s="72"/>
      <c r="AT32" s="72"/>
      <c r="AU32" s="72"/>
      <c r="AV32" s="72"/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</row>
    <row r="33" customFormat="false" ht="15" hidden="false" customHeight="false" outlineLevel="0" collapsed="false"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W33" s="18"/>
      <c r="X33" s="18"/>
      <c r="Y33" s="18"/>
      <c r="Z33" s="18"/>
      <c r="AA33" s="18"/>
      <c r="AB33" s="18"/>
      <c r="AC33" s="18"/>
      <c r="AD33" s="18"/>
      <c r="AN33" s="18"/>
      <c r="AO33" s="72"/>
      <c r="AP33" s="72"/>
      <c r="AQ33" s="72"/>
      <c r="AR33" s="235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</row>
    <row r="34" customFormat="false" ht="15" hidden="false" customHeight="false" outlineLevel="0" collapsed="false">
      <c r="D34" s="18"/>
      <c r="W34" s="18"/>
      <c r="X34" s="18"/>
      <c r="Y34" s="18"/>
      <c r="Z34" s="18"/>
      <c r="AA34" s="18"/>
      <c r="AB34" s="18"/>
      <c r="AC34" s="18"/>
      <c r="AD34" s="18"/>
      <c r="AN34" s="18"/>
      <c r="AO34" s="72"/>
      <c r="AP34" s="72"/>
      <c r="AQ34" s="72"/>
      <c r="AR34" s="235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</row>
    <row r="35" customFormat="false" ht="15" hidden="false" customHeight="false" outlineLevel="0" collapsed="false"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W35" s="18"/>
      <c r="X35" s="18"/>
      <c r="Y35" s="18"/>
      <c r="Z35" s="18"/>
      <c r="AA35" s="18"/>
      <c r="AB35" s="18"/>
      <c r="AC35" s="18"/>
      <c r="AD35" s="18"/>
      <c r="AN35" s="18"/>
      <c r="AO35" s="72"/>
      <c r="AP35" s="72"/>
      <c r="AQ35" s="72"/>
      <c r="AR35" s="235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</row>
    <row r="36" customFormat="false" ht="15" hidden="false" customHeight="false" outlineLevel="0" collapsed="false"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W36" s="18"/>
      <c r="X36" s="18"/>
      <c r="Y36" s="18"/>
      <c r="Z36" s="18"/>
      <c r="AA36" s="18"/>
      <c r="AB36" s="18"/>
      <c r="AC36" s="18"/>
      <c r="AD36" s="18"/>
      <c r="AN36" s="18"/>
      <c r="AO36" s="72"/>
      <c r="AP36" s="72"/>
      <c r="AQ36" s="72"/>
      <c r="AR36" s="235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</row>
    <row r="37" customFormat="false" ht="15" hidden="false" customHeight="false" outlineLevel="0" collapsed="false"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</row>
    <row r="38" customFormat="false" ht="15.75" hidden="false" customHeight="false" outlineLevel="0" collapsed="false">
      <c r="C38" s="0" t="s">
        <v>191</v>
      </c>
    </row>
    <row r="39" customFormat="false" ht="16.5" hidden="false" customHeight="false" outlineLevel="0" collapsed="false">
      <c r="C39" s="363"/>
      <c r="D39" s="364"/>
      <c r="E39" s="365" t="s">
        <v>1</v>
      </c>
      <c r="F39" s="365" t="s">
        <v>2</v>
      </c>
      <c r="G39" s="365" t="s">
        <v>3</v>
      </c>
      <c r="H39" s="365" t="s">
        <v>4</v>
      </c>
      <c r="I39" s="365" t="s">
        <v>5</v>
      </c>
      <c r="J39" s="365" t="s">
        <v>6</v>
      </c>
      <c r="K39" s="365" t="s">
        <v>7</v>
      </c>
      <c r="L39" s="365" t="s">
        <v>8</v>
      </c>
      <c r="M39" s="365" t="s">
        <v>9</v>
      </c>
      <c r="N39" s="365" t="s">
        <v>10</v>
      </c>
      <c r="O39" s="364" t="s">
        <v>186</v>
      </c>
      <c r="P39" s="366"/>
      <c r="AS39" s="297"/>
    </row>
    <row r="40" customFormat="false" ht="16.5" hidden="false" customHeight="false" outlineLevel="0" collapsed="false">
      <c r="C40" s="53" t="s">
        <v>192</v>
      </c>
      <c r="D40" s="367"/>
      <c r="E40" s="368" t="n">
        <v>0.001</v>
      </c>
      <c r="F40" s="369" t="n">
        <v>0.015</v>
      </c>
      <c r="G40" s="369" t="n">
        <v>0.047</v>
      </c>
      <c r="H40" s="369" t="n">
        <v>0.331</v>
      </c>
      <c r="I40" s="369" t="n">
        <v>2.458</v>
      </c>
      <c r="J40" s="369" t="n">
        <v>1.504</v>
      </c>
      <c r="K40" s="369" t="n">
        <v>9.074</v>
      </c>
      <c r="L40" s="369" t="n">
        <v>8.163</v>
      </c>
      <c r="M40" s="369" t="n">
        <v>13.957</v>
      </c>
      <c r="N40" s="370" t="n">
        <v>64.45</v>
      </c>
      <c r="O40" s="371"/>
      <c r="P40" s="88" t="n">
        <f aca="false">SUM(E40:O40)</f>
        <v>100</v>
      </c>
      <c r="R40" s="0" t="n">
        <v>0</v>
      </c>
      <c r="S40" s="0" t="s">
        <v>1</v>
      </c>
      <c r="AS40" s="297"/>
    </row>
    <row r="41" customFormat="false" ht="15.75" hidden="false" customHeight="false" outlineLevel="0" collapsed="false">
      <c r="C41" s="53" t="s">
        <v>193</v>
      </c>
      <c r="D41" s="73"/>
      <c r="E41" s="368" t="n">
        <v>0</v>
      </c>
      <c r="F41" s="369" t="n">
        <v>0</v>
      </c>
      <c r="G41" s="369" t="n">
        <v>0.03</v>
      </c>
      <c r="H41" s="369" t="n">
        <v>0.131</v>
      </c>
      <c r="I41" s="369" t="n">
        <v>0.931</v>
      </c>
      <c r="J41" s="369" t="n">
        <v>0.703</v>
      </c>
      <c r="K41" s="369" t="n">
        <v>3.325</v>
      </c>
      <c r="L41" s="369" t="n">
        <v>3.714</v>
      </c>
      <c r="M41" s="369" t="n">
        <v>6.434</v>
      </c>
      <c r="N41" s="370" t="n">
        <v>84.732</v>
      </c>
      <c r="O41" s="73"/>
      <c r="P41" s="88" t="n">
        <f aca="false">SUM(E41:O41)</f>
        <v>100</v>
      </c>
      <c r="R41" s="0" t="n">
        <v>0.001</v>
      </c>
      <c r="S41" s="0" t="s">
        <v>2</v>
      </c>
      <c r="AS41" s="297"/>
    </row>
    <row r="42" customFormat="false" ht="16.5" hidden="false" customHeight="false" outlineLevel="0" collapsed="false">
      <c r="C42" s="53" t="s">
        <v>194</v>
      </c>
      <c r="D42" s="372"/>
      <c r="E42" s="368" t="n">
        <v>0</v>
      </c>
      <c r="F42" s="369" t="n">
        <v>0</v>
      </c>
      <c r="G42" s="369" t="n">
        <v>0.03</v>
      </c>
      <c r="H42" s="369" t="n">
        <v>0.131</v>
      </c>
      <c r="I42" s="369" t="n">
        <v>0.931</v>
      </c>
      <c r="J42" s="369" t="n">
        <v>0.703</v>
      </c>
      <c r="K42" s="369" t="n">
        <v>3.325</v>
      </c>
      <c r="L42" s="369" t="n">
        <v>3.714</v>
      </c>
      <c r="M42" s="369" t="n">
        <v>6.434</v>
      </c>
      <c r="N42" s="370" t="n">
        <v>84.732</v>
      </c>
      <c r="O42" s="73"/>
      <c r="P42" s="88" t="n">
        <f aca="false">SUM(E42:O42)</f>
        <v>100</v>
      </c>
      <c r="R42" s="0" t="n">
        <v>0.805</v>
      </c>
      <c r="S42" s="0" t="s">
        <v>3</v>
      </c>
      <c r="AS42" s="297"/>
    </row>
    <row r="43" customFormat="false" ht="16.5" hidden="false" customHeight="false" outlineLevel="0" collapsed="false">
      <c r="C43" s="53" t="s">
        <v>195</v>
      </c>
      <c r="D43" s="372"/>
      <c r="E43" s="368" t="n">
        <v>0</v>
      </c>
      <c r="F43" s="369" t="n">
        <v>0</v>
      </c>
      <c r="G43" s="369" t="n">
        <v>0.03</v>
      </c>
      <c r="H43" s="369" t="n">
        <v>0.131</v>
      </c>
      <c r="I43" s="369" t="n">
        <v>0.931</v>
      </c>
      <c r="J43" s="369" t="n">
        <v>0.703</v>
      </c>
      <c r="K43" s="369" t="n">
        <v>3.325</v>
      </c>
      <c r="L43" s="369" t="n">
        <v>3.714</v>
      </c>
      <c r="M43" s="369" t="n">
        <v>6.434</v>
      </c>
      <c r="N43" s="370" t="n">
        <v>84.732</v>
      </c>
      <c r="O43" s="73"/>
      <c r="P43" s="88" t="n">
        <f aca="false">SUM(E43:O43)</f>
        <v>100</v>
      </c>
      <c r="R43" s="0" t="n">
        <v>54.395</v>
      </c>
      <c r="S43" s="0" t="s">
        <v>4</v>
      </c>
      <c r="AS43" s="297"/>
    </row>
    <row r="44" customFormat="false" ht="16.5" hidden="false" customHeight="false" outlineLevel="0" collapsed="false">
      <c r="C44" s="53" t="s">
        <v>196</v>
      </c>
      <c r="D44" s="372"/>
      <c r="E44" s="368" t="n">
        <v>0</v>
      </c>
      <c r="F44" s="369" t="n">
        <v>0.001</v>
      </c>
      <c r="G44" s="369" t="n">
        <v>0.001</v>
      </c>
      <c r="H44" s="369" t="n">
        <v>0.169</v>
      </c>
      <c r="I44" s="369" t="n">
        <v>3.286</v>
      </c>
      <c r="J44" s="369" t="n">
        <v>2.221</v>
      </c>
      <c r="K44" s="369" t="n">
        <v>12.685</v>
      </c>
      <c r="L44" s="369" t="n">
        <v>9.213</v>
      </c>
      <c r="M44" s="369" t="n">
        <v>15.742</v>
      </c>
      <c r="N44" s="370" t="n">
        <v>56.682</v>
      </c>
      <c r="O44" s="73"/>
      <c r="P44" s="88" t="n">
        <f aca="false">SUM(E44:O44)</f>
        <v>100</v>
      </c>
      <c r="R44" s="0" t="n">
        <v>23.212</v>
      </c>
      <c r="S44" s="0" t="s">
        <v>5</v>
      </c>
      <c r="AS44" s="297"/>
    </row>
    <row r="45" customFormat="false" ht="15.75" hidden="false" customHeight="false" outlineLevel="0" collapsed="false">
      <c r="C45" s="53" t="s">
        <v>197</v>
      </c>
      <c r="D45" s="73"/>
      <c r="E45" s="368" t="n">
        <v>0</v>
      </c>
      <c r="F45" s="369" t="n">
        <v>0</v>
      </c>
      <c r="G45" s="369" t="n">
        <v>0.03</v>
      </c>
      <c r="H45" s="369" t="n">
        <v>0.131</v>
      </c>
      <c r="I45" s="369" t="n">
        <v>0.931</v>
      </c>
      <c r="J45" s="369" t="n">
        <v>0.703</v>
      </c>
      <c r="K45" s="369" t="n">
        <v>3.325</v>
      </c>
      <c r="L45" s="369" t="n">
        <v>3.714</v>
      </c>
      <c r="M45" s="369" t="n">
        <v>6.434</v>
      </c>
      <c r="N45" s="370" t="n">
        <v>84.732</v>
      </c>
      <c r="O45" s="73"/>
      <c r="P45" s="88" t="n">
        <f aca="false">SUM(E45:O45)</f>
        <v>100</v>
      </c>
      <c r="R45" s="0" t="n">
        <v>4.131</v>
      </c>
      <c r="S45" s="0" t="s">
        <v>6</v>
      </c>
      <c r="AS45" s="297"/>
    </row>
    <row r="46" customFormat="false" ht="15.75" hidden="false" customHeight="false" outlineLevel="0" collapsed="false">
      <c r="C46" s="53" t="s">
        <v>198</v>
      </c>
      <c r="D46" s="73"/>
      <c r="E46" s="368" t="n">
        <v>0</v>
      </c>
      <c r="F46" s="369" t="n">
        <v>0.002</v>
      </c>
      <c r="G46" s="369" t="n">
        <v>0.041</v>
      </c>
      <c r="H46" s="369" t="n">
        <v>0.479</v>
      </c>
      <c r="I46" s="369" t="n">
        <v>1.943</v>
      </c>
      <c r="J46" s="369" t="n">
        <v>1.204</v>
      </c>
      <c r="K46" s="369" t="n">
        <v>4.489</v>
      </c>
      <c r="L46" s="369" t="n">
        <v>4.762</v>
      </c>
      <c r="M46" s="369" t="n">
        <v>7.407</v>
      </c>
      <c r="N46" s="370" t="n">
        <v>79.673</v>
      </c>
      <c r="O46" s="73"/>
      <c r="P46" s="88" t="n">
        <f aca="false">SUM(E46:O46)</f>
        <v>100</v>
      </c>
      <c r="R46" s="0" t="n">
        <v>8.601</v>
      </c>
      <c r="S46" s="0" t="s">
        <v>7</v>
      </c>
      <c r="AS46" s="297"/>
    </row>
    <row r="47" customFormat="false" ht="16.5" hidden="false" customHeight="false" outlineLevel="0" collapsed="false">
      <c r="C47" s="53" t="s">
        <v>199</v>
      </c>
      <c r="D47" s="372"/>
      <c r="E47" s="368" t="n">
        <v>0.001</v>
      </c>
      <c r="F47" s="369" t="n">
        <v>0.04</v>
      </c>
      <c r="G47" s="369" t="n">
        <v>0.102</v>
      </c>
      <c r="H47" s="369" t="n">
        <v>0.255</v>
      </c>
      <c r="I47" s="369" t="n">
        <v>0.764</v>
      </c>
      <c r="J47" s="369" t="n">
        <v>0.592</v>
      </c>
      <c r="K47" s="369" t="n">
        <v>2.847</v>
      </c>
      <c r="L47" s="369" t="n">
        <v>4.341</v>
      </c>
      <c r="M47" s="369" t="n">
        <v>7.777</v>
      </c>
      <c r="N47" s="370" t="n">
        <v>83.281</v>
      </c>
      <c r="O47" s="73"/>
      <c r="P47" s="88" t="n">
        <f aca="false">SUM(E47:O47)</f>
        <v>100</v>
      </c>
      <c r="R47" s="0" t="n">
        <v>2.489</v>
      </c>
      <c r="S47" s="0" t="s">
        <v>8</v>
      </c>
    </row>
    <row r="48" customFormat="false" ht="16.5" hidden="false" customHeight="false" outlineLevel="0" collapsed="false">
      <c r="C48" s="53" t="s">
        <v>200</v>
      </c>
      <c r="D48" s="372"/>
      <c r="E48" s="368" t="n">
        <v>0.001</v>
      </c>
      <c r="F48" s="369" t="n">
        <v>0.007</v>
      </c>
      <c r="G48" s="369" t="n">
        <v>0.09</v>
      </c>
      <c r="H48" s="369" t="n">
        <v>0.346</v>
      </c>
      <c r="I48" s="369" t="n">
        <v>1.404</v>
      </c>
      <c r="J48" s="369" t="n">
        <v>0.856</v>
      </c>
      <c r="K48" s="369" t="n">
        <v>3.58</v>
      </c>
      <c r="L48" s="369" t="n">
        <v>3.401</v>
      </c>
      <c r="M48" s="369" t="n">
        <v>5.643</v>
      </c>
      <c r="N48" s="370" t="n">
        <v>84.672</v>
      </c>
      <c r="O48" s="73"/>
      <c r="P48" s="88"/>
      <c r="R48" s="0" t="n">
        <v>2.806</v>
      </c>
      <c r="S48" s="0" t="s">
        <v>9</v>
      </c>
    </row>
    <row r="49" customFormat="false" ht="16.5" hidden="false" customHeight="false" outlineLevel="0" collapsed="false">
      <c r="C49" s="53" t="s">
        <v>201</v>
      </c>
      <c r="D49" s="372"/>
      <c r="E49" s="368" t="n">
        <v>0</v>
      </c>
      <c r="F49" s="369" t="n">
        <v>0</v>
      </c>
      <c r="G49" s="369" t="n">
        <v>0.017</v>
      </c>
      <c r="H49" s="369" t="n">
        <v>0.096</v>
      </c>
      <c r="I49" s="369" t="n">
        <v>0.982</v>
      </c>
      <c r="J49" s="369" t="n">
        <v>1.227</v>
      </c>
      <c r="K49" s="369" t="n">
        <v>6.088</v>
      </c>
      <c r="L49" s="369" t="n">
        <v>6.73</v>
      </c>
      <c r="M49" s="369" t="n">
        <v>10.708</v>
      </c>
      <c r="N49" s="370" t="n">
        <v>74.152</v>
      </c>
      <c r="O49" s="73"/>
      <c r="P49" s="88" t="n">
        <f aca="false">SUM(E49:O49)</f>
        <v>100</v>
      </c>
      <c r="R49" s="0" t="n">
        <v>3.56</v>
      </c>
      <c r="S49" s="0" t="s">
        <v>10</v>
      </c>
      <c r="T49" s="0" t="n">
        <f aca="false">SUM(R49:R53)</f>
        <v>3.56</v>
      </c>
    </row>
    <row r="50" customFormat="false" ht="16.5" hidden="false" customHeight="false" outlineLevel="0" collapsed="false">
      <c r="C50" s="53" t="s">
        <v>202</v>
      </c>
      <c r="D50" s="372"/>
      <c r="E50" s="368" t="n">
        <v>0.005</v>
      </c>
      <c r="F50" s="369" t="n">
        <v>0.016</v>
      </c>
      <c r="G50" s="369" t="n">
        <v>0.102</v>
      </c>
      <c r="H50" s="369" t="n">
        <v>0.424</v>
      </c>
      <c r="I50" s="369" t="n">
        <v>2.193</v>
      </c>
      <c r="J50" s="369" t="n">
        <v>1.797</v>
      </c>
      <c r="K50" s="369" t="n">
        <v>7.54</v>
      </c>
      <c r="L50" s="369" t="n">
        <v>7.297</v>
      </c>
      <c r="M50" s="369" t="n">
        <v>11.188</v>
      </c>
      <c r="N50" s="370" t="n">
        <v>69.438</v>
      </c>
      <c r="O50" s="73"/>
      <c r="P50" s="88" t="n">
        <f aca="false">SUM(E50:O50)</f>
        <v>100</v>
      </c>
    </row>
    <row r="51" customFormat="false" ht="16.5" hidden="false" customHeight="false" outlineLevel="0" collapsed="false">
      <c r="C51" s="53" t="s">
        <v>203</v>
      </c>
      <c r="D51" s="372"/>
      <c r="E51" s="368" t="n">
        <v>0.002</v>
      </c>
      <c r="F51" s="369" t="n">
        <v>0.039</v>
      </c>
      <c r="G51" s="369" t="n">
        <v>0.065</v>
      </c>
      <c r="H51" s="369" t="n">
        <v>0.262</v>
      </c>
      <c r="I51" s="369" t="n">
        <v>1.369</v>
      </c>
      <c r="J51" s="369" t="n">
        <v>1.037</v>
      </c>
      <c r="K51" s="369" t="n">
        <v>4.154</v>
      </c>
      <c r="L51" s="369" t="n">
        <v>4.283</v>
      </c>
      <c r="M51" s="369" t="n">
        <v>7.134</v>
      </c>
      <c r="N51" s="370" t="n">
        <v>81.655</v>
      </c>
      <c r="O51" s="73"/>
      <c r="P51" s="88" t="n">
        <f aca="false">SUM(E51:O51)</f>
        <v>100</v>
      </c>
    </row>
    <row r="52" customFormat="false" ht="16.5" hidden="false" customHeight="false" outlineLevel="0" collapsed="false">
      <c r="C52" s="53" t="s">
        <v>204</v>
      </c>
      <c r="D52" s="372"/>
      <c r="E52" s="368" t="n">
        <v>0</v>
      </c>
      <c r="F52" s="369" t="n">
        <v>0.002</v>
      </c>
      <c r="G52" s="369" t="n">
        <v>0.071</v>
      </c>
      <c r="H52" s="369" t="n">
        <v>0.266</v>
      </c>
      <c r="I52" s="369" t="n">
        <v>1.072</v>
      </c>
      <c r="J52" s="369" t="n">
        <v>1</v>
      </c>
      <c r="K52" s="369" t="n">
        <v>4.441</v>
      </c>
      <c r="L52" s="369" t="n">
        <v>5.432</v>
      </c>
      <c r="M52" s="369" t="n">
        <v>9.009</v>
      </c>
      <c r="N52" s="370" t="n">
        <v>78.707</v>
      </c>
      <c r="O52" s="73"/>
      <c r="P52" s="88" t="n">
        <f aca="false">SUM(E52:O52)</f>
        <v>100</v>
      </c>
    </row>
    <row r="53" customFormat="false" ht="16.5" hidden="false" customHeight="false" outlineLevel="0" collapsed="false">
      <c r="C53" s="53" t="s">
        <v>153</v>
      </c>
      <c r="D53" s="372"/>
      <c r="E53" s="368" t="n">
        <v>0</v>
      </c>
      <c r="F53" s="369" t="n">
        <v>0.012</v>
      </c>
      <c r="G53" s="369" t="n">
        <v>0.031</v>
      </c>
      <c r="H53" s="369" t="n">
        <v>0.316</v>
      </c>
      <c r="I53" s="369" t="n">
        <v>1.886</v>
      </c>
      <c r="J53" s="369" t="n">
        <v>1.409</v>
      </c>
      <c r="K53" s="369" t="n">
        <v>6.361</v>
      </c>
      <c r="L53" s="369" t="n">
        <v>6.073</v>
      </c>
      <c r="M53" s="369" t="n">
        <v>9.964</v>
      </c>
      <c r="N53" s="370" t="n">
        <v>73.948</v>
      </c>
      <c r="O53" s="73"/>
      <c r="P53" s="88" t="n">
        <f aca="false">SUM(E53:O53)</f>
        <v>100</v>
      </c>
    </row>
    <row r="54" customFormat="false" ht="16.5" hidden="false" customHeight="false" outlineLevel="0" collapsed="false">
      <c r="C54" s="53" t="s">
        <v>152</v>
      </c>
      <c r="D54" s="367"/>
      <c r="E54" s="368" t="n">
        <v>0</v>
      </c>
      <c r="F54" s="369" t="n">
        <v>0.006</v>
      </c>
      <c r="G54" s="369" t="n">
        <v>0.035</v>
      </c>
      <c r="H54" s="369" t="n">
        <v>0.427</v>
      </c>
      <c r="I54" s="369" t="n">
        <v>1.983</v>
      </c>
      <c r="J54" s="369" t="n">
        <v>1.459</v>
      </c>
      <c r="K54" s="369" t="n">
        <v>4.888</v>
      </c>
      <c r="L54" s="369" t="n">
        <v>4.448</v>
      </c>
      <c r="M54" s="369" t="n">
        <v>6.818</v>
      </c>
      <c r="N54" s="370" t="n">
        <v>79.936</v>
      </c>
      <c r="O54" s="371"/>
      <c r="P54" s="88" t="n">
        <f aca="false">SUM(E54:O54)</f>
        <v>100</v>
      </c>
      <c r="R54" s="0" t="n">
        <f aca="false">SUM(R40:R53)</f>
        <v>100</v>
      </c>
    </row>
    <row r="55" customFormat="false" ht="15.75" hidden="false" customHeight="false" outlineLevel="0" collapsed="false">
      <c r="C55" s="53" t="s">
        <v>155</v>
      </c>
      <c r="D55" s="367"/>
      <c r="E55" s="373" t="n">
        <v>0.003</v>
      </c>
      <c r="F55" s="373" t="n">
        <v>0</v>
      </c>
      <c r="G55" s="373" t="n">
        <v>0.001</v>
      </c>
      <c r="H55" s="373" t="n">
        <v>0.048</v>
      </c>
      <c r="I55" s="373" t="n">
        <v>0.021</v>
      </c>
      <c r="J55" s="373" t="n">
        <v>0.006</v>
      </c>
      <c r="K55" s="373" t="n">
        <v>0.02</v>
      </c>
      <c r="L55" s="373" t="n">
        <v>5.842</v>
      </c>
      <c r="M55" s="373" t="n">
        <v>13.781</v>
      </c>
      <c r="N55" s="373" t="n">
        <v>80.278</v>
      </c>
      <c r="O55" s="371"/>
      <c r="P55" s="88" t="n">
        <f aca="false">SUM(E55:O55)</f>
        <v>100</v>
      </c>
    </row>
    <row r="56" customFormat="false" ht="15.75" hidden="false" customHeight="false" outlineLevel="0" collapsed="false">
      <c r="C56" s="53" t="s">
        <v>190</v>
      </c>
      <c r="D56" s="367"/>
      <c r="E56" s="374" t="n">
        <v>0</v>
      </c>
      <c r="F56" s="375" t="n">
        <v>0.002</v>
      </c>
      <c r="G56" s="375" t="n">
        <v>0.071</v>
      </c>
      <c r="H56" s="375" t="n">
        <v>0.266</v>
      </c>
      <c r="I56" s="375" t="n">
        <v>1.072</v>
      </c>
      <c r="J56" s="375" t="n">
        <v>1</v>
      </c>
      <c r="K56" s="375" t="n">
        <v>4.441</v>
      </c>
      <c r="L56" s="375" t="n">
        <v>5.432</v>
      </c>
      <c r="M56" s="375" t="n">
        <v>9.009</v>
      </c>
      <c r="N56" s="376" t="n">
        <v>78.707</v>
      </c>
      <c r="O56" s="371"/>
      <c r="P56" s="88" t="n">
        <f aca="false">SUM(E56:O56)</f>
        <v>100</v>
      </c>
    </row>
    <row r="57" customFormat="false" ht="15.75" hidden="false" customHeight="false" outlineLevel="0" collapsed="false">
      <c r="C57" s="377" t="s">
        <v>156</v>
      </c>
      <c r="D57" s="59"/>
      <c r="E57" s="378" t="n">
        <v>0.00287923824274318</v>
      </c>
      <c r="F57" s="379" t="n">
        <v>0.000638599183836139</v>
      </c>
      <c r="G57" s="379" t="n">
        <v>0.110323337772578</v>
      </c>
      <c r="H57" s="379" t="n">
        <v>49.304365553544</v>
      </c>
      <c r="I57" s="379" t="n">
        <v>26.4347859316208</v>
      </c>
      <c r="J57" s="379" t="n">
        <v>4.84033114837774</v>
      </c>
      <c r="K57" s="379" t="n">
        <v>10.4700118128913</v>
      </c>
      <c r="L57" s="379" t="n">
        <v>3.06090564260526</v>
      </c>
      <c r="M57" s="379" t="n">
        <v>2.97499827923524</v>
      </c>
      <c r="N57" s="380" t="n">
        <v>2.80076045652663</v>
      </c>
      <c r="O57" s="381"/>
      <c r="P57" s="382" t="n">
        <f aca="false">SUM(E57:O57)</f>
        <v>100</v>
      </c>
    </row>
    <row r="58" customFormat="false" ht="15.75" hidden="false" customHeight="false" outlineLevel="0" collapsed="false">
      <c r="E58" s="285" t="n">
        <f aca="false">F60*100</f>
        <v>1.7295242186155E-006</v>
      </c>
      <c r="F58" s="285" t="n">
        <f aca="false">F61*100</f>
        <v>0.155039721104349</v>
      </c>
      <c r="G58" s="285" t="n">
        <f aca="false">F62*100</f>
        <v>0.642844403086647</v>
      </c>
      <c r="H58" s="285" t="n">
        <f aca="false">F63*100</f>
        <v>49.5227717658757</v>
      </c>
      <c r="I58" s="285" t="n">
        <f aca="false">F64*100</f>
        <v>26.5038473232761</v>
      </c>
      <c r="J58" s="285" t="n">
        <f aca="false">F65*100</f>
        <v>4.76325294004349</v>
      </c>
      <c r="K58" s="285" t="n">
        <f aca="false">F66*100</f>
        <v>10.1622394876838</v>
      </c>
      <c r="L58" s="285" t="n">
        <f aca="false">F67*100</f>
        <v>2.77733035814489</v>
      </c>
      <c r="M58" s="285" t="n">
        <f aca="false">F68*100</f>
        <v>2.82364301056386</v>
      </c>
      <c r="N58" s="285" t="n">
        <f aca="false">G83*100</f>
        <v>2.64902926069703</v>
      </c>
    </row>
    <row r="59" customFormat="false" ht="15" hidden="false" customHeight="false" outlineLevel="0" collapsed="false">
      <c r="D59" s="72"/>
      <c r="E59" s="72" t="n">
        <v>0.001</v>
      </c>
      <c r="F59" s="72" t="n">
        <v>0.001</v>
      </c>
      <c r="G59" s="72" t="n">
        <v>0.162</v>
      </c>
      <c r="H59" s="72" t="n">
        <v>49.328</v>
      </c>
      <c r="I59" s="72" t="n">
        <v>26.741</v>
      </c>
      <c r="J59" s="72" t="n">
        <v>4.863</v>
      </c>
      <c r="K59" s="72" t="n">
        <v>10.528</v>
      </c>
      <c r="L59" s="72" t="n">
        <v>3.006</v>
      </c>
      <c r="M59" s="72" t="n">
        <v>2.877</v>
      </c>
      <c r="N59" s="383" t="n">
        <v>2.492</v>
      </c>
    </row>
    <row r="60" customFormat="false" ht="15" hidden="false" customHeight="false" outlineLevel="0" collapsed="false">
      <c r="F60" s="285" t="n">
        <v>1.7295242186155E-008</v>
      </c>
      <c r="AQ60" s="384" t="n">
        <v>0.059138</v>
      </c>
      <c r="AR60" s="384" t="n">
        <v>0.037606</v>
      </c>
      <c r="AS60" s="384" t="n">
        <v>0.036505</v>
      </c>
      <c r="AT60" s="384" t="n">
        <v>0.030733</v>
      </c>
      <c r="AU60" s="384" t="n">
        <v>0.031901</v>
      </c>
      <c r="AV60" s="384" t="n">
        <v>0.0275</v>
      </c>
      <c r="AW60" s="384" t="n">
        <v>0.027745</v>
      </c>
      <c r="AX60" s="384" t="n">
        <v>0.0231767</v>
      </c>
      <c r="AY60" s="384"/>
      <c r="AZ60" s="384"/>
      <c r="BA60" s="384"/>
      <c r="BB60" s="384"/>
      <c r="BC60" s="384"/>
      <c r="BD60" s="384"/>
      <c r="BE60" s="384"/>
      <c r="BF60" s="384"/>
      <c r="BG60" s="384"/>
      <c r="BH60" s="384"/>
      <c r="BI60" s="384"/>
    </row>
    <row r="61" customFormat="false" ht="15" hidden="false" customHeight="false" outlineLevel="0" collapsed="false">
      <c r="D61" s="385"/>
      <c r="F61" s="285" t="n">
        <v>0.00155039721104349</v>
      </c>
      <c r="AQ61" s="0" t="n">
        <f aca="false">AQ60*1000</f>
        <v>59.138</v>
      </c>
      <c r="AR61" s="0" t="n">
        <f aca="false">AR60*1000</f>
        <v>37.606</v>
      </c>
      <c r="AS61" s="0" t="n">
        <f aca="false">AS60*1000</f>
        <v>36.505</v>
      </c>
      <c r="AT61" s="0" t="n">
        <f aca="false">AT60*1000</f>
        <v>30.733</v>
      </c>
      <c r="AU61" s="0" t="n">
        <f aca="false">AU60*1000</f>
        <v>31.901</v>
      </c>
      <c r="AV61" s="0" t="n">
        <f aca="false">AV60*1000</f>
        <v>27.5</v>
      </c>
      <c r="AW61" s="0" t="n">
        <f aca="false">AW60*1000</f>
        <v>27.745</v>
      </c>
      <c r="AX61" s="0" t="n">
        <f aca="false">AX60*1000</f>
        <v>23.1767</v>
      </c>
    </row>
    <row r="62" customFormat="false" ht="15" hidden="false" customHeight="false" outlineLevel="0" collapsed="false">
      <c r="D62" s="386"/>
      <c r="E62" s="72"/>
      <c r="F62" s="387" t="n">
        <v>0.00642844403086647</v>
      </c>
      <c r="G62" s="72"/>
      <c r="H62" s="72"/>
      <c r="I62" s="72"/>
      <c r="J62" s="72"/>
      <c r="K62" s="72"/>
      <c r="L62" s="72"/>
      <c r="M62" s="72"/>
      <c r="N62" s="72"/>
      <c r="AE62" s="388" t="n">
        <f aca="false">Rollup!AE159</f>
        <v>1006.8</v>
      </c>
      <c r="AF62" s="388" t="n">
        <f aca="false">Rollup!AF159</f>
        <v>1764.2</v>
      </c>
      <c r="AG62" s="388" t="n">
        <f aca="false">Rollup!AG159</f>
        <v>2508.2</v>
      </c>
      <c r="AH62" s="388" t="n">
        <f aca="false">Rollup!AH159</f>
        <v>3241.7</v>
      </c>
      <c r="AI62" s="388" t="n">
        <f aca="false">Rollup!AI159</f>
        <v>3252.1</v>
      </c>
      <c r="AJ62" s="388" t="n">
        <f aca="false">Rollup!AJ159</f>
        <v>3988.4</v>
      </c>
      <c r="AK62" s="388" t="n">
        <f aca="false">Rollup!AK159</f>
        <v>3996.2</v>
      </c>
      <c r="AL62" s="388" t="n">
        <v>5180</v>
      </c>
      <c r="AO62" s="389" t="n">
        <f aca="false">Rollup!AS159</f>
        <v>58.746</v>
      </c>
      <c r="AP62" s="389" t="n">
        <f aca="false">Rollup!AT159</f>
        <v>91.128</v>
      </c>
      <c r="AQ62" s="389" t="n">
        <f aca="false">Rollup!AU159</f>
        <v>59.138</v>
      </c>
      <c r="AR62" s="389" t="n">
        <f aca="false">Rollup!AV159</f>
        <v>37.488</v>
      </c>
      <c r="AS62" s="389" t="n">
        <f aca="false">Rollup!AW159</f>
        <v>36.391</v>
      </c>
      <c r="AT62" s="389" t="n">
        <f aca="false">Rollup!AX159</f>
        <v>30.637</v>
      </c>
      <c r="AU62" s="389" t="n">
        <f aca="false">Rollup!AY159</f>
        <v>31.801</v>
      </c>
      <c r="AV62" s="389" t="n">
        <f aca="false">Rollup!AZ159</f>
        <v>27.414</v>
      </c>
      <c r="AW62" s="389" t="n">
        <f aca="false">Rollup!BA159</f>
        <v>27.658</v>
      </c>
      <c r="AX62" s="389" t="n">
        <f aca="false">Rollup!BB159</f>
        <v>23.104</v>
      </c>
      <c r="AY62" s="389"/>
      <c r="AZ62" s="389"/>
      <c r="BA62" s="389"/>
      <c r="BB62" s="389"/>
      <c r="BC62" s="389"/>
      <c r="BD62" s="389"/>
      <c r="BE62" s="389"/>
      <c r="BF62" s="389"/>
      <c r="BG62" s="389"/>
      <c r="BH62" s="389"/>
      <c r="BI62" s="389"/>
      <c r="BJ62" s="390" t="n">
        <f aca="false">Rollup!BE159</f>
        <v>0.0195</v>
      </c>
      <c r="BK62" s="390" t="n">
        <f aca="false">Rollup!BF159</f>
        <v>0.00442</v>
      </c>
      <c r="BL62" s="390" t="n">
        <f aca="false">Rollup!BG159</f>
        <v>0.0116</v>
      </c>
      <c r="BM62" s="390" t="n">
        <f aca="false">Rollup!BH159</f>
        <v>0.0238</v>
      </c>
      <c r="BN62" s="390" t="n">
        <f aca="false">Rollup!BI159</f>
        <v>0.0347</v>
      </c>
      <c r="BO62" s="390" t="n">
        <f aca="false">Rollup!BJ159</f>
        <v>0.0441</v>
      </c>
      <c r="BP62" s="390" t="n">
        <f aca="false">Rollup!BK159</f>
        <v>0.047</v>
      </c>
      <c r="BQ62" s="390" t="n">
        <f aca="false">Rollup!BL159</f>
        <v>0.0576</v>
      </c>
      <c r="BR62" s="390" t="n">
        <f aca="false">Rollup!BM159</f>
        <v>0.0606</v>
      </c>
      <c r="BS62" s="390" t="n">
        <f aca="false">Rollup!BN159</f>
        <v>0.08637</v>
      </c>
      <c r="BT62" s="390" t="n">
        <f aca="false">Rollup!BO159</f>
        <v>0.0239</v>
      </c>
    </row>
    <row r="63" customFormat="false" ht="15" hidden="false" customHeight="false" outlineLevel="0" collapsed="false">
      <c r="D63" s="386"/>
      <c r="E63" s="18"/>
      <c r="F63" s="285" t="n">
        <v>0.495227717658757</v>
      </c>
      <c r="G63" s="18"/>
      <c r="H63" s="18"/>
      <c r="I63" s="18"/>
      <c r="J63" s="18"/>
      <c r="K63" s="18"/>
      <c r="L63" s="18"/>
      <c r="M63" s="18"/>
      <c r="N63" s="18"/>
      <c r="R63" s="391" t="n">
        <v>1</v>
      </c>
      <c r="S63" s="391"/>
      <c r="T63" s="391"/>
      <c r="U63" s="391"/>
      <c r="V63" s="391"/>
      <c r="W63" s="391"/>
      <c r="X63" s="391"/>
      <c r="Y63" s="391"/>
      <c r="Z63" s="391"/>
      <c r="AA63" s="391"/>
      <c r="AB63" s="391"/>
      <c r="AC63" s="391"/>
      <c r="AD63" s="391"/>
      <c r="AE63" s="391"/>
      <c r="AF63" s="391"/>
      <c r="AG63" s="391"/>
      <c r="AH63" s="391"/>
      <c r="AI63" s="391"/>
      <c r="AJ63" s="391"/>
      <c r="AK63" s="391"/>
      <c r="AL63" s="388" t="n">
        <f aca="false">Rollup!AL159</f>
        <v>5113.2</v>
      </c>
      <c r="AM63" s="391"/>
      <c r="AN63" s="391" t="n">
        <v>2</v>
      </c>
      <c r="AO63" s="391" t="n">
        <v>3</v>
      </c>
      <c r="AP63" s="391" t="n">
        <v>4</v>
      </c>
      <c r="AQ63" s="391" t="n">
        <v>5</v>
      </c>
      <c r="AR63" s="391" t="n">
        <v>6</v>
      </c>
      <c r="AS63" s="391" t="n">
        <v>7</v>
      </c>
      <c r="AT63" s="391" t="n">
        <v>8</v>
      </c>
      <c r="AU63" s="391" t="n">
        <v>9</v>
      </c>
      <c r="AV63" s="391" t="n">
        <v>10</v>
      </c>
      <c r="AW63" s="391" t="n">
        <v>11</v>
      </c>
      <c r="AX63" s="391" t="n">
        <v>12</v>
      </c>
      <c r="AY63" s="391"/>
      <c r="AZ63" s="391"/>
      <c r="BA63" s="391"/>
      <c r="BB63" s="391"/>
      <c r="BC63" s="391"/>
      <c r="BD63" s="391"/>
      <c r="BE63" s="391"/>
      <c r="BF63" s="391"/>
      <c r="BG63" s="391"/>
      <c r="BH63" s="391"/>
      <c r="BI63" s="391"/>
    </row>
    <row r="64" customFormat="false" ht="15" hidden="false" customHeight="false" outlineLevel="0" collapsed="false">
      <c r="D64" s="386"/>
      <c r="E64" s="285"/>
      <c r="F64" s="285" t="n">
        <v>0.265038473232761</v>
      </c>
      <c r="G64" s="285"/>
      <c r="H64" s="285"/>
      <c r="I64" s="285"/>
      <c r="J64" s="285"/>
      <c r="K64" s="285"/>
      <c r="L64" s="285"/>
      <c r="M64" s="285"/>
    </row>
    <row r="65" customFormat="false" ht="15" hidden="false" customHeight="false" outlineLevel="0" collapsed="false">
      <c r="D65" s="386"/>
      <c r="F65" s="285" t="n">
        <v>0.0476325294004349</v>
      </c>
      <c r="AR65" s="0" t="n">
        <f aca="false">AR62/AR61</f>
        <v>0.996862202839972</v>
      </c>
      <c r="AS65" s="0" t="n">
        <f aca="false">AS62/AS61</f>
        <v>0.996877140117792</v>
      </c>
      <c r="AT65" s="0" t="n">
        <f aca="false">AT62/AT61</f>
        <v>0.996876321869001</v>
      </c>
      <c r="AU65" s="0" t="n">
        <f aca="false">AU62/AU61</f>
        <v>0.996865302028149</v>
      </c>
      <c r="AV65" s="0" t="n">
        <f aca="false">AV62/AV61</f>
        <v>0.996872727272727</v>
      </c>
      <c r="AW65" s="0" t="n">
        <f aca="false">AW62/AW61</f>
        <v>0.996864299873851</v>
      </c>
      <c r="AX65" s="0" t="n">
        <f aca="false">AX62/AX61</f>
        <v>0.996863229018799</v>
      </c>
    </row>
    <row r="66" customFormat="false" ht="15" hidden="false" customHeight="false" outlineLevel="0" collapsed="false">
      <c r="D66" s="386"/>
      <c r="F66" s="285" t="n">
        <v>0.101622394876838</v>
      </c>
    </row>
    <row r="67" customFormat="false" ht="15" hidden="false" customHeight="false" outlineLevel="0" collapsed="false">
      <c r="D67" s="386"/>
      <c r="F67" s="285" t="n">
        <v>0.0277733035814489</v>
      </c>
    </row>
    <row r="68" customFormat="false" ht="15" hidden="false" customHeight="false" outlineLevel="0" collapsed="false">
      <c r="D68" s="386"/>
      <c r="E68" s="361"/>
      <c r="F68" s="285" t="n">
        <v>0.0282364301056386</v>
      </c>
    </row>
    <row r="69" customFormat="false" ht="15" hidden="false" customHeight="false" outlineLevel="0" collapsed="false">
      <c r="D69" s="386"/>
      <c r="E69" s="361"/>
      <c r="F69" s="285" t="n">
        <v>0.000639484116864685</v>
      </c>
      <c r="N69" s="361"/>
    </row>
    <row r="70" customFormat="false" ht="15" hidden="false" customHeight="false" outlineLevel="0" collapsed="false">
      <c r="D70" s="386"/>
      <c r="E70" s="361"/>
      <c r="F70" s="285" t="n">
        <v>0.00464976879853312</v>
      </c>
      <c r="N70" s="361"/>
    </row>
    <row r="71" customFormat="false" ht="15" hidden="false" customHeight="false" outlineLevel="0" collapsed="false">
      <c r="E71" s="361"/>
      <c r="F71" s="285" t="n">
        <v>0</v>
      </c>
      <c r="N71" s="361"/>
    </row>
    <row r="72" customFormat="false" ht="15" hidden="false" customHeight="false" outlineLevel="0" collapsed="false">
      <c r="E72" s="361"/>
      <c r="F72" s="285" t="n">
        <v>0</v>
      </c>
      <c r="N72" s="361"/>
    </row>
    <row r="73" customFormat="false" ht="15" hidden="false" customHeight="false" outlineLevel="0" collapsed="false">
      <c r="E73" s="361"/>
      <c r="F73" s="285" t="n">
        <v>5.60470273257268E-005</v>
      </c>
      <c r="N73" s="361"/>
    </row>
    <row r="74" customFormat="false" ht="15" hidden="false" customHeight="false" outlineLevel="0" collapsed="false">
      <c r="E74" s="361"/>
      <c r="F74" s="285" t="n">
        <v>0.000800768652974988</v>
      </c>
      <c r="N74" s="361"/>
    </row>
    <row r="75" customFormat="false" ht="15" hidden="false" customHeight="false" outlineLevel="0" collapsed="false">
      <c r="E75" s="361"/>
      <c r="F75" s="285" t="n">
        <v>0.00148227921929274</v>
      </c>
      <c r="N75" s="361"/>
    </row>
    <row r="76" customFormat="false" ht="15" hidden="false" customHeight="false" outlineLevel="0" collapsed="false">
      <c r="F76" s="285" t="n">
        <v>0.00340365619665417</v>
      </c>
    </row>
    <row r="77" customFormat="false" ht="15" hidden="false" customHeight="false" outlineLevel="0" collapsed="false">
      <c r="E77" s="361"/>
      <c r="F77" s="285" t="n">
        <v>0.00368906500556551</v>
      </c>
    </row>
    <row r="78" customFormat="false" ht="15" hidden="false" customHeight="false" outlineLevel="0" collapsed="false">
      <c r="E78" s="361"/>
      <c r="F78" s="285" t="n">
        <v>0.00206875315917297</v>
      </c>
    </row>
    <row r="79" customFormat="false" ht="15" hidden="false" customHeight="false" outlineLevel="0" collapsed="false">
      <c r="E79" s="361"/>
      <c r="F79" s="285" t="n">
        <v>0.0027645033514052</v>
      </c>
    </row>
    <row r="80" customFormat="false" ht="15" hidden="false" customHeight="false" outlineLevel="0" collapsed="false">
      <c r="E80" s="361"/>
      <c r="F80" s="285" t="n">
        <v>0.00145928991351218</v>
      </c>
    </row>
    <row r="81" customFormat="false" ht="15" hidden="false" customHeight="false" outlineLevel="0" collapsed="false">
      <c r="E81" s="361"/>
      <c r="F81" s="285" t="n">
        <v>8.5189635741061E-005</v>
      </c>
    </row>
    <row r="82" customFormat="false" ht="15" hidden="false" customHeight="false" outlineLevel="0" collapsed="false">
      <c r="E82" s="361"/>
      <c r="F82" s="285" t="n">
        <v>0</v>
      </c>
    </row>
    <row r="83" customFormat="false" ht="15" hidden="false" customHeight="false" outlineLevel="0" collapsed="false">
      <c r="E83" s="361"/>
      <c r="F83" s="285" t="n">
        <v>0.005391487529928</v>
      </c>
      <c r="G83" s="285" t="n">
        <f aca="false">SUM(F69:F83)</f>
        <v>0.0264902926069703</v>
      </c>
    </row>
    <row r="84" customFormat="false" ht="15" hidden="false" customHeight="false" outlineLevel="0" collapsed="false">
      <c r="E84" s="361"/>
    </row>
    <row r="95" customFormat="false" ht="15" hidden="false" customHeight="false" outlineLevel="0" collapsed="false">
      <c r="F95" s="285"/>
    </row>
    <row r="96" customFormat="false" ht="15" hidden="false" customHeight="false" outlineLevel="0" collapsed="false">
      <c r="F96" s="285"/>
      <c r="G96" s="392"/>
      <c r="H96" s="285"/>
      <c r="K96" s="392"/>
      <c r="L96" s="392"/>
      <c r="M96" s="392"/>
      <c r="N96" s="392"/>
      <c r="P96" s="392"/>
    </row>
    <row r="97" customFormat="false" ht="15" hidden="false" customHeight="false" outlineLevel="0" collapsed="false">
      <c r="F97" s="285"/>
      <c r="H97" s="285"/>
    </row>
    <row r="98" customFormat="false" ht="15" hidden="false" customHeight="false" outlineLevel="0" collapsed="false">
      <c r="F98" s="285"/>
      <c r="H98" s="285"/>
    </row>
    <row r="99" customFormat="false" ht="15" hidden="false" customHeight="false" outlineLevel="0" collapsed="false">
      <c r="F99" s="285"/>
      <c r="H99" s="285"/>
    </row>
    <row r="100" customFormat="false" ht="15" hidden="false" customHeight="false" outlineLevel="0" collapsed="false">
      <c r="F100" s="285"/>
      <c r="H100" s="285"/>
    </row>
    <row r="101" customFormat="false" ht="15" hidden="false" customHeight="false" outlineLevel="0" collapsed="false">
      <c r="F101" s="285"/>
      <c r="H101" s="285"/>
    </row>
    <row r="102" customFormat="false" ht="15" hidden="false" customHeight="false" outlineLevel="0" collapsed="false">
      <c r="H102" s="285"/>
    </row>
    <row r="103" customFormat="false" ht="15" hidden="false" customHeight="false" outlineLevel="0" collapsed="false">
      <c r="H103" s="285"/>
    </row>
    <row r="104" customFormat="false" ht="15" hidden="false" customHeight="false" outlineLevel="0" collapsed="false">
      <c r="H104" s="285"/>
    </row>
  </sheetData>
  <mergeCells count="3">
    <mergeCell ref="AN1:AX1"/>
    <mergeCell ref="AY1:BI1"/>
    <mergeCell ref="BJ1:BT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166"/>
  <sheetViews>
    <sheetView showFormulas="false" showGridLines="true" showRowColHeaders="true" showZeros="true" rightToLeft="false" tabSelected="false" showOutlineSymbols="true" defaultGridColor="true" view="normal" topLeftCell="A1" colorId="64" zoomScale="96" zoomScaleNormal="96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E10" activeCellId="0" sqref="E10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3.85"/>
    <col collapsed="false" customWidth="true" hidden="false" outlineLevel="0" max="2" min="2" style="0" width="39.57"/>
    <col collapsed="false" customWidth="true" hidden="false" outlineLevel="0" max="4" min="3" style="0" width="15.57"/>
    <col collapsed="false" customWidth="true" hidden="false" outlineLevel="0" max="5" min="5" style="0" width="9.57"/>
    <col collapsed="false" customWidth="true" hidden="false" outlineLevel="0" max="6" min="6" style="0" width="9.7"/>
    <col collapsed="false" customWidth="true" hidden="false" outlineLevel="0" max="7" min="7" style="0" width="12.85"/>
    <col collapsed="false" customWidth="true" hidden="false" outlineLevel="0" max="8" min="8" style="0" width="10.14"/>
    <col collapsed="false" customWidth="true" hidden="false" outlineLevel="0" max="9" min="9" style="0" width="9.7"/>
    <col collapsed="false" customWidth="true" hidden="false" outlineLevel="0" max="14" min="10" style="0" width="9.57"/>
    <col collapsed="false" customWidth="true" hidden="false" outlineLevel="0" max="16" min="15" style="0" width="9.43"/>
    <col collapsed="false" customWidth="true" hidden="false" outlineLevel="0" max="18" min="17" style="0" width="12.57"/>
    <col collapsed="false" customWidth="true" hidden="false" outlineLevel="0" max="19" min="19" style="0" width="15.28"/>
    <col collapsed="false" customWidth="true" hidden="false" outlineLevel="0" max="21" min="20" style="0" width="13.71"/>
    <col collapsed="false" customWidth="true" hidden="false" outlineLevel="0" max="26" min="22" style="0" width="12.57"/>
    <col collapsed="false" customWidth="true" hidden="false" outlineLevel="0" max="27" min="27" style="0" width="8"/>
    <col collapsed="false" customWidth="true" hidden="false" outlineLevel="0" max="28" min="28" style="0" width="15.28"/>
    <col collapsed="false" customWidth="true" hidden="false" outlineLevel="0" max="31" min="31" style="0" width="13.43"/>
    <col collapsed="false" customWidth="true" hidden="false" outlineLevel="0" max="33" min="32" style="0" width="11.71"/>
    <col collapsed="false" customWidth="true" hidden="false" outlineLevel="0" max="34" min="34" style="0" width="10.71"/>
    <col collapsed="false" customWidth="true" hidden="false" outlineLevel="0" max="35" min="35" style="0" width="11.71"/>
    <col collapsed="false" customWidth="true" hidden="false" outlineLevel="0" max="38" min="36" style="0" width="10.71"/>
    <col collapsed="false" customWidth="true" hidden="false" outlineLevel="0" max="39" min="39" style="0" width="9.57"/>
    <col collapsed="false" customWidth="true" hidden="false" outlineLevel="0" max="40" min="40" style="0" width="13.43"/>
    <col collapsed="false" customWidth="true" hidden="false" outlineLevel="0" max="41" min="41" style="0" width="12.28"/>
    <col collapsed="false" customWidth="true" hidden="false" outlineLevel="0" max="43" min="43" style="0" width="9.57"/>
    <col collapsed="false" customWidth="true" hidden="false" outlineLevel="0" max="56" min="44" style="0" width="12.28"/>
    <col collapsed="false" customWidth="true" hidden="false" outlineLevel="0" max="57" min="57" style="0" width="12"/>
    <col collapsed="false" customWidth="true" hidden="false" outlineLevel="0" max="68" min="68" style="0" width="15"/>
  </cols>
  <sheetData>
    <row r="1" customFormat="false" ht="15.75" hidden="false" customHeight="false" outlineLevel="0" collapsed="false">
      <c r="A1" s="393" t="n">
        <v>1</v>
      </c>
      <c r="B1" s="393" t="n">
        <v>2</v>
      </c>
      <c r="C1" s="393" t="n">
        <v>3</v>
      </c>
      <c r="D1" s="393" t="n">
        <v>4</v>
      </c>
      <c r="E1" s="393" t="n">
        <v>5</v>
      </c>
      <c r="F1" s="393" t="n">
        <v>6</v>
      </c>
      <c r="G1" s="393" t="n">
        <v>7</v>
      </c>
      <c r="H1" s="393" t="n">
        <v>8</v>
      </c>
      <c r="I1" s="393" t="n">
        <v>9</v>
      </c>
      <c r="J1" s="393" t="n">
        <v>10</v>
      </c>
      <c r="K1" s="393" t="n">
        <v>11</v>
      </c>
      <c r="L1" s="393" t="n">
        <v>12</v>
      </c>
      <c r="M1" s="393" t="n">
        <v>13</v>
      </c>
      <c r="N1" s="393" t="n">
        <v>14</v>
      </c>
      <c r="O1" s="393" t="n">
        <v>15</v>
      </c>
      <c r="P1" s="393" t="n">
        <v>16</v>
      </c>
      <c r="Q1" s="393" t="n">
        <v>17</v>
      </c>
      <c r="R1" s="393" t="n">
        <v>18</v>
      </c>
      <c r="S1" s="393" t="n">
        <v>19</v>
      </c>
      <c r="T1" s="393" t="n">
        <v>20</v>
      </c>
      <c r="U1" s="393" t="n">
        <v>21</v>
      </c>
      <c r="V1" s="393" t="n">
        <v>22</v>
      </c>
      <c r="W1" s="393" t="n">
        <v>23</v>
      </c>
      <c r="X1" s="393" t="n">
        <v>24</v>
      </c>
      <c r="Y1" s="393" t="n">
        <v>25</v>
      </c>
      <c r="Z1" s="393" t="n">
        <v>26</v>
      </c>
      <c r="AA1" s="393" t="n">
        <v>27</v>
      </c>
      <c r="AB1" s="393" t="n">
        <v>28</v>
      </c>
      <c r="AC1" s="393" t="n">
        <v>29</v>
      </c>
      <c r="AD1" s="393" t="n">
        <v>30</v>
      </c>
      <c r="AE1" s="393" t="n">
        <v>31</v>
      </c>
      <c r="AF1" s="393" t="n">
        <v>32</v>
      </c>
      <c r="AG1" s="393" t="n">
        <v>33</v>
      </c>
      <c r="AH1" s="393" t="n">
        <v>34</v>
      </c>
      <c r="AI1" s="393" t="n">
        <v>35</v>
      </c>
      <c r="AJ1" s="393" t="n">
        <v>36</v>
      </c>
      <c r="AK1" s="393" t="n">
        <v>37</v>
      </c>
      <c r="AL1" s="393" t="n">
        <v>38</v>
      </c>
      <c r="AM1" s="393" t="n">
        <v>39</v>
      </c>
      <c r="AN1" s="393" t="n">
        <v>40</v>
      </c>
      <c r="AO1" s="393" t="n">
        <v>41</v>
      </c>
      <c r="AP1" s="393" t="n">
        <v>42</v>
      </c>
      <c r="AQ1" s="393" t="n">
        <v>43</v>
      </c>
      <c r="AR1" s="393" t="n">
        <v>44</v>
      </c>
      <c r="AS1" s="393" t="n">
        <v>45</v>
      </c>
      <c r="AT1" s="393" t="n">
        <v>46</v>
      </c>
      <c r="AU1" s="393" t="n">
        <v>47</v>
      </c>
      <c r="AV1" s="393" t="n">
        <v>48</v>
      </c>
      <c r="AW1" s="393" t="n">
        <v>49</v>
      </c>
      <c r="AX1" s="393" t="n">
        <v>50</v>
      </c>
      <c r="AY1" s="393" t="n">
        <v>51</v>
      </c>
      <c r="AZ1" s="393" t="n">
        <v>52</v>
      </c>
      <c r="BA1" s="393" t="n">
        <v>53</v>
      </c>
      <c r="BB1" s="393" t="n">
        <v>54</v>
      </c>
      <c r="BC1" s="393" t="n">
        <v>55</v>
      </c>
      <c r="BD1" s="393" t="n">
        <v>56</v>
      </c>
      <c r="BE1" s="393" t="n">
        <v>57</v>
      </c>
      <c r="BF1" s="393" t="n">
        <v>58</v>
      </c>
      <c r="BG1" s="393" t="n">
        <v>59</v>
      </c>
      <c r="BH1" s="393" t="n">
        <v>60</v>
      </c>
      <c r="BI1" s="393" t="n">
        <v>61</v>
      </c>
      <c r="BJ1" s="393" t="n">
        <v>62</v>
      </c>
      <c r="BK1" s="393" t="n">
        <v>63</v>
      </c>
      <c r="BL1" s="393" t="n">
        <v>64</v>
      </c>
      <c r="BM1" s="393" t="n">
        <v>65</v>
      </c>
      <c r="BN1" s="393" t="n">
        <v>66</v>
      </c>
      <c r="BO1" s="393" t="n">
        <v>67</v>
      </c>
      <c r="BP1" s="393" t="n">
        <v>68</v>
      </c>
    </row>
    <row r="2" customFormat="false" ht="16.5" hidden="false" customHeight="false" outlineLevel="0" collapsed="false">
      <c r="C2" s="394"/>
      <c r="D2" s="395"/>
      <c r="E2" s="395"/>
      <c r="F2" s="395"/>
      <c r="G2" s="395"/>
      <c r="H2" s="395"/>
      <c r="I2" s="395"/>
      <c r="J2" s="395"/>
      <c r="K2" s="395"/>
      <c r="L2" s="395"/>
      <c r="M2" s="395"/>
      <c r="N2" s="395"/>
      <c r="O2" s="395"/>
      <c r="P2" s="395"/>
      <c r="Q2" s="396" t="s">
        <v>205</v>
      </c>
      <c r="R2" s="396"/>
      <c r="S2" s="396"/>
      <c r="T2" s="396"/>
      <c r="U2" s="396"/>
      <c r="V2" s="396"/>
      <c r="W2" s="396"/>
      <c r="X2" s="396"/>
      <c r="Y2" s="396"/>
      <c r="Z2" s="396"/>
      <c r="AA2" s="396"/>
      <c r="AB2" s="396"/>
      <c r="AC2" s="397" t="s">
        <v>206</v>
      </c>
      <c r="AD2" s="397"/>
      <c r="AE2" s="397"/>
      <c r="AF2" s="397"/>
      <c r="AG2" s="397"/>
      <c r="AH2" s="397"/>
      <c r="AI2" s="397"/>
      <c r="AJ2" s="397"/>
      <c r="AK2" s="397"/>
      <c r="AL2" s="397"/>
      <c r="AM2" s="397"/>
      <c r="AN2" s="397"/>
      <c r="AO2" s="397"/>
      <c r="AP2" s="397"/>
      <c r="AQ2" s="397"/>
      <c r="AR2" s="397"/>
      <c r="AS2" s="397" t="s">
        <v>207</v>
      </c>
      <c r="AT2" s="397"/>
      <c r="AU2" s="397"/>
      <c r="AV2" s="397"/>
      <c r="AW2" s="397"/>
      <c r="AX2" s="397"/>
      <c r="AY2" s="397"/>
      <c r="AZ2" s="397"/>
      <c r="BA2" s="397"/>
      <c r="BB2" s="397"/>
      <c r="BC2" s="397"/>
      <c r="BD2" s="397"/>
      <c r="BE2" s="397" t="s">
        <v>184</v>
      </c>
      <c r="BF2" s="397"/>
      <c r="BG2" s="397"/>
      <c r="BH2" s="397"/>
      <c r="BI2" s="397"/>
      <c r="BJ2" s="397"/>
      <c r="BK2" s="397"/>
      <c r="BL2" s="397"/>
      <c r="BM2" s="397"/>
      <c r="BN2" s="397"/>
      <c r="BO2" s="397"/>
      <c r="BP2" s="397"/>
    </row>
    <row r="3" customFormat="false" ht="16.5" hidden="false" customHeight="false" outlineLevel="0" collapsed="false">
      <c r="A3" s="398" t="s">
        <v>27</v>
      </c>
      <c r="B3" s="399" t="s">
        <v>28</v>
      </c>
      <c r="C3" s="398" t="s">
        <v>0</v>
      </c>
      <c r="D3" s="400" t="s">
        <v>13</v>
      </c>
      <c r="E3" s="400" t="s">
        <v>1</v>
      </c>
      <c r="F3" s="400" t="s">
        <v>2</v>
      </c>
      <c r="G3" s="400" t="s">
        <v>3</v>
      </c>
      <c r="H3" s="400" t="s">
        <v>4</v>
      </c>
      <c r="I3" s="400" t="s">
        <v>5</v>
      </c>
      <c r="J3" s="400" t="s">
        <v>6</v>
      </c>
      <c r="K3" s="400" t="s">
        <v>7</v>
      </c>
      <c r="L3" s="400" t="s">
        <v>8</v>
      </c>
      <c r="M3" s="400" t="s">
        <v>9</v>
      </c>
      <c r="N3" s="400" t="s">
        <v>10</v>
      </c>
      <c r="O3" s="400"/>
      <c r="P3" s="399" t="s">
        <v>11</v>
      </c>
      <c r="Q3" s="401" t="s">
        <v>1</v>
      </c>
      <c r="R3" s="402" t="s">
        <v>2</v>
      </c>
      <c r="S3" s="402" t="s">
        <v>3</v>
      </c>
      <c r="T3" s="402" t="s">
        <v>4</v>
      </c>
      <c r="U3" s="402" t="s">
        <v>5</v>
      </c>
      <c r="V3" s="402" t="s">
        <v>6</v>
      </c>
      <c r="W3" s="402" t="s">
        <v>7</v>
      </c>
      <c r="X3" s="402" t="s">
        <v>8</v>
      </c>
      <c r="Y3" s="402" t="s">
        <v>9</v>
      </c>
      <c r="Z3" s="402" t="s">
        <v>10</v>
      </c>
      <c r="AA3" s="402" t="s">
        <v>186</v>
      </c>
      <c r="AB3" s="403" t="s">
        <v>11</v>
      </c>
      <c r="AC3" s="404" t="s">
        <v>1</v>
      </c>
      <c r="AD3" s="405" t="s">
        <v>2</v>
      </c>
      <c r="AE3" s="405" t="s">
        <v>3</v>
      </c>
      <c r="AF3" s="405" t="s">
        <v>4</v>
      </c>
      <c r="AG3" s="405" t="s">
        <v>5</v>
      </c>
      <c r="AH3" s="405" t="s">
        <v>6</v>
      </c>
      <c r="AI3" s="405" t="s">
        <v>7</v>
      </c>
      <c r="AJ3" s="405" t="s">
        <v>8</v>
      </c>
      <c r="AK3" s="405" t="s">
        <v>9</v>
      </c>
      <c r="AL3" s="405" t="s">
        <v>10</v>
      </c>
      <c r="AM3" s="405" t="s">
        <v>186</v>
      </c>
      <c r="AN3" s="405" t="s">
        <v>11</v>
      </c>
      <c r="AO3" s="405" t="s">
        <v>208</v>
      </c>
      <c r="AP3" s="405" t="s">
        <v>209</v>
      </c>
      <c r="AQ3" s="405" t="s">
        <v>210</v>
      </c>
      <c r="AR3" s="406" t="s">
        <v>211</v>
      </c>
      <c r="AS3" s="407" t="s">
        <v>1</v>
      </c>
      <c r="AT3" s="408" t="s">
        <v>2</v>
      </c>
      <c r="AU3" s="408" t="s">
        <v>3</v>
      </c>
      <c r="AV3" s="408" t="s">
        <v>4</v>
      </c>
      <c r="AW3" s="408" t="s">
        <v>5</v>
      </c>
      <c r="AX3" s="408" t="s">
        <v>6</v>
      </c>
      <c r="AY3" s="408" t="s">
        <v>7</v>
      </c>
      <c r="AZ3" s="408" t="s">
        <v>8</v>
      </c>
      <c r="BA3" s="408" t="s">
        <v>9</v>
      </c>
      <c r="BB3" s="408" t="s">
        <v>10</v>
      </c>
      <c r="BC3" s="408" t="s">
        <v>186</v>
      </c>
      <c r="BD3" s="409" t="s">
        <v>11</v>
      </c>
      <c r="BE3" s="410" t="s">
        <v>1</v>
      </c>
      <c r="BF3" s="411" t="s">
        <v>2</v>
      </c>
      <c r="BG3" s="411" t="s">
        <v>3</v>
      </c>
      <c r="BH3" s="411" t="s">
        <v>4</v>
      </c>
      <c r="BI3" s="411" t="s">
        <v>5</v>
      </c>
      <c r="BJ3" s="411" t="s">
        <v>6</v>
      </c>
      <c r="BK3" s="411" t="s">
        <v>7</v>
      </c>
      <c r="BL3" s="411" t="s">
        <v>8</v>
      </c>
      <c r="BM3" s="411" t="s">
        <v>9</v>
      </c>
      <c r="BN3" s="411" t="s">
        <v>10</v>
      </c>
      <c r="BO3" s="411" t="s">
        <v>186</v>
      </c>
      <c r="BP3" s="412" t="s">
        <v>184</v>
      </c>
    </row>
    <row r="4" customFormat="false" ht="15" hidden="false" customHeight="false" outlineLevel="0" collapsed="false">
      <c r="A4" s="413" t="s">
        <v>29</v>
      </c>
      <c r="B4" s="414" t="s">
        <v>212</v>
      </c>
      <c r="C4" s="415" t="n">
        <v>0</v>
      </c>
      <c r="D4" s="416" t="n">
        <v>0</v>
      </c>
      <c r="E4" s="417" t="n">
        <v>0.173</v>
      </c>
      <c r="F4" s="417" t="n">
        <v>0.583</v>
      </c>
      <c r="G4" s="417" t="n">
        <v>80.962</v>
      </c>
      <c r="H4" s="417" t="n">
        <v>10.678</v>
      </c>
      <c r="I4" s="417" t="n">
        <v>3.898</v>
      </c>
      <c r="J4" s="417" t="n">
        <v>0.62</v>
      </c>
      <c r="K4" s="417" t="n">
        <v>1.089</v>
      </c>
      <c r="L4" s="417" t="n">
        <v>0.289</v>
      </c>
      <c r="M4" s="417" t="n">
        <v>0.314</v>
      </c>
      <c r="N4" s="417" t="n">
        <v>1.394</v>
      </c>
      <c r="O4" s="76"/>
      <c r="P4" s="418" t="n">
        <f aca="false">SUM(E4:O4)</f>
        <v>100</v>
      </c>
      <c r="Q4" s="14" t="n">
        <f aca="false">IF($P4=0,"",$C4*E4/$P4)</f>
        <v>0</v>
      </c>
      <c r="R4" s="15" t="n">
        <f aca="false">IF($P4=0,"",$C4*F4/$P4)</f>
        <v>0</v>
      </c>
      <c r="S4" s="15" t="n">
        <f aca="false">IF($P4=0,"",$C4*G4/$P4)</f>
        <v>0</v>
      </c>
      <c r="T4" s="15" t="n">
        <f aca="false">IF($P4=0,"",$C4*H4/$P4)</f>
        <v>0</v>
      </c>
      <c r="U4" s="15" t="n">
        <f aca="false">IF($P4=0,"",$C4*I4/$P4)</f>
        <v>0</v>
      </c>
      <c r="V4" s="15" t="n">
        <f aca="false">IF($P4=0,"",$C4*J4/$P4)</f>
        <v>0</v>
      </c>
      <c r="W4" s="15" t="n">
        <f aca="false">IF($P4=0,"",$C4*K4/$P4)</f>
        <v>0</v>
      </c>
      <c r="X4" s="15" t="n">
        <f aca="false">IF($P4=0,"",$C4*L4/$P4)</f>
        <v>0</v>
      </c>
      <c r="Y4" s="15" t="n">
        <f aca="false">IF($P4=0,"",$C4*M4/$P4)</f>
        <v>0</v>
      </c>
      <c r="Z4" s="15" t="n">
        <f aca="false">IF($P4=0,"",$C4*N4/$P4)</f>
        <v>0</v>
      </c>
      <c r="AA4" s="15" t="n">
        <f aca="false">IF($P4=0,"",$C4*O4/$P4)</f>
        <v>0</v>
      </c>
      <c r="AB4" s="16" t="n">
        <f aca="false">SUM(Q4:AA4)</f>
        <v>0</v>
      </c>
      <c r="AC4" s="419"/>
      <c r="AD4" s="420"/>
      <c r="AE4" s="15" t="n">
        <f aca="false">IF($P4=0,"",S4*AE$159/$BP4/1000)</f>
        <v>0</v>
      </c>
      <c r="AF4" s="15" t="n">
        <f aca="false">IF($P4=0,"",T4*AF$159/$BP4/1000)</f>
        <v>0</v>
      </c>
      <c r="AG4" s="15" t="n">
        <f aca="false">IF($P4=0,"",U4*AG$159/$BP4/1000)</f>
        <v>0</v>
      </c>
      <c r="AH4" s="15" t="n">
        <f aca="false">IF($P4=0,"",V4*AH$159/$BP4/1000)</f>
        <v>0</v>
      </c>
      <c r="AI4" s="15" t="n">
        <f aca="false">IF($P4=0,"",W4*AI$159/$BP4/1000)</f>
        <v>0</v>
      </c>
      <c r="AJ4" s="15" t="n">
        <f aca="false">IF($P4=0,"",X4*AJ$159/$BP4/1000)</f>
        <v>0</v>
      </c>
      <c r="AK4" s="15" t="n">
        <f aca="false">IF($P4=0,"",Y4*AK$159/$BP4/1000)</f>
        <v>0</v>
      </c>
      <c r="AL4" s="15" t="n">
        <f aca="false">IF($P4=0,"",Z4*AL$159/$BP4/1000)</f>
        <v>0</v>
      </c>
      <c r="AM4" s="15" t="n">
        <f aca="false">IF($P4=0,"",AA4*AM$159/$BP4/1000)</f>
        <v>0</v>
      </c>
      <c r="AN4" s="15" t="n">
        <f aca="false">SUM(AC4:AM4)</f>
        <v>0</v>
      </c>
      <c r="AO4" s="15" t="n">
        <f aca="false">D4-AN4</f>
        <v>0</v>
      </c>
      <c r="AP4" s="421" t="n">
        <f aca="false">IF(D4=0,0,AO4/D4)</f>
        <v>0</v>
      </c>
      <c r="AQ4" s="75" t="n">
        <f aca="false">IF(AB4=0,0,AN4/AB4)*1000</f>
        <v>0</v>
      </c>
      <c r="AR4" s="340" t="n">
        <f aca="false">IF(C4=0,0,D4/C4)*1000</f>
        <v>0</v>
      </c>
      <c r="AS4" s="422" t="n">
        <f aca="false">IF($P4=0,"",Q4*1000/AS$159*$AD$159/14.696/$BP4/42)</f>
        <v>0</v>
      </c>
      <c r="AT4" s="15" t="n">
        <f aca="false">IF($P4=0,"",R4*1000/AT$159*$AD$159/14.696/$BP4/42)</f>
        <v>0</v>
      </c>
      <c r="AU4" s="15" t="n">
        <f aca="false">IF($P4=0,"",S4*1000/AU$159*$AD$159/14.696/$BP4/42)</f>
        <v>0</v>
      </c>
      <c r="AV4" s="15" t="n">
        <f aca="false">IF($P4=0,"",T4*1000/AV$159*$AD$159/14.696/$BP4/42)</f>
        <v>0</v>
      </c>
      <c r="AW4" s="15" t="n">
        <f aca="false">IF($P4=0,"",U4*1000/AW$159*$AD$159/14.696/$BP4/42)</f>
        <v>0</v>
      </c>
      <c r="AX4" s="15" t="n">
        <f aca="false">IF($P4=0,"",V4*1000/AX$159*$AD$159/14.696/$BP4/42)</f>
        <v>0</v>
      </c>
      <c r="AY4" s="15" t="n">
        <f aca="false">IF($P4=0,"",W4*1000/AY$159*$AD$159/14.696/$BP4/42)</f>
        <v>0</v>
      </c>
      <c r="AZ4" s="15" t="n">
        <f aca="false">IF($P4=0,"",X4*1000/AZ$159*$AD$159/14.696/$BP4/42)</f>
        <v>0</v>
      </c>
      <c r="BA4" s="15" t="n">
        <f aca="false">IF($P4=0,"",Y4*1000/BA$159*$AD$159/14.696/$BP4/42)</f>
        <v>0</v>
      </c>
      <c r="BB4" s="15" t="n">
        <f aca="false">IF($P4=0,"",Z4*1000/BB$159*$AD$159/14.696/$BP4/42)</f>
        <v>0</v>
      </c>
      <c r="BC4" s="15" t="n">
        <f aca="false">IF($P4=0,"",AA4*1000/BC$159*$AD$159/14.696/$BP4/42)</f>
        <v>0</v>
      </c>
      <c r="BD4" s="55" t="n">
        <f aca="false">SUM(AS4:BC4)</f>
        <v>0</v>
      </c>
      <c r="BE4" s="419" t="n">
        <f aca="false">IF($P4=0,"",E4/$P4*BE$159)</f>
        <v>3.3735E-005</v>
      </c>
      <c r="BF4" s="420" t="n">
        <f aca="false">IF($P4=0,"",F4/$P4*BF$159)</f>
        <v>2.57686E-005</v>
      </c>
      <c r="BG4" s="420" t="n">
        <f aca="false">IF($P4=0,"",G4/$P4*BG$159)</f>
        <v>0.009391592</v>
      </c>
      <c r="BH4" s="420" t="n">
        <f aca="false">IF($P4=0,"",H4/$P4*BH$159)</f>
        <v>0.002541364</v>
      </c>
      <c r="BI4" s="420" t="n">
        <f aca="false">IF($P4=0,"",I4/$P4*BI$159)</f>
        <v>0.001352606</v>
      </c>
      <c r="BJ4" s="420" t="n">
        <f aca="false">IF($P4=0,"",J4/$P4*BJ$159)</f>
        <v>0.00027342</v>
      </c>
      <c r="BK4" s="420" t="n">
        <f aca="false">IF($P4=0,"",K4/$P4*BK$159)</f>
        <v>0.00051183</v>
      </c>
      <c r="BL4" s="420" t="n">
        <f aca="false">IF($P4=0,"",L4/$P4*BL$159)</f>
        <v>0.000166464</v>
      </c>
      <c r="BM4" s="420" t="n">
        <f aca="false">IF($P4=0,"",M4/$P4*BM$159)</f>
        <v>0.000190284</v>
      </c>
      <c r="BN4" s="420" t="n">
        <f aca="false">IF($P4=0,"",N4/$P4*BN$159)</f>
        <v>0.0012039978</v>
      </c>
      <c r="BO4" s="420" t="n">
        <f aca="false">IF($P4=0,"",O4/$P4*BO$159)</f>
        <v>0</v>
      </c>
      <c r="BP4" s="418" t="n">
        <f aca="false">1-AD$159*(SUM(BE4:BO4))^2</f>
        <v>0.996393032174872</v>
      </c>
    </row>
    <row r="5" customFormat="false" ht="15" hidden="false" customHeight="false" outlineLevel="0" collapsed="false">
      <c r="A5" s="413" t="s">
        <v>30</v>
      </c>
      <c r="B5" s="414" t="s">
        <v>213</v>
      </c>
      <c r="C5" s="415" t="n">
        <v>0</v>
      </c>
      <c r="D5" s="416" t="n">
        <v>0</v>
      </c>
      <c r="E5" s="417" t="n">
        <v>0.1581</v>
      </c>
      <c r="F5" s="417" t="n">
        <v>2.7207</v>
      </c>
      <c r="G5" s="417" t="n">
        <v>79.9315</v>
      </c>
      <c r="H5" s="417" t="n">
        <v>10.7207</v>
      </c>
      <c r="I5" s="417" t="n">
        <v>3.6801</v>
      </c>
      <c r="J5" s="417" t="n">
        <v>0.5513</v>
      </c>
      <c r="K5" s="417" t="n">
        <v>0.9395</v>
      </c>
      <c r="L5" s="417" t="n">
        <v>0.2186</v>
      </c>
      <c r="M5" s="417" t="n">
        <v>0.2183</v>
      </c>
      <c r="N5" s="417" t="n">
        <v>0.4913</v>
      </c>
      <c r="O5" s="76"/>
      <c r="P5" s="423" t="n">
        <f aca="false">SUM(E5:O5)</f>
        <v>99.6301</v>
      </c>
      <c r="Q5" s="99" t="n">
        <f aca="false">IF($P5=0,"",$C5*E5/$P5)</f>
        <v>0</v>
      </c>
      <c r="R5" s="100" t="n">
        <f aca="false">IF($P5=0,"",$C5*F5/$P5)</f>
        <v>0</v>
      </c>
      <c r="S5" s="100" t="n">
        <f aca="false">IF($P5=0,"",$C5*G5/$P5)</f>
        <v>0</v>
      </c>
      <c r="T5" s="100" t="n">
        <f aca="false">IF($P5=0,"",$C5*H5/$P5)</f>
        <v>0</v>
      </c>
      <c r="U5" s="100" t="n">
        <f aca="false">IF($P5=0,"",$C5*I5/$P5)</f>
        <v>0</v>
      </c>
      <c r="V5" s="100" t="n">
        <f aca="false">IF($P5=0,"",$C5*J5/$P5)</f>
        <v>0</v>
      </c>
      <c r="W5" s="100" t="n">
        <f aca="false">IF($P5=0,"",$C5*K5/$P5)</f>
        <v>0</v>
      </c>
      <c r="X5" s="100" t="n">
        <f aca="false">IF($P5=0,"",$C5*L5/$P5)</f>
        <v>0</v>
      </c>
      <c r="Y5" s="100" t="n">
        <f aca="false">IF($P5=0,"",$C5*M5/$P5)</f>
        <v>0</v>
      </c>
      <c r="Z5" s="100" t="n">
        <f aca="false">IF($P5=0,"",$C5*N5/$P5)</f>
        <v>0</v>
      </c>
      <c r="AA5" s="100" t="n">
        <f aca="false">IF($P5=0,"",$C5*O5/$P5)</f>
        <v>0</v>
      </c>
      <c r="AB5" s="101" t="n">
        <f aca="false">SUM(Q5:AA5)</f>
        <v>0</v>
      </c>
      <c r="AC5" s="424"/>
      <c r="AD5" s="425"/>
      <c r="AE5" s="100" t="n">
        <f aca="false">IF($P5=0,"",S5*AE$159/$BP5/1000)</f>
        <v>0</v>
      </c>
      <c r="AF5" s="100" t="n">
        <f aca="false">IF($P5=0,"",T5*AF$159/$BP5/1000)</f>
        <v>0</v>
      </c>
      <c r="AG5" s="100" t="n">
        <f aca="false">IF($P5=0,"",U5*AG$159/$BP5/1000)</f>
        <v>0</v>
      </c>
      <c r="AH5" s="100" t="n">
        <f aca="false">IF($P5=0,"",V5*AH$159/$BP5/1000)</f>
        <v>0</v>
      </c>
      <c r="AI5" s="100" t="n">
        <f aca="false">IF($P5=0,"",W5*AI$159/$BP5/1000)</f>
        <v>0</v>
      </c>
      <c r="AJ5" s="100" t="n">
        <f aca="false">IF($P5=0,"",X5*AJ$159/$BP5/1000)</f>
        <v>0</v>
      </c>
      <c r="AK5" s="100" t="n">
        <f aca="false">IF($P5=0,"",Y5*AK$159/$BP5/1000)</f>
        <v>0</v>
      </c>
      <c r="AL5" s="100" t="n">
        <f aca="false">IF($P5=0,"",Z5*AL$159/$BP5/1000)</f>
        <v>0</v>
      </c>
      <c r="AM5" s="100" t="n">
        <f aca="false">IF($P5=0,"",AA5*AM$159/$BP5/1000)</f>
        <v>0</v>
      </c>
      <c r="AN5" s="100" t="n">
        <f aca="false">SUM(AC5:AM5)</f>
        <v>0</v>
      </c>
      <c r="AO5" s="100" t="n">
        <f aca="false">D5-AN5</f>
        <v>0</v>
      </c>
      <c r="AP5" s="426" t="n">
        <f aca="false">IF(D5=0,0,AO5/D5)</f>
        <v>0</v>
      </c>
      <c r="AQ5" s="427" t="n">
        <f aca="false">IF(AB5=0,0,AN5/AB5)*1000</f>
        <v>0</v>
      </c>
      <c r="AR5" s="428" t="n">
        <f aca="false">IF(C5=0,0,D5/C5)*1000</f>
        <v>0</v>
      </c>
      <c r="AS5" s="429" t="n">
        <f aca="false">IF($P5=0,"",Q5*1000/AS$159*$AD$159/14.696/$BP5/42)</f>
        <v>0</v>
      </c>
      <c r="AT5" s="100" t="n">
        <f aca="false">IF($P5=0,"",R5*1000/AT$159*$AD$159/14.696/$BP5/42)</f>
        <v>0</v>
      </c>
      <c r="AU5" s="100" t="n">
        <f aca="false">IF($P5=0,"",S5*1000/AU$159*$AD$159/14.696/$BP5/42)</f>
        <v>0</v>
      </c>
      <c r="AV5" s="100" t="n">
        <f aca="false">IF($P5=0,"",T5*1000/AV$159*$AD$159/14.696/$BP5/42)</f>
        <v>0</v>
      </c>
      <c r="AW5" s="100" t="n">
        <f aca="false">IF($P5=0,"",U5*1000/AW$159*$AD$159/14.696/$BP5/42)</f>
        <v>0</v>
      </c>
      <c r="AX5" s="100" t="n">
        <f aca="false">IF($P5=0,"",V5*1000/AX$159*$AD$159/14.696/$BP5/42)</f>
        <v>0</v>
      </c>
      <c r="AY5" s="100" t="n">
        <f aca="false">IF($P5=0,"",W5*1000/AY$159*$AD$159/14.696/$BP5/42)</f>
        <v>0</v>
      </c>
      <c r="AZ5" s="100" t="n">
        <f aca="false">IF($P5=0,"",X5*1000/AZ$159*$AD$159/14.696/$BP5/42)</f>
        <v>0</v>
      </c>
      <c r="BA5" s="100" t="n">
        <f aca="false">IF($P5=0,"",Y5*1000/BA$159*$AD$159/14.696/$BP5/42)</f>
        <v>0</v>
      </c>
      <c r="BB5" s="100" t="n">
        <f aca="false">IF($P5=0,"",Z5*1000/BB$159*$AD$159/14.696/$BP5/42)</f>
        <v>0</v>
      </c>
      <c r="BC5" s="100" t="n">
        <f aca="false">IF($P5=0,"",AA5*1000/BC$159*$AD$159/14.696/$BP5/42)</f>
        <v>0</v>
      </c>
      <c r="BD5" s="430" t="n">
        <f aca="false">SUM(AS5:BC5)</f>
        <v>0</v>
      </c>
      <c r="BE5" s="424" t="n">
        <f aca="false">IF($P5=0,"",E5/$P5*BE$159)</f>
        <v>3.09439617143815E-005</v>
      </c>
      <c r="BF5" s="425" t="n">
        <f aca="false">IF($P5=0,"",F5/$P5*BF$159)</f>
        <v>0.000120701414532355</v>
      </c>
      <c r="BG5" s="425" t="n">
        <f aca="false">IF($P5=0,"",G5/$P5*BG$159)</f>
        <v>0.00930647866458029</v>
      </c>
      <c r="BH5" s="425" t="n">
        <f aca="false">IF($P5=0,"",H5/$P5*BH$159)</f>
        <v>0.00256099973803098</v>
      </c>
      <c r="BI5" s="425" t="n">
        <f aca="false">IF($P5=0,"",I5/$P5*BI$159)</f>
        <v>0.0012817358408754</v>
      </c>
      <c r="BJ5" s="425" t="n">
        <f aca="false">IF($P5=0,"",J5/$P5*BJ$159)</f>
        <v>0.000244025951996435</v>
      </c>
      <c r="BK5" s="425" t="n">
        <f aca="false">IF($P5=0,"",K5/$P5*BK$159)</f>
        <v>0.000443204413124146</v>
      </c>
      <c r="BL5" s="425" t="n">
        <f aca="false">IF($P5=0,"",L5/$P5*BL$159)</f>
        <v>0.000126381083628341</v>
      </c>
      <c r="BM5" s="425" t="n">
        <f aca="false">IF($P5=0,"",M5/$P5*BM$159)</f>
        <v>0.000132780956759052</v>
      </c>
      <c r="BN5" s="425" t="n">
        <f aca="false">IF($P5=0,"",N5/$P5*BN$159)</f>
        <v>0.000425911255734964</v>
      </c>
      <c r="BO5" s="425" t="n">
        <f aca="false">IF($P5=0,"",O5/$P5*BO$159)</f>
        <v>0</v>
      </c>
      <c r="BP5" s="423" t="n">
        <f aca="false">1-AD$159*(SUM(BE5:BO5))^2</f>
        <v>0.996845829792182</v>
      </c>
    </row>
    <row r="6" customFormat="false" ht="15" hidden="false" customHeight="false" outlineLevel="0" collapsed="false">
      <c r="A6" s="413" t="s">
        <v>31</v>
      </c>
      <c r="B6" s="414" t="s">
        <v>214</v>
      </c>
      <c r="C6" s="415" t="n">
        <v>46376.34</v>
      </c>
      <c r="D6" s="416" t="n">
        <v>58016.8</v>
      </c>
      <c r="E6" s="417" t="n">
        <v>0.094</v>
      </c>
      <c r="F6" s="417" t="n">
        <v>0.589</v>
      </c>
      <c r="G6" s="417" t="n">
        <v>80.804</v>
      </c>
      <c r="H6" s="417" t="n">
        <v>10.688</v>
      </c>
      <c r="I6" s="417" t="n">
        <v>4.16</v>
      </c>
      <c r="J6" s="417" t="n">
        <v>0.697</v>
      </c>
      <c r="K6" s="417" t="n">
        <v>1.341</v>
      </c>
      <c r="L6" s="417" t="n">
        <v>0.376</v>
      </c>
      <c r="M6" s="417" t="n">
        <v>0.415</v>
      </c>
      <c r="N6" s="417" t="n">
        <v>0.836</v>
      </c>
      <c r="O6" s="76"/>
      <c r="P6" s="418" t="n">
        <f aca="false">SUM(E6:O6)</f>
        <v>100</v>
      </c>
      <c r="Q6" s="14" t="n">
        <f aca="false">IF($P6=0,"",$C6*E6/$P6)</f>
        <v>43.5937596</v>
      </c>
      <c r="R6" s="15" t="n">
        <f aca="false">IF($P6=0,"",$C6*F6/$P6)</f>
        <v>273.1566426</v>
      </c>
      <c r="S6" s="15" t="n">
        <f aca="false">IF($P6=0,"",$C6*G6/$P6)</f>
        <v>37473.9377736</v>
      </c>
      <c r="T6" s="15" t="n">
        <f aca="false">IF($P6=0,"",$C6*H6/$P6)</f>
        <v>4956.7032192</v>
      </c>
      <c r="U6" s="15" t="n">
        <f aca="false">IF($P6=0,"",$C6*I6/$P6)</f>
        <v>1929.255744</v>
      </c>
      <c r="V6" s="15" t="n">
        <f aca="false">IF($P6=0,"",$C6*J6/$P6)</f>
        <v>323.2430898</v>
      </c>
      <c r="W6" s="15" t="n">
        <f aca="false">IF($P6=0,"",$C6*K6/$P6)</f>
        <v>621.9067194</v>
      </c>
      <c r="X6" s="15" t="n">
        <f aca="false">IF($P6=0,"",$C6*L6/$P6)</f>
        <v>174.3750384</v>
      </c>
      <c r="Y6" s="15" t="n">
        <f aca="false">IF($P6=0,"",$C6*M6/$P6)</f>
        <v>192.461811</v>
      </c>
      <c r="Z6" s="15" t="n">
        <f aca="false">IF($P6=0,"",$C6*N6/$P6)</f>
        <v>387.7062024</v>
      </c>
      <c r="AA6" s="15" t="n">
        <f aca="false">IF($P6=0,"",$C6*O6/$P6)</f>
        <v>0</v>
      </c>
      <c r="AB6" s="16" t="n">
        <f aca="false">SUM(Q6:AA6)</f>
        <v>46376.34</v>
      </c>
      <c r="AC6" s="419"/>
      <c r="AD6" s="420"/>
      <c r="AE6" s="15" t="n">
        <f aca="false">IF($P6=0,"",S6*AE$159/$BP6/1000)</f>
        <v>37862.5862308651</v>
      </c>
      <c r="AF6" s="15" t="n">
        <f aca="false">IF($P6=0,"",T6*AF$159/$BP6/1000)</f>
        <v>8775.6333811096</v>
      </c>
      <c r="AG6" s="15" t="n">
        <f aca="false">IF($P6=0,"",U6*AG$159/$BP6/1000)</f>
        <v>4856.12327218064</v>
      </c>
      <c r="AH6" s="15" t="n">
        <f aca="false">IF($P6=0,"",V6*AH$159/$BP6/1000)</f>
        <v>1051.57392249243</v>
      </c>
      <c r="AI6" s="15" t="n">
        <f aca="false">IF($P6=0,"",W6*AI$159/$BP6/1000)</f>
        <v>2029.67675445002</v>
      </c>
      <c r="AJ6" s="15" t="n">
        <f aca="false">IF($P6=0,"",X6*AJ$159/$BP6/1000)</f>
        <v>697.944294070807</v>
      </c>
      <c r="AK6" s="15" t="n">
        <f aca="false">IF($P6=0,"",Y6*AK$159/$BP6/1000)</f>
        <v>771.843979192444</v>
      </c>
      <c r="AL6" s="15" t="n">
        <f aca="false">IF($P6=0,"",Z6*AL$159/$BP6/1000)</f>
        <v>1989.45108839186</v>
      </c>
      <c r="AM6" s="15" t="n">
        <f aca="false">IF($P6=0,"",AA6*AM$159/$BP6/1000)</f>
        <v>0</v>
      </c>
      <c r="AN6" s="15" t="n">
        <f aca="false">SUM(AC6:AM6)</f>
        <v>58034.8329227529</v>
      </c>
      <c r="AO6" s="15" t="n">
        <f aca="false">D6-AN6</f>
        <v>-18.0329227528855</v>
      </c>
      <c r="AP6" s="421" t="n">
        <f aca="false">IF(D6=0,0,AO6/D6)</f>
        <v>-0.000310822429932114</v>
      </c>
      <c r="AQ6" s="75" t="n">
        <f aca="false">IF(AB6=0,0,AN6/AB6)*1000</f>
        <v>1251.38880995682</v>
      </c>
      <c r="AR6" s="340" t="n">
        <f aca="false">IF(C6=0,0,D6/C6)*1000</f>
        <v>1250.99997110596</v>
      </c>
      <c r="AS6" s="422" t="n">
        <f aca="false">IF($P6=0,"",Q6*1000/AS$159*$AD$159/14.696/$BP6/42)</f>
        <v>17.6755506454538</v>
      </c>
      <c r="AT6" s="15" t="n">
        <f aca="false">IF($P6=0,"",R6*1000/AT$159*$AD$159/14.696/$BP6/42)</f>
        <v>71.3981330037409</v>
      </c>
      <c r="AU6" s="15" t="n">
        <f aca="false">IF($P6=0,"",S6*1000/AU$159*$AD$159/14.696/$BP6/42)</f>
        <v>15093.4884449127</v>
      </c>
      <c r="AV6" s="15" t="n">
        <f aca="false">IF($P6=0,"",T6*1000/AV$159*$AD$159/14.696/$BP6/42)</f>
        <v>3149.39818930771</v>
      </c>
      <c r="AW6" s="15" t="n">
        <f aca="false">IF($P6=0,"",U6*1000/AW$159*$AD$159/14.696/$BP6/42)</f>
        <v>1262.76559395565</v>
      </c>
      <c r="AX6" s="15" t="n">
        <f aca="false">IF($P6=0,"",V6*1000/AX$159*$AD$159/14.696/$BP6/42)</f>
        <v>251.310098920102</v>
      </c>
      <c r="AY6" s="15" t="n">
        <f aca="false">IF($P6=0,"",W6*1000/AY$159*$AD$159/14.696/$BP6/42)</f>
        <v>465.812781048002</v>
      </c>
      <c r="AZ6" s="15" t="n">
        <f aca="false">IF($P6=0,"",X6*1000/AZ$159*$AD$159/14.696/$BP6/42)</f>
        <v>151.509141054618</v>
      </c>
      <c r="BA6" s="15" t="n">
        <f aca="false">IF($P6=0,"",Y6*1000/BA$159*$AD$159/14.696/$BP6/42)</f>
        <v>165.748926385194</v>
      </c>
      <c r="BB6" s="15" t="n">
        <f aca="false">IF($P6=0,"",Z6*1000/BB$159*$AD$159/14.696/$BP6/42)</f>
        <v>399.70768758385</v>
      </c>
      <c r="BC6" s="15" t="n">
        <f aca="false">IF($P6=0,"",AA6*1000/BC$159*$AD$159/14.696/$BP6/42)</f>
        <v>0</v>
      </c>
      <c r="BD6" s="55" t="n">
        <f aca="false">SUM(AS6:BC6)</f>
        <v>21028.814546817</v>
      </c>
      <c r="BE6" s="419" t="n">
        <f aca="false">IF($P6=0,"",E6/$P6*BE$159)</f>
        <v>1.833E-005</v>
      </c>
      <c r="BF6" s="420" t="n">
        <f aca="false">IF($P6=0,"",F6/$P6*BF$159)</f>
        <v>2.60338E-005</v>
      </c>
      <c r="BG6" s="420" t="n">
        <f aca="false">IF($P6=0,"",G6/$P6*BG$159)</f>
        <v>0.009373264</v>
      </c>
      <c r="BH6" s="420" t="n">
        <f aca="false">IF($P6=0,"",H6/$P6*BH$159)</f>
        <v>0.002543744</v>
      </c>
      <c r="BI6" s="420" t="n">
        <f aca="false">IF($P6=0,"",I6/$P6*BI$159)</f>
        <v>0.00144352</v>
      </c>
      <c r="BJ6" s="420" t="n">
        <f aca="false">IF($P6=0,"",J6/$P6*BJ$159)</f>
        <v>0.000307377</v>
      </c>
      <c r="BK6" s="420" t="n">
        <f aca="false">IF($P6=0,"",K6/$P6*BK$159)</f>
        <v>0.00063027</v>
      </c>
      <c r="BL6" s="420" t="n">
        <f aca="false">IF($P6=0,"",L6/$P6*BL$159)</f>
        <v>0.000216576</v>
      </c>
      <c r="BM6" s="420" t="n">
        <f aca="false">IF($P6=0,"",M6/$P6*BM$159)</f>
        <v>0.00025149</v>
      </c>
      <c r="BN6" s="420" t="n">
        <f aca="false">IF($P6=0,"",N6/$P6*BN$159)</f>
        <v>0.0007220532</v>
      </c>
      <c r="BO6" s="420" t="n">
        <f aca="false">IF($P6=0,"",O6/$P6*BO$159)</f>
        <v>0</v>
      </c>
      <c r="BP6" s="418" t="n">
        <f aca="false">1-AD$159*(SUM(BE6:BO6))^2</f>
        <v>0.996465490244416</v>
      </c>
    </row>
    <row r="7" customFormat="false" ht="15" hidden="false" customHeight="false" outlineLevel="0" collapsed="false">
      <c r="A7" s="413" t="s">
        <v>32</v>
      </c>
      <c r="B7" s="414" t="s">
        <v>215</v>
      </c>
      <c r="C7" s="415" t="n">
        <v>0</v>
      </c>
      <c r="D7" s="416" t="n">
        <v>0</v>
      </c>
      <c r="E7" s="417" t="n">
        <v>0.075</v>
      </c>
      <c r="F7" s="417" t="n">
        <v>0.598</v>
      </c>
      <c r="G7" s="417" t="n">
        <v>82.24</v>
      </c>
      <c r="H7" s="417" t="n">
        <v>10.975</v>
      </c>
      <c r="I7" s="417" t="n">
        <v>4.042</v>
      </c>
      <c r="J7" s="417" t="n">
        <v>0.592</v>
      </c>
      <c r="K7" s="417" t="n">
        <v>1</v>
      </c>
      <c r="L7" s="417" t="n">
        <v>0.176</v>
      </c>
      <c r="M7" s="417" t="n">
        <v>0.17</v>
      </c>
      <c r="N7" s="417" t="n">
        <v>0.132</v>
      </c>
      <c r="O7" s="76"/>
      <c r="P7" s="423" t="n">
        <f aca="false">SUM(E7:O7)</f>
        <v>100</v>
      </c>
      <c r="Q7" s="99" t="n">
        <f aca="false">IF($P7=0,"",$C7*E7/$P7)</f>
        <v>0</v>
      </c>
      <c r="R7" s="100" t="n">
        <f aca="false">IF($P7=0,"",$C7*F7/$P7)</f>
        <v>0</v>
      </c>
      <c r="S7" s="100" t="n">
        <f aca="false">IF($P7=0,"",$C7*G7/$P7)</f>
        <v>0</v>
      </c>
      <c r="T7" s="100" t="n">
        <f aca="false">IF($P7=0,"",$C7*H7/$P7)</f>
        <v>0</v>
      </c>
      <c r="U7" s="100" t="n">
        <f aca="false">IF($P7=0,"",$C7*I7/$P7)</f>
        <v>0</v>
      </c>
      <c r="V7" s="100" t="n">
        <f aca="false">IF($P7=0,"",$C7*J7/$P7)</f>
        <v>0</v>
      </c>
      <c r="W7" s="100" t="n">
        <f aca="false">IF($P7=0,"",$C7*K7/$P7)</f>
        <v>0</v>
      </c>
      <c r="X7" s="100" t="n">
        <f aca="false">IF($P7=0,"",$C7*L7/$P7)</f>
        <v>0</v>
      </c>
      <c r="Y7" s="100" t="n">
        <f aca="false">IF($P7=0,"",$C7*M7/$P7)</f>
        <v>0</v>
      </c>
      <c r="Z7" s="100" t="n">
        <f aca="false">IF($P7=0,"",$C7*N7/$P7)</f>
        <v>0</v>
      </c>
      <c r="AA7" s="100" t="n">
        <f aca="false">IF($P7=0,"",$C7*O7/$P7)</f>
        <v>0</v>
      </c>
      <c r="AB7" s="101" t="n">
        <f aca="false">SUM(Q7:AA7)</f>
        <v>0</v>
      </c>
      <c r="AC7" s="424"/>
      <c r="AD7" s="425"/>
      <c r="AE7" s="100" t="n">
        <f aca="false">IF($P7=0,"",S7*AE$159/$BP7/1000)</f>
        <v>0</v>
      </c>
      <c r="AF7" s="100" t="n">
        <f aca="false">IF($P7=0,"",T7*AF$159/$BP7/1000)</f>
        <v>0</v>
      </c>
      <c r="AG7" s="100" t="n">
        <f aca="false">IF($P7=0,"",U7*AG$159/$BP7/1000)</f>
        <v>0</v>
      </c>
      <c r="AH7" s="100" t="n">
        <f aca="false">IF($P7=0,"",V7*AH$159/$BP7/1000)</f>
        <v>0</v>
      </c>
      <c r="AI7" s="100" t="n">
        <f aca="false">IF($P7=0,"",W7*AI$159/$BP7/1000)</f>
        <v>0</v>
      </c>
      <c r="AJ7" s="100" t="n">
        <f aca="false">IF($P7=0,"",X7*AJ$159/$BP7/1000)</f>
        <v>0</v>
      </c>
      <c r="AK7" s="100" t="n">
        <f aca="false">IF($P7=0,"",Y7*AK$159/$BP7/1000)</f>
        <v>0</v>
      </c>
      <c r="AL7" s="100" t="n">
        <f aca="false">IF($P7=0,"",Z7*AL$159/$BP7/1000)</f>
        <v>0</v>
      </c>
      <c r="AM7" s="100" t="n">
        <f aca="false">IF($P7=0,"",AA7*AM$159/$BP7/1000)</f>
        <v>0</v>
      </c>
      <c r="AN7" s="100" t="n">
        <f aca="false">SUM(AC7:AM7)</f>
        <v>0</v>
      </c>
      <c r="AO7" s="100" t="n">
        <f aca="false">D7-AN7</f>
        <v>0</v>
      </c>
      <c r="AP7" s="426" t="n">
        <f aca="false">IF(D7=0,0,AO7/D7)</f>
        <v>0</v>
      </c>
      <c r="AQ7" s="427" t="n">
        <f aca="false">IF(AB7=0,0,AN7/AB7)*1000</f>
        <v>0</v>
      </c>
      <c r="AR7" s="428" t="n">
        <f aca="false">IF(C7=0,0,D7/C7)*1000</f>
        <v>0</v>
      </c>
      <c r="AS7" s="429" t="n">
        <f aca="false">IF($P7=0,"",Q7*1000/AS$159*$AD$159/14.696/$BP7/42)</f>
        <v>0</v>
      </c>
      <c r="AT7" s="100" t="n">
        <f aca="false">IF($P7=0,"",R7*1000/AT$159*$AD$159/14.696/$BP7/42)</f>
        <v>0</v>
      </c>
      <c r="AU7" s="100" t="n">
        <f aca="false">IF($P7=0,"",S7*1000/AU$159*$AD$159/14.696/$BP7/42)</f>
        <v>0</v>
      </c>
      <c r="AV7" s="100" t="n">
        <f aca="false">IF($P7=0,"",T7*1000/AV$159*$AD$159/14.696/$BP7/42)</f>
        <v>0</v>
      </c>
      <c r="AW7" s="100" t="n">
        <f aca="false">IF($P7=0,"",U7*1000/AW$159*$AD$159/14.696/$BP7/42)</f>
        <v>0</v>
      </c>
      <c r="AX7" s="100" t="n">
        <f aca="false">IF($P7=0,"",V7*1000/AX$159*$AD$159/14.696/$BP7/42)</f>
        <v>0</v>
      </c>
      <c r="AY7" s="100" t="n">
        <f aca="false">IF($P7=0,"",W7*1000/AY$159*$AD$159/14.696/$BP7/42)</f>
        <v>0</v>
      </c>
      <c r="AZ7" s="100" t="n">
        <f aca="false">IF($P7=0,"",X7*1000/AZ$159*$AD$159/14.696/$BP7/42)</f>
        <v>0</v>
      </c>
      <c r="BA7" s="100" t="n">
        <f aca="false">IF($P7=0,"",Y7*1000/BA$159*$AD$159/14.696/$BP7/42)</f>
        <v>0</v>
      </c>
      <c r="BB7" s="100" t="n">
        <f aca="false">IF($P7=0,"",Z7*1000/BB$159*$AD$159/14.696/$BP7/42)</f>
        <v>0</v>
      </c>
      <c r="BC7" s="100" t="n">
        <f aca="false">IF($P7=0,"",AA7*1000/BC$159*$AD$159/14.696/$BP7/42)</f>
        <v>0</v>
      </c>
      <c r="BD7" s="430" t="n">
        <f aca="false">SUM(AS7:BC7)</f>
        <v>0</v>
      </c>
      <c r="BE7" s="424" t="n">
        <f aca="false">IF($P7=0,"",E7/$P7*BE$159)</f>
        <v>1.4625E-005</v>
      </c>
      <c r="BF7" s="425" t="n">
        <f aca="false">IF($P7=0,"",F7/$P7*BF$159)</f>
        <v>2.64316E-005</v>
      </c>
      <c r="BG7" s="425" t="n">
        <f aca="false">IF($P7=0,"",G7/$P7*BG$159)</f>
        <v>0.00953984</v>
      </c>
      <c r="BH7" s="425" t="n">
        <f aca="false">IF($P7=0,"",H7/$P7*BH$159)</f>
        <v>0.00261205</v>
      </c>
      <c r="BI7" s="425" t="n">
        <f aca="false">IF($P7=0,"",I7/$P7*BI$159)</f>
        <v>0.001402574</v>
      </c>
      <c r="BJ7" s="425" t="n">
        <f aca="false">IF($P7=0,"",J7/$P7*BJ$159)</f>
        <v>0.000261072</v>
      </c>
      <c r="BK7" s="425" t="n">
        <f aca="false">IF($P7=0,"",K7/$P7*BK$159)</f>
        <v>0.00047</v>
      </c>
      <c r="BL7" s="425" t="n">
        <f aca="false">IF($P7=0,"",L7/$P7*BL$159)</f>
        <v>0.000101376</v>
      </c>
      <c r="BM7" s="425" t="n">
        <f aca="false">IF($P7=0,"",M7/$P7*BM$159)</f>
        <v>0.00010302</v>
      </c>
      <c r="BN7" s="425" t="n">
        <f aca="false">IF($P7=0,"",N7/$P7*BN$159)</f>
        <v>0.0001140084</v>
      </c>
      <c r="BO7" s="425" t="n">
        <f aca="false">IF($P7=0,"",O7/$P7*BO$159)</f>
        <v>0</v>
      </c>
      <c r="BP7" s="423" t="n">
        <f aca="false">1-AD$159*(SUM(BE7:BO7))^2</f>
        <v>0.996857927521045</v>
      </c>
    </row>
    <row r="8" customFormat="false" ht="15" hidden="false" customHeight="false" outlineLevel="0" collapsed="false">
      <c r="A8" s="413" t="s">
        <v>33</v>
      </c>
      <c r="B8" s="414" t="s">
        <v>216</v>
      </c>
      <c r="C8" s="415" t="n">
        <v>16278.35</v>
      </c>
      <c r="D8" s="416" t="n">
        <v>20543.28</v>
      </c>
      <c r="E8" s="417" t="n">
        <v>0.116</v>
      </c>
      <c r="F8" s="417" t="n">
        <v>0.607</v>
      </c>
      <c r="G8" s="417" t="n">
        <v>80.086</v>
      </c>
      <c r="H8" s="417" t="n">
        <v>10.925</v>
      </c>
      <c r="I8" s="417" t="n">
        <v>4.435</v>
      </c>
      <c r="J8" s="417" t="n">
        <v>0.702</v>
      </c>
      <c r="K8" s="417" t="n">
        <v>1.436</v>
      </c>
      <c r="L8" s="417" t="n">
        <v>0.363</v>
      </c>
      <c r="M8" s="417" t="n">
        <v>0.448</v>
      </c>
      <c r="N8" s="417" t="n">
        <v>0.882</v>
      </c>
      <c r="O8" s="76"/>
      <c r="P8" s="418" t="n">
        <f aca="false">SUM(E8:O8)</f>
        <v>100</v>
      </c>
      <c r="Q8" s="14" t="n">
        <f aca="false">IF($P8=0,"",$C8*E8/$P8)</f>
        <v>18.882886</v>
      </c>
      <c r="R8" s="15" t="n">
        <f aca="false">IF($P8=0,"",$C8*F8/$P8)</f>
        <v>98.8095845</v>
      </c>
      <c r="S8" s="15" t="n">
        <f aca="false">IF($P8=0,"",$C8*G8/$P8)</f>
        <v>13036.679381</v>
      </c>
      <c r="T8" s="15" t="n">
        <f aca="false">IF($P8=0,"",$C8*H8/$P8)</f>
        <v>1778.4097375</v>
      </c>
      <c r="U8" s="15" t="n">
        <f aca="false">IF($P8=0,"",$C8*I8/$P8)</f>
        <v>721.9448225</v>
      </c>
      <c r="V8" s="15" t="n">
        <f aca="false">IF($P8=0,"",$C8*J8/$P8)</f>
        <v>114.274017</v>
      </c>
      <c r="W8" s="15" t="n">
        <f aca="false">IF($P8=0,"",$C8*K8/$P8)</f>
        <v>233.757106</v>
      </c>
      <c r="X8" s="15" t="n">
        <f aca="false">IF($P8=0,"",$C8*L8/$P8)</f>
        <v>59.0904105</v>
      </c>
      <c r="Y8" s="15" t="n">
        <f aca="false">IF($P8=0,"",$C8*M8/$P8)</f>
        <v>72.927008</v>
      </c>
      <c r="Z8" s="15" t="n">
        <f aca="false">IF($P8=0,"",$C8*N8/$P8)</f>
        <v>143.575047</v>
      </c>
      <c r="AA8" s="15" t="n">
        <f aca="false">IF($P8=0,"",$C8*O8/$P8)</f>
        <v>0</v>
      </c>
      <c r="AB8" s="16" t="n">
        <f aca="false">SUM(Q8:AA8)</f>
        <v>16278.35</v>
      </c>
      <c r="AC8" s="419"/>
      <c r="AD8" s="420"/>
      <c r="AE8" s="15" t="n">
        <f aca="false">IF($P8=0,"",S8*AE$159/$BP8/1000)</f>
        <v>13172.9299023156</v>
      </c>
      <c r="AF8" s="15" t="n">
        <f aca="false">IF($P8=0,"",T8*AF$159/$BP8/1000)</f>
        <v>3148.84899669353</v>
      </c>
      <c r="AG8" s="15" t="n">
        <f aca="false">IF($P8=0,"",U8*AG$159/$BP8/1000)</f>
        <v>1817.34909398403</v>
      </c>
      <c r="AH8" s="15" t="n">
        <f aca="false">IF($P8=0,"",V8*AH$159/$BP8/1000)</f>
        <v>371.785548289416</v>
      </c>
      <c r="AI8" s="15" t="n">
        <f aca="false">IF($P8=0,"",W8*AI$159/$BP8/1000)</f>
        <v>762.958476539792</v>
      </c>
      <c r="AJ8" s="15" t="n">
        <f aca="false">IF($P8=0,"",X8*AJ$159/$BP8/1000)</f>
        <v>236.530910599691</v>
      </c>
      <c r="AK8" s="15" t="n">
        <f aca="false">IF($P8=0,"",Y8*AK$159/$BP8/1000)</f>
        <v>292.487830115352</v>
      </c>
      <c r="AL8" s="15" t="n">
        <f aca="false">IF($P8=0,"",Z8*AL$159/$BP8/1000)</f>
        <v>736.790362528673</v>
      </c>
      <c r="AM8" s="15" t="n">
        <f aca="false">IF($P8=0,"",AA8*AM$159/$BP8/1000)</f>
        <v>0</v>
      </c>
      <c r="AN8" s="15" t="n">
        <f aca="false">SUM(AC8:AM8)</f>
        <v>20539.6811210661</v>
      </c>
      <c r="AO8" s="15" t="n">
        <f aca="false">D8-AN8</f>
        <v>3.59887893388077</v>
      </c>
      <c r="AP8" s="421" t="n">
        <f aca="false">IF(D8=0,0,AO8/D8)</f>
        <v>0.000175185215500191</v>
      </c>
      <c r="AQ8" s="75" t="n">
        <f aca="false">IF(AB8=0,0,AN8/AB8)*1000</f>
        <v>1261.77905752525</v>
      </c>
      <c r="AR8" s="340" t="n">
        <f aca="false">IF(C8=0,0,D8/C8)*1000</f>
        <v>1262.00014129196</v>
      </c>
      <c r="AS8" s="422" t="n">
        <f aca="false">IF($P8=0,"",Q8*1000/AS$159*$AD$159/14.696/$BP8/42)</f>
        <v>7.65687311681722</v>
      </c>
      <c r="AT8" s="15" t="n">
        <f aca="false">IF($P8=0,"",R8*1000/AT$159*$AD$159/14.696/$BP8/42)</f>
        <v>25.8290607857734</v>
      </c>
      <c r="AU8" s="15" t="n">
        <f aca="false">IF($P8=0,"",S8*1000/AU$159*$AD$159/14.696/$BP8/42)</f>
        <v>5251.23836110715</v>
      </c>
      <c r="AV8" s="15" t="n">
        <f aca="false">IF($P8=0,"",T8*1000/AV$159*$AD$159/14.696/$BP8/42)</f>
        <v>1130.05852659448</v>
      </c>
      <c r="AW8" s="15" t="n">
        <f aca="false">IF($P8=0,"",U8*1000/AW$159*$AD$159/14.696/$BP8/42)</f>
        <v>472.575711007225</v>
      </c>
      <c r="AX8" s="15" t="n">
        <f aca="false">IF($P8=0,"",V8*1000/AX$159*$AD$159/14.696/$BP8/42)</f>
        <v>88.8510649790771</v>
      </c>
      <c r="AY8" s="15" t="n">
        <f aca="false">IF($P8=0,"",W8*1000/AY$159*$AD$159/14.696/$BP8/42)</f>
        <v>175.09970935123</v>
      </c>
      <c r="AZ8" s="15" t="n">
        <f aca="false">IF($P8=0,"",X8*1000/AZ$159*$AD$159/14.696/$BP8/42)</f>
        <v>51.345924599235</v>
      </c>
      <c r="BA8" s="15" t="n">
        <f aca="false">IF($P8=0,"",Y8*1000/BA$159*$AD$159/14.696/$BP8/42)</f>
        <v>62.8100304326752</v>
      </c>
      <c r="BB8" s="15" t="n">
        <f aca="false">IF($P8=0,"",Z8*1000/BB$159*$AD$159/14.696/$BP8/42)</f>
        <v>148.031169883376</v>
      </c>
      <c r="BC8" s="15" t="n">
        <f aca="false">IF($P8=0,"",AA8*1000/BC$159*$AD$159/14.696/$BP8/42)</f>
        <v>0</v>
      </c>
      <c r="BD8" s="55" t="n">
        <f aca="false">SUM(AS8:BC8)</f>
        <v>7413.49643185704</v>
      </c>
      <c r="BE8" s="419" t="n">
        <f aca="false">IF($P8=0,"",E8/$P8*BE$159)</f>
        <v>2.262E-005</v>
      </c>
      <c r="BF8" s="420" t="n">
        <f aca="false">IF($P8=0,"",F8/$P8*BF$159)</f>
        <v>2.68294E-005</v>
      </c>
      <c r="BG8" s="420" t="n">
        <f aca="false">IF($P8=0,"",G8/$P8*BG$159)</f>
        <v>0.009289976</v>
      </c>
      <c r="BH8" s="420" t="n">
        <f aca="false">IF($P8=0,"",H8/$P8*BH$159)</f>
        <v>0.00260015</v>
      </c>
      <c r="BI8" s="420" t="n">
        <f aca="false">IF($P8=0,"",I8/$P8*BI$159)</f>
        <v>0.001538945</v>
      </c>
      <c r="BJ8" s="420" t="n">
        <f aca="false">IF($P8=0,"",J8/$P8*BJ$159)</f>
        <v>0.000309582</v>
      </c>
      <c r="BK8" s="420" t="n">
        <f aca="false">IF($P8=0,"",K8/$P8*BK$159)</f>
        <v>0.00067492</v>
      </c>
      <c r="BL8" s="420" t="n">
        <f aca="false">IF($P8=0,"",L8/$P8*BL$159)</f>
        <v>0.000209088</v>
      </c>
      <c r="BM8" s="420" t="n">
        <f aca="false">IF($P8=0,"",M8/$P8*BM$159)</f>
        <v>0.000271488</v>
      </c>
      <c r="BN8" s="420" t="n">
        <f aca="false">IF($P8=0,"",N8/$P8*BN$159)</f>
        <v>0.0007617834</v>
      </c>
      <c r="BO8" s="420" t="n">
        <f aca="false">IF($P8=0,"",O8/$P8*BO$159)</f>
        <v>0</v>
      </c>
      <c r="BP8" s="418" t="n">
        <f aca="false">1-AD$159*(SUM(BE8:BO8))^2</f>
        <v>0.996386445393863</v>
      </c>
    </row>
    <row r="9" customFormat="false" ht="15" hidden="false" customHeight="false" outlineLevel="0" collapsed="false">
      <c r="A9" s="413" t="s">
        <v>34</v>
      </c>
      <c r="B9" s="414" t="s">
        <v>217</v>
      </c>
      <c r="C9" s="415" t="n">
        <v>12576.36</v>
      </c>
      <c r="D9" s="416" t="n">
        <v>15619.84</v>
      </c>
      <c r="E9" s="417" t="n">
        <v>0.106</v>
      </c>
      <c r="F9" s="417" t="n">
        <v>0.649</v>
      </c>
      <c r="G9" s="417" t="n">
        <v>80.641</v>
      </c>
      <c r="H9" s="417" t="n">
        <v>10.992</v>
      </c>
      <c r="I9" s="417" t="n">
        <v>4.336</v>
      </c>
      <c r="J9" s="417" t="n">
        <v>0.668</v>
      </c>
      <c r="K9" s="417" t="n">
        <v>1.343</v>
      </c>
      <c r="L9" s="417" t="n">
        <v>0.308</v>
      </c>
      <c r="M9" s="417" t="n">
        <v>0.352</v>
      </c>
      <c r="N9" s="417" t="n">
        <v>0.605</v>
      </c>
      <c r="O9" s="76"/>
      <c r="P9" s="423" t="n">
        <f aca="false">SUM(E9:O9)</f>
        <v>100</v>
      </c>
      <c r="Q9" s="99" t="n">
        <f aca="false">IF($P9=0,"",$C9*E9/$P9)</f>
        <v>13.3309416</v>
      </c>
      <c r="R9" s="100" t="n">
        <f aca="false">IF($P9=0,"",$C9*F9/$P9)</f>
        <v>81.6205764</v>
      </c>
      <c r="S9" s="100" t="n">
        <f aca="false">IF($P9=0,"",$C9*G9/$P9)</f>
        <v>10141.7024676</v>
      </c>
      <c r="T9" s="100" t="n">
        <f aca="false">IF($P9=0,"",$C9*H9/$P9)</f>
        <v>1382.3934912</v>
      </c>
      <c r="U9" s="100" t="n">
        <f aca="false">IF($P9=0,"",$C9*I9/$P9)</f>
        <v>545.3109696</v>
      </c>
      <c r="V9" s="100" t="n">
        <f aca="false">IF($P9=0,"",$C9*J9/$P9)</f>
        <v>84.0100848</v>
      </c>
      <c r="W9" s="100" t="n">
        <f aca="false">IF($P9=0,"",$C9*K9/$P9)</f>
        <v>168.9005148</v>
      </c>
      <c r="X9" s="100" t="n">
        <f aca="false">IF($P9=0,"",$C9*L9/$P9)</f>
        <v>38.7351888</v>
      </c>
      <c r="Y9" s="100" t="n">
        <f aca="false">IF($P9=0,"",$C9*M9/$P9)</f>
        <v>44.2687872</v>
      </c>
      <c r="Z9" s="100" t="n">
        <f aca="false">IF($P9=0,"",$C9*N9/$P9)</f>
        <v>76.086978</v>
      </c>
      <c r="AA9" s="100" t="n">
        <f aca="false">IF($P9=0,"",$C9*O9/$P9)</f>
        <v>0</v>
      </c>
      <c r="AB9" s="101" t="n">
        <f aca="false">SUM(Q9:AA9)</f>
        <v>12576.36</v>
      </c>
      <c r="AC9" s="424"/>
      <c r="AD9" s="425"/>
      <c r="AE9" s="100" t="n">
        <f aca="false">IF($P9=0,"",S9*AE$159/$BP9/1000)</f>
        <v>10246.0962698142</v>
      </c>
      <c r="AF9" s="100" t="n">
        <f aca="false">IF($P9=0,"",T9*AF$159/$BP9/1000)</f>
        <v>2447.28111003329</v>
      </c>
      <c r="AG9" s="100" t="n">
        <f aca="false">IF($P9=0,"",U9*AG$159/$BP9/1000)</f>
        <v>1372.4949576382</v>
      </c>
      <c r="AH9" s="100" t="n">
        <f aca="false">IF($P9=0,"",V9*AH$159/$BP9/1000)</f>
        <v>273.280475096058</v>
      </c>
      <c r="AI9" s="100" t="n">
        <f aca="false">IF($P9=0,"",W9*AI$159/$BP9/1000)</f>
        <v>551.187328246044</v>
      </c>
      <c r="AJ9" s="100" t="n">
        <f aca="false">IF($P9=0,"",X9*AJ$159/$BP9/1000)</f>
        <v>155.027500373095</v>
      </c>
      <c r="AK9" s="100" t="n">
        <f aca="false">IF($P9=0,"",Y9*AK$159/$BP9/1000)</f>
        <v>177.520780833263</v>
      </c>
      <c r="AL9" s="100" t="n">
        <f aca="false">IF($P9=0,"",Z9*AL$159/$BP9/1000)</f>
        <v>390.397902308874</v>
      </c>
      <c r="AM9" s="100" t="n">
        <f aca="false">IF($P9=0,"",AA9*AM$159/$BP9/1000)</f>
        <v>0</v>
      </c>
      <c r="AN9" s="100" t="n">
        <f aca="false">SUM(AC9:AM9)</f>
        <v>15613.2863243431</v>
      </c>
      <c r="AO9" s="100" t="n">
        <f aca="false">D9-AN9</f>
        <v>6.55367565693086</v>
      </c>
      <c r="AP9" s="426" t="n">
        <f aca="false">IF(D9=0,0,AO9/D9)</f>
        <v>0.000419573802095979</v>
      </c>
      <c r="AQ9" s="427" t="n">
        <f aca="false">IF(AB9=0,0,AN9/AB9)*1000</f>
        <v>1241.47895928099</v>
      </c>
      <c r="AR9" s="428" t="n">
        <f aca="false">IF(C9=0,0,D9/C9)*1000</f>
        <v>1242.00006997255</v>
      </c>
      <c r="AS9" s="429" t="n">
        <f aca="false">IF($P9=0,"",Q9*1000/AS$159*$AD$159/14.696/$BP9/42)</f>
        <v>5.40475579501042</v>
      </c>
      <c r="AT9" s="100" t="n">
        <f aca="false">IF($P9=0,"",R9*1000/AT$159*$AD$159/14.696/$BP9/42)</f>
        <v>21.3324810978047</v>
      </c>
      <c r="AU9" s="100" t="n">
        <f aca="false">IF($P9=0,"",S9*1000/AU$159*$AD$159/14.696/$BP9/42)</f>
        <v>4084.489493426</v>
      </c>
      <c r="AV9" s="100" t="n">
        <f aca="false">IF($P9=0,"",T9*1000/AV$159*$AD$159/14.696/$BP9/42)</f>
        <v>878.279932848708</v>
      </c>
      <c r="AW9" s="100" t="n">
        <f aca="false">IF($P9=0,"",U9*1000/AW$159*$AD$159/14.696/$BP9/42)</f>
        <v>356.897737813166</v>
      </c>
      <c r="AX9" s="100" t="n">
        <f aca="false">IF($P9=0,"",V9*1000/AX$159*$AD$159/14.696/$BP9/42)</f>
        <v>65.3098576907869</v>
      </c>
      <c r="AY9" s="100" t="n">
        <f aca="false">IF($P9=0,"",W9*1000/AY$159*$AD$159/14.696/$BP9/42)</f>
        <v>126.498025700786</v>
      </c>
      <c r="AZ9" s="100" t="n">
        <f aca="false">IF($P9=0,"",X9*1000/AZ$159*$AD$159/14.696/$BP9/42)</f>
        <v>33.6532351090319</v>
      </c>
      <c r="BA9" s="100" t="n">
        <f aca="false">IF($P9=0,"",Y9*1000/BA$159*$AD$159/14.696/$BP9/42)</f>
        <v>38.1215370300094</v>
      </c>
      <c r="BB9" s="100" t="n">
        <f aca="false">IF($P9=0,"",Z9*1000/BB$159*$AD$159/14.696/$BP9/42)</f>
        <v>78.4362298123161</v>
      </c>
      <c r="BC9" s="100" t="n">
        <f aca="false">IF($P9=0,"",AA9*1000/BC$159*$AD$159/14.696/$BP9/42)</f>
        <v>0</v>
      </c>
      <c r="BD9" s="430" t="n">
        <f aca="false">SUM(AS9:BC9)</f>
        <v>5688.42328632362</v>
      </c>
      <c r="BE9" s="424" t="n">
        <f aca="false">IF($P9=0,"",E9/$P9*BE$159)</f>
        <v>2.067E-005</v>
      </c>
      <c r="BF9" s="425" t="n">
        <f aca="false">IF($P9=0,"",F9/$P9*BF$159)</f>
        <v>2.86858E-005</v>
      </c>
      <c r="BG9" s="425" t="n">
        <f aca="false">IF($P9=0,"",G9/$P9*BG$159)</f>
        <v>0.009354356</v>
      </c>
      <c r="BH9" s="425" t="n">
        <f aca="false">IF($P9=0,"",H9/$P9*BH$159)</f>
        <v>0.002616096</v>
      </c>
      <c r="BI9" s="425" t="n">
        <f aca="false">IF($P9=0,"",I9/$P9*BI$159)</f>
        <v>0.001504592</v>
      </c>
      <c r="BJ9" s="425" t="n">
        <f aca="false">IF($P9=0,"",J9/$P9*BJ$159)</f>
        <v>0.000294588</v>
      </c>
      <c r="BK9" s="425" t="n">
        <f aca="false">IF($P9=0,"",K9/$P9*BK$159)</f>
        <v>0.00063121</v>
      </c>
      <c r="BL9" s="425" t="n">
        <f aca="false">IF($P9=0,"",L9/$P9*BL$159)</f>
        <v>0.000177408</v>
      </c>
      <c r="BM9" s="425" t="n">
        <f aca="false">IF($P9=0,"",M9/$P9*BM$159)</f>
        <v>0.000213312</v>
      </c>
      <c r="BN9" s="425" t="n">
        <f aca="false">IF($P9=0,"",N9/$P9*BN$159)</f>
        <v>0.0005225385</v>
      </c>
      <c r="BO9" s="425" t="n">
        <f aca="false">IF($P9=0,"",O9/$P9*BO$159)</f>
        <v>0</v>
      </c>
      <c r="BP9" s="423" t="n">
        <f aca="false">1-AD$159*(SUM(BE9:BO9))^2</f>
        <v>0.996542075684089</v>
      </c>
    </row>
    <row r="10" customFormat="false" ht="15" hidden="false" customHeight="false" outlineLevel="0" collapsed="false">
      <c r="A10" s="413" t="s">
        <v>35</v>
      </c>
      <c r="B10" s="414" t="s">
        <v>218</v>
      </c>
      <c r="C10" s="415" t="n">
        <v>24861.69</v>
      </c>
      <c r="D10" s="416" t="n">
        <v>32195.89</v>
      </c>
      <c r="E10" s="431" t="n">
        <v>0.103</v>
      </c>
      <c r="F10" s="431" t="n">
        <v>0.585</v>
      </c>
      <c r="G10" s="431" t="n">
        <v>79.578</v>
      </c>
      <c r="H10" s="431" t="n">
        <v>11.038</v>
      </c>
      <c r="I10" s="431" t="n">
        <v>4.435</v>
      </c>
      <c r="J10" s="431" t="n">
        <v>0.776</v>
      </c>
      <c r="K10" s="431" t="n">
        <v>1.517</v>
      </c>
      <c r="L10" s="431" t="n">
        <v>0.431</v>
      </c>
      <c r="M10" s="431" t="n">
        <v>0.493</v>
      </c>
      <c r="N10" s="431" t="n">
        <v>1.044</v>
      </c>
      <c r="O10" s="76"/>
      <c r="P10" s="418" t="n">
        <f aca="false">SUM(E10:O10)</f>
        <v>100</v>
      </c>
      <c r="Q10" s="14" t="n">
        <f aca="false">IF($P10=0,"",$C10*E10/$P10)</f>
        <v>25.6075407</v>
      </c>
      <c r="R10" s="15" t="n">
        <f aca="false">IF($P10=0,"",$C10*F10/$P10)</f>
        <v>145.4408865</v>
      </c>
      <c r="S10" s="15" t="n">
        <f aca="false">IF($P10=0,"",$C10*G10/$P10)</f>
        <v>19784.4356682</v>
      </c>
      <c r="T10" s="15" t="n">
        <f aca="false">IF($P10=0,"",$C10*H10/$P10)</f>
        <v>2744.2333422</v>
      </c>
      <c r="U10" s="15" t="n">
        <f aca="false">IF($P10=0,"",$C10*I10/$P10)</f>
        <v>1102.6159515</v>
      </c>
      <c r="V10" s="15" t="n">
        <f aca="false">IF($P10=0,"",$C10*J10/$P10)</f>
        <v>192.9267144</v>
      </c>
      <c r="W10" s="15" t="n">
        <f aca="false">IF($P10=0,"",$C10*K10/$P10)</f>
        <v>377.1518373</v>
      </c>
      <c r="X10" s="15" t="n">
        <f aca="false">IF($P10=0,"",$C10*L10/$P10)</f>
        <v>107.1538839</v>
      </c>
      <c r="Y10" s="15" t="n">
        <f aca="false">IF($P10=0,"",$C10*M10/$P10)</f>
        <v>122.5681317</v>
      </c>
      <c r="Z10" s="15" t="n">
        <f aca="false">IF($P10=0,"",$C10*N10/$P10)</f>
        <v>259.5560436</v>
      </c>
      <c r="AA10" s="15" t="n">
        <f aca="false">IF($P10=0,"",$C10*O10/$P10)</f>
        <v>0</v>
      </c>
      <c r="AB10" s="16" t="n">
        <f aca="false">SUM(Q10:AA10)</f>
        <v>24861.69</v>
      </c>
      <c r="AC10" s="419"/>
      <c r="AD10" s="420"/>
      <c r="AE10" s="15" t="n">
        <f aca="false">IF($P10=0,"",S10*AE$159/$BP10/1000)</f>
        <v>19993.4564297194</v>
      </c>
      <c r="AF10" s="15" t="n">
        <f aca="false">IF($P10=0,"",T10*AF$159/$BP10/1000)</f>
        <v>4859.48069511358</v>
      </c>
      <c r="AG10" s="15" t="n">
        <f aca="false">IF($P10=0,"",U10*AG$159/$BP10/1000)</f>
        <v>2775.92316696555</v>
      </c>
      <c r="AH10" s="15" t="n">
        <f aca="false">IF($P10=0,"",V10*AH$159/$BP10/1000)</f>
        <v>627.749240543178</v>
      </c>
      <c r="AI10" s="15" t="n">
        <f aca="false">IF($P10=0,"",W10*AI$159/$BP10/1000)</f>
        <v>1231.12209561341</v>
      </c>
      <c r="AJ10" s="15" t="n">
        <f aca="false">IF($P10=0,"",X10*AJ$159/$BP10/1000)</f>
        <v>428.970701859618</v>
      </c>
      <c r="AK10" s="15" t="n">
        <f aca="false">IF($P10=0,"",Y10*AK$159/$BP10/1000)</f>
        <v>491.638390749824</v>
      </c>
      <c r="AL10" s="15" t="n">
        <f aca="false">IF($P10=0,"",Z10*AL$159/$BP10/1000)</f>
        <v>1332.12485839418</v>
      </c>
      <c r="AM10" s="15" t="n">
        <f aca="false">IF($P10=0,"",AA10*AM$159/$BP10/1000)</f>
        <v>0</v>
      </c>
      <c r="AN10" s="15" t="n">
        <f aca="false">SUM(AC10:AM10)</f>
        <v>31740.4655789588</v>
      </c>
      <c r="AO10" s="15" t="n">
        <f aca="false">D10-AN10</f>
        <v>455.424421041225</v>
      </c>
      <c r="AP10" s="421" t="n">
        <f aca="false">IF(D10=0,0,AO10/D10)</f>
        <v>0.0141454210783185</v>
      </c>
      <c r="AQ10" s="75" t="n">
        <f aca="false">IF(AB10=0,0,AN10/AB10)*1000</f>
        <v>1276.68173720124</v>
      </c>
      <c r="AR10" s="340" t="n">
        <f aca="false">IF(C10=0,0,D10/C10)*1000</f>
        <v>1295.00005832266</v>
      </c>
      <c r="AS10" s="422" t="n">
        <f aca="false">IF($P10=0,"",Q10*1000/AS$159*$AD$159/14.696/$BP10/42)</f>
        <v>10.3848390133589</v>
      </c>
      <c r="AT10" s="15" t="n">
        <f aca="false">IF($P10=0,"",R10*1000/AT$159*$AD$159/14.696/$BP10/42)</f>
        <v>38.0228680065388</v>
      </c>
      <c r="AU10" s="15" t="n">
        <f aca="false">IF($P10=0,"",S10*1000/AU$159*$AD$159/14.696/$BP10/42)</f>
        <v>7970.16352120808</v>
      </c>
      <c r="AV10" s="15" t="n">
        <f aca="false">IF($P10=0,"",T10*1000/AV$159*$AD$159/14.696/$BP10/42)</f>
        <v>1743.96981249362</v>
      </c>
      <c r="AW10" s="15" t="n">
        <f aca="false">IF($P10=0,"",U10*1000/AW$159*$AD$159/14.696/$BP10/42)</f>
        <v>721.83922652656</v>
      </c>
      <c r="AX10" s="15" t="n">
        <f aca="false">IF($P10=0,"",V10*1000/AX$159*$AD$159/14.696/$BP10/42)</f>
        <v>150.02247617933</v>
      </c>
      <c r="AY10" s="15" t="n">
        <f aca="false">IF($P10=0,"",W10*1000/AY$159*$AD$159/14.696/$BP10/42)</f>
        <v>282.543713381947</v>
      </c>
      <c r="AZ10" s="15" t="n">
        <f aca="false">IF($P10=0,"",X10*1000/AZ$159*$AD$159/14.696/$BP10/42)</f>
        <v>93.120587314027</v>
      </c>
      <c r="BA10" s="15" t="n">
        <f aca="false">IF($P10=0,"",Y10*1000/BA$159*$AD$159/14.696/$BP10/42)</f>
        <v>105.576434659484</v>
      </c>
      <c r="BB10" s="15" t="n">
        <f aca="false">IF($P10=0,"",Z10*1000/BB$159*$AD$159/14.696/$BP10/42)</f>
        <v>267.641938939101</v>
      </c>
      <c r="BC10" s="15" t="n">
        <f aca="false">IF($P10=0,"",AA10*1000/BC$159*$AD$159/14.696/$BP10/42)</f>
        <v>0</v>
      </c>
      <c r="BD10" s="55" t="n">
        <f aca="false">SUM(AS10:BC10)</f>
        <v>11383.285417722</v>
      </c>
      <c r="BE10" s="419" t="n">
        <f aca="false">IF($P10=0,"",E10/$P10*BE$159)</f>
        <v>2.0085E-005</v>
      </c>
      <c r="BF10" s="420" t="n">
        <f aca="false">IF($P10=0,"",F10/$P10*BF$159)</f>
        <v>2.5857E-005</v>
      </c>
      <c r="BG10" s="420" t="n">
        <f aca="false">IF($P10=0,"",G10/$P10*BG$159)</f>
        <v>0.009231048</v>
      </c>
      <c r="BH10" s="420" t="n">
        <f aca="false">IF($P10=0,"",H10/$P10*BH$159)</f>
        <v>0.002627044</v>
      </c>
      <c r="BI10" s="420" t="n">
        <f aca="false">IF($P10=0,"",I10/$P10*BI$159)</f>
        <v>0.001538945</v>
      </c>
      <c r="BJ10" s="420" t="n">
        <f aca="false">IF($P10=0,"",J10/$P10*BJ$159)</f>
        <v>0.000342216</v>
      </c>
      <c r="BK10" s="420" t="n">
        <f aca="false">IF($P10=0,"",K10/$P10*BK$159)</f>
        <v>0.00071299</v>
      </c>
      <c r="BL10" s="420" t="n">
        <f aca="false">IF($P10=0,"",L10/$P10*BL$159)</f>
        <v>0.000248256</v>
      </c>
      <c r="BM10" s="420" t="n">
        <f aca="false">IF($P10=0,"",M10/$P10*BM$159)</f>
        <v>0.000298758</v>
      </c>
      <c r="BN10" s="420" t="n">
        <f aca="false">IF($P10=0,"",N10/$P10*BN$159)</f>
        <v>0.000901702800000001</v>
      </c>
      <c r="BO10" s="420" t="n">
        <f aca="false">IF($P10=0,"",O10/$P10*BO$159)</f>
        <v>0</v>
      </c>
      <c r="BP10" s="418" t="n">
        <f aca="false">1-AD$159*(SUM(BE10:BO10))^2</f>
        <v>0.996274451131674</v>
      </c>
    </row>
    <row r="11" customFormat="false" ht="15" hidden="false" customHeight="false" outlineLevel="0" collapsed="false">
      <c r="A11" s="413" t="s">
        <v>36</v>
      </c>
      <c r="B11" s="414" t="s">
        <v>219</v>
      </c>
      <c r="C11" s="415" t="n">
        <v>8689.66</v>
      </c>
      <c r="D11" s="416" t="n">
        <v>10670.91</v>
      </c>
      <c r="E11" s="417" t="n">
        <v>0.063</v>
      </c>
      <c r="F11" s="417" t="n">
        <v>1.904</v>
      </c>
      <c r="G11" s="417" t="n">
        <v>79.513</v>
      </c>
      <c r="H11" s="417" t="n">
        <v>10.982</v>
      </c>
      <c r="I11" s="417" t="n">
        <v>4.229</v>
      </c>
      <c r="J11" s="417" t="n">
        <v>0.698</v>
      </c>
      <c r="K11" s="417" t="n">
        <v>1.331</v>
      </c>
      <c r="L11" s="417" t="n">
        <v>0.336</v>
      </c>
      <c r="M11" s="417" t="n">
        <v>0.371</v>
      </c>
      <c r="N11" s="417" t="n">
        <v>0.573</v>
      </c>
      <c r="O11" s="76"/>
      <c r="P11" s="423" t="n">
        <f aca="false">SUM(E11:O11)</f>
        <v>100</v>
      </c>
      <c r="Q11" s="99" t="n">
        <f aca="false">IF($P11=0,"",$C11*E11/$P11)</f>
        <v>5.4744858</v>
      </c>
      <c r="R11" s="100" t="n">
        <f aca="false">IF($P11=0,"",$C11*F11/$P11)</f>
        <v>165.4511264</v>
      </c>
      <c r="S11" s="100" t="n">
        <f aca="false">IF($P11=0,"",$C11*G11/$P11)</f>
        <v>6909.4093558</v>
      </c>
      <c r="T11" s="100" t="n">
        <f aca="false">IF($P11=0,"",$C11*H11/$P11)</f>
        <v>954.2984612</v>
      </c>
      <c r="U11" s="100" t="n">
        <f aca="false">IF($P11=0,"",$C11*I11/$P11)</f>
        <v>367.4857214</v>
      </c>
      <c r="V11" s="100" t="n">
        <f aca="false">IF($P11=0,"",$C11*J11/$P11)</f>
        <v>60.6538268</v>
      </c>
      <c r="W11" s="100" t="n">
        <f aca="false">IF($P11=0,"",$C11*K11/$P11)</f>
        <v>115.6593746</v>
      </c>
      <c r="X11" s="100" t="n">
        <f aca="false">IF($P11=0,"",$C11*L11/$P11)</f>
        <v>29.1972576</v>
      </c>
      <c r="Y11" s="100" t="n">
        <f aca="false">IF($P11=0,"",$C11*M11/$P11)</f>
        <v>32.2386386</v>
      </c>
      <c r="Z11" s="100" t="n">
        <f aca="false">IF($P11=0,"",$C11*N11/$P11)</f>
        <v>49.7917518</v>
      </c>
      <c r="AA11" s="100" t="n">
        <f aca="false">IF($P11=0,"",$C11*O11/$P11)</f>
        <v>0</v>
      </c>
      <c r="AB11" s="101" t="n">
        <f aca="false">SUM(Q11:AA11)</f>
        <v>8689.66</v>
      </c>
      <c r="AC11" s="424"/>
      <c r="AD11" s="425"/>
      <c r="AE11" s="100" t="n">
        <f aca="false">IF($P11=0,"",S11*AE$159/$BP11/1000)</f>
        <v>6980.16812888932</v>
      </c>
      <c r="AF11" s="100" t="n">
        <f aca="false">IF($P11=0,"",T11*AF$159/$BP11/1000)</f>
        <v>1689.32727546653</v>
      </c>
      <c r="AG11" s="100" t="n">
        <f aca="false">IF($P11=0,"",U11*AG$159/$BP11/1000)</f>
        <v>924.877865053153</v>
      </c>
      <c r="AH11" s="100" t="n">
        <f aca="false">IF($P11=0,"",V11*AH$159/$BP11/1000)</f>
        <v>197.293501524004</v>
      </c>
      <c r="AI11" s="100" t="n">
        <f aca="false">IF($P11=0,"",W11*AI$159/$BP11/1000)</f>
        <v>377.421367526646</v>
      </c>
      <c r="AJ11" s="100" t="n">
        <f aca="false">IF($P11=0,"",X11*AJ$159/$BP11/1000)</f>
        <v>116.8483332734</v>
      </c>
      <c r="AK11" s="100" t="n">
        <f aca="false">IF($P11=0,"",Y11*AK$159/$BP11/1000)</f>
        <v>129.272355453939</v>
      </c>
      <c r="AL11" s="100" t="n">
        <f aca="false">IF($P11=0,"",Z11*AL$159/$BP11/1000)</f>
        <v>255.465312485376</v>
      </c>
      <c r="AM11" s="100" t="n">
        <f aca="false">IF($P11=0,"",AA11*AM$159/$BP11/1000)</f>
        <v>0</v>
      </c>
      <c r="AN11" s="100" t="n">
        <f aca="false">SUM(AC11:AM11)</f>
        <v>10670.6741396724</v>
      </c>
      <c r="AO11" s="100" t="n">
        <f aca="false">D11-AN11</f>
        <v>0.235860327635237</v>
      </c>
      <c r="AP11" s="426" t="n">
        <f aca="false">IF(D11=0,0,AO11/D11)</f>
        <v>2.21031128212343E-005</v>
      </c>
      <c r="AQ11" s="427" t="n">
        <f aca="false">IF(AB11=0,0,AN11/AB11)*1000</f>
        <v>1227.97372275467</v>
      </c>
      <c r="AR11" s="428" t="n">
        <f aca="false">IF(C11=0,0,D11/C11)*1000</f>
        <v>1228.00086539634</v>
      </c>
      <c r="AS11" s="429" t="n">
        <f aca="false">IF($P11=0,"",Q11*1000/AS$159*$AD$159/14.696/$BP11/42)</f>
        <v>2.21940201763578</v>
      </c>
      <c r="AT11" s="100" t="n">
        <f aca="false">IF($P11=0,"",R11*1000/AT$159*$AD$159/14.696/$BP11/42)</f>
        <v>43.240313420469</v>
      </c>
      <c r="AU11" s="100" t="n">
        <f aca="false">IF($P11=0,"",S11*1000/AU$159*$AD$159/14.696/$BP11/42)</f>
        <v>2782.56446494547</v>
      </c>
      <c r="AV11" s="100" t="n">
        <f aca="false">IF($P11=0,"",T11*1000/AV$159*$AD$159/14.696/$BP11/42)</f>
        <v>606.265557304958</v>
      </c>
      <c r="AW11" s="100" t="n">
        <f aca="false">IF($P11=0,"",U11*1000/AW$159*$AD$159/14.696/$BP11/42)</f>
        <v>240.501297257191</v>
      </c>
      <c r="AX11" s="100" t="n">
        <f aca="false">IF($P11=0,"",V11*1000/AX$159*$AD$159/14.696/$BP11/42)</f>
        <v>47.1501321245894</v>
      </c>
      <c r="AY11" s="100" t="n">
        <f aca="false">IF($P11=0,"",W11*1000/AY$159*$AD$159/14.696/$BP11/42)</f>
        <v>86.618569409672</v>
      </c>
      <c r="AZ11" s="100" t="n">
        <f aca="false">IF($P11=0,"",X11*1000/AZ$159*$AD$159/14.696/$BP11/42)</f>
        <v>25.3653346811666</v>
      </c>
      <c r="BA11" s="100" t="n">
        <f aca="false">IF($P11=0,"",Y11*1000/BA$159*$AD$159/14.696/$BP11/42)</f>
        <v>27.7604732373421</v>
      </c>
      <c r="BB11" s="100" t="n">
        <f aca="false">IF($P11=0,"",Z11*1000/BB$159*$AD$159/14.696/$BP11/42)</f>
        <v>51.3264437146608</v>
      </c>
      <c r="BC11" s="100" t="n">
        <f aca="false">IF($P11=0,"",AA11*1000/BC$159*$AD$159/14.696/$BP11/42)</f>
        <v>0</v>
      </c>
      <c r="BD11" s="430" t="n">
        <f aca="false">SUM(AS11:BC11)</f>
        <v>3913.01198811316</v>
      </c>
      <c r="BE11" s="424" t="n">
        <f aca="false">IF($P11=0,"",E11/$P11*BE$159)</f>
        <v>1.2285E-005</v>
      </c>
      <c r="BF11" s="425" t="n">
        <f aca="false">IF($P11=0,"",F11/$P11*BF$159)</f>
        <v>8.41568E-005</v>
      </c>
      <c r="BG11" s="425" t="n">
        <f aca="false">IF($P11=0,"",G11/$P11*BG$159)</f>
        <v>0.009223508</v>
      </c>
      <c r="BH11" s="425" t="n">
        <f aca="false">IF($P11=0,"",H11/$P11*BH$159)</f>
        <v>0.002613716</v>
      </c>
      <c r="BI11" s="425" t="n">
        <f aca="false">IF($P11=0,"",I11/$P11*BI$159)</f>
        <v>0.001467463</v>
      </c>
      <c r="BJ11" s="425" t="n">
        <f aca="false">IF($P11=0,"",J11/$P11*BJ$159)</f>
        <v>0.000307818</v>
      </c>
      <c r="BK11" s="425" t="n">
        <f aca="false">IF($P11=0,"",K11/$P11*BK$159)</f>
        <v>0.00062557</v>
      </c>
      <c r="BL11" s="425" t="n">
        <f aca="false">IF($P11=0,"",L11/$P11*BL$159)</f>
        <v>0.000193536</v>
      </c>
      <c r="BM11" s="425" t="n">
        <f aca="false">IF($P11=0,"",M11/$P11*BM$159)</f>
        <v>0.000224826</v>
      </c>
      <c r="BN11" s="425" t="n">
        <f aca="false">IF($P11=0,"",N11/$P11*BN$159)</f>
        <v>0.0004949001</v>
      </c>
      <c r="BO11" s="425" t="n">
        <f aca="false">IF($P11=0,"",O11/$P11*BO$159)</f>
        <v>0</v>
      </c>
      <c r="BP11" s="423" t="n">
        <f aca="false">1-AD$159*(SUM(BE11:BO11))^2</f>
        <v>0.996593951745735</v>
      </c>
    </row>
    <row r="12" customFormat="false" ht="15" hidden="false" customHeight="false" outlineLevel="0" collapsed="false">
      <c r="A12" s="413" t="s">
        <v>37</v>
      </c>
      <c r="B12" s="414" t="s">
        <v>220</v>
      </c>
      <c r="C12" s="415" t="n">
        <v>411540.2</v>
      </c>
      <c r="D12" s="416" t="n">
        <v>513190.63</v>
      </c>
      <c r="E12" s="417" t="n">
        <v>0.125</v>
      </c>
      <c r="F12" s="417" t="n">
        <v>0.582</v>
      </c>
      <c r="G12" s="417" t="n">
        <v>81.076</v>
      </c>
      <c r="H12" s="417" t="n">
        <v>10.555</v>
      </c>
      <c r="I12" s="417" t="n">
        <v>4.037</v>
      </c>
      <c r="J12" s="417" t="n">
        <v>0.705</v>
      </c>
      <c r="K12" s="417" t="n">
        <v>1.318</v>
      </c>
      <c r="L12" s="417" t="n">
        <v>0.372</v>
      </c>
      <c r="M12" s="417" t="n">
        <v>0.396</v>
      </c>
      <c r="N12" s="417" t="n">
        <v>0.834</v>
      </c>
      <c r="O12" s="76"/>
      <c r="P12" s="418" t="n">
        <f aca="false">SUM(E12:O12)</f>
        <v>100</v>
      </c>
      <c r="Q12" s="14" t="n">
        <f aca="false">IF($P12=0,"",$C12*E12/$P12)</f>
        <v>514.42525</v>
      </c>
      <c r="R12" s="15" t="n">
        <f aca="false">IF($P12=0,"",$C12*F12/$P12)</f>
        <v>2395.163964</v>
      </c>
      <c r="S12" s="15" t="n">
        <f aca="false">IF($P12=0,"",$C12*G12/$P12)</f>
        <v>333660.332552</v>
      </c>
      <c r="T12" s="15" t="n">
        <f aca="false">IF($P12=0,"",$C12*H12/$P12)</f>
        <v>43438.06811</v>
      </c>
      <c r="U12" s="15" t="n">
        <f aca="false">IF($P12=0,"",$C12*I12/$P12)</f>
        <v>16613.877874</v>
      </c>
      <c r="V12" s="15" t="n">
        <f aca="false">IF($P12=0,"",$C12*J12/$P12)</f>
        <v>2901.35841</v>
      </c>
      <c r="W12" s="15" t="n">
        <f aca="false">IF($P12=0,"",$C12*K12/$P12)</f>
        <v>5424.099836</v>
      </c>
      <c r="X12" s="15" t="n">
        <f aca="false">IF($P12=0,"",$C12*L12/$P12)</f>
        <v>1530.929544</v>
      </c>
      <c r="Y12" s="15" t="n">
        <f aca="false">IF($P12=0,"",$C12*M12/$P12)</f>
        <v>1629.699192</v>
      </c>
      <c r="Z12" s="15" t="n">
        <f aca="false">IF($P12=0,"",$C12*N12/$P12)</f>
        <v>3432.245268</v>
      </c>
      <c r="AA12" s="15" t="n">
        <f aca="false">IF($P12=0,"",$C12*O12/$P12)</f>
        <v>0</v>
      </c>
      <c r="AB12" s="16" t="n">
        <f aca="false">SUM(Q12:AA12)</f>
        <v>411540.2</v>
      </c>
      <c r="AC12" s="419"/>
      <c r="AD12" s="420"/>
      <c r="AE12" s="15" t="n">
        <f aca="false">IF($P12=0,"",S12*AE$159/$BP12/1000)</f>
        <v>337111.578582213</v>
      </c>
      <c r="AF12" s="15" t="n">
        <f aca="false">IF($P12=0,"",T12*AF$159/$BP12/1000)</f>
        <v>76903.1632116098</v>
      </c>
      <c r="AG12" s="15" t="n">
        <f aca="false">IF($P12=0,"",U12*AG$159/$BP12/1000)</f>
        <v>41817.5958746132</v>
      </c>
      <c r="AH12" s="15" t="n">
        <f aca="false">IF($P12=0,"",V12*AH$159/$BP12/1000)</f>
        <v>9438.43710938225</v>
      </c>
      <c r="AI12" s="15" t="n">
        <f aca="false">IF($P12=0,"",W12*AI$159/$BP12/1000)</f>
        <v>17701.8008300392</v>
      </c>
      <c r="AJ12" s="15" t="n">
        <f aca="false">IF($P12=0,"",X12*AJ$159/$BP12/1000)</f>
        <v>6127.45027834156</v>
      </c>
      <c r="AK12" s="15" t="n">
        <f aca="false">IF($P12=0,"",Y12*AK$159/$BP12/1000)</f>
        <v>6535.52604550116</v>
      </c>
      <c r="AL12" s="15" t="n">
        <f aca="false">IF($P12=0,"",Z12*AL$159/$BP12/1000)</f>
        <v>17611.525634368</v>
      </c>
      <c r="AM12" s="15" t="n">
        <f aca="false">IF($P12=0,"",AA12*AM$159/$BP12/1000)</f>
        <v>0</v>
      </c>
      <c r="AN12" s="15" t="n">
        <f aca="false">SUM(AC12:AM12)</f>
        <v>513247.077566068</v>
      </c>
      <c r="AO12" s="15" t="n">
        <f aca="false">D12-AN12</f>
        <v>-56.4475660679163</v>
      </c>
      <c r="AP12" s="421" t="n">
        <f aca="false">IF(D12=0,0,AO12/D12)</f>
        <v>-0.000109993368483591</v>
      </c>
      <c r="AQ12" s="75" t="n">
        <f aca="false">IF(AB12=0,0,AN12/AB12)*1000</f>
        <v>1247.1371631886</v>
      </c>
      <c r="AR12" s="340" t="n">
        <f aca="false">IF(C12=0,0,D12/C12)*1000</f>
        <v>1247.00000145794</v>
      </c>
      <c r="AS12" s="422" t="n">
        <f aca="false">IF($P12=0,"",Q12*1000/AS$159*$AD$159/14.696/$BP12/42)</f>
        <v>208.573462761434</v>
      </c>
      <c r="AT12" s="15" t="n">
        <f aca="false">IF($P12=0,"",R12*1000/AT$159*$AD$159/14.696/$BP12/42)</f>
        <v>626.034814015365</v>
      </c>
      <c r="AU12" s="15" t="n">
        <f aca="false">IF($P12=0,"",S12*1000/AU$159*$AD$159/14.696/$BP12/42)</f>
        <v>134385.688419485</v>
      </c>
      <c r="AV12" s="15" t="n">
        <f aca="false">IF($P12=0,"",T12*1000/AV$159*$AD$159/14.696/$BP12/42)</f>
        <v>27598.9974116325</v>
      </c>
      <c r="AW12" s="15" t="n">
        <f aca="false">IF($P12=0,"",U12*1000/AW$159*$AD$159/14.696/$BP12/42)</f>
        <v>10874.0693620594</v>
      </c>
      <c r="AX12" s="15" t="n">
        <f aca="false">IF($P12=0,"",V12*1000/AX$159*$AD$159/14.696/$BP12/42)</f>
        <v>2255.64224528124</v>
      </c>
      <c r="AY12" s="15" t="n">
        <f aca="false">IF($P12=0,"",W12*1000/AY$159*$AD$159/14.696/$BP12/42)</f>
        <v>4062.58043608165</v>
      </c>
      <c r="AZ12" s="15" t="n">
        <f aca="false">IF($P12=0,"",X12*1000/AZ$159*$AD$159/14.696/$BP12/42)</f>
        <v>1330.14158352332</v>
      </c>
      <c r="BA12" s="15" t="n">
        <f aca="false">IF($P12=0,"",Y12*1000/BA$159*$AD$159/14.696/$BP12/42)</f>
        <v>1403.46553786384</v>
      </c>
      <c r="BB12" s="15" t="n">
        <f aca="false">IF($P12=0,"",Z12*1000/BB$159*$AD$159/14.696/$BP12/42)</f>
        <v>3538.39419687728</v>
      </c>
      <c r="BC12" s="15" t="n">
        <f aca="false">IF($P12=0,"",AA12*1000/BC$159*$AD$159/14.696/$BP12/42)</f>
        <v>0</v>
      </c>
      <c r="BD12" s="55" t="n">
        <f aca="false">SUM(AS12:BC12)</f>
        <v>186283.587469581</v>
      </c>
      <c r="BE12" s="419" t="n">
        <f aca="false">IF($P12=0,"",E12/$P12*BE$159)</f>
        <v>2.4375E-005</v>
      </c>
      <c r="BF12" s="420" t="n">
        <f aca="false">IF($P12=0,"",F12/$P12*BF$159)</f>
        <v>2.57244E-005</v>
      </c>
      <c r="BG12" s="420" t="n">
        <f aca="false">IF($P12=0,"",G12/$P12*BG$159)</f>
        <v>0.009404816</v>
      </c>
      <c r="BH12" s="420" t="n">
        <f aca="false">IF($P12=0,"",H12/$P12*BH$159)</f>
        <v>0.00251209</v>
      </c>
      <c r="BI12" s="420" t="n">
        <f aca="false">IF($P12=0,"",I12/$P12*BI$159)</f>
        <v>0.001400839</v>
      </c>
      <c r="BJ12" s="420" t="n">
        <f aca="false">IF($P12=0,"",J12/$P12*BJ$159)</f>
        <v>0.000310905</v>
      </c>
      <c r="BK12" s="420" t="n">
        <f aca="false">IF($P12=0,"",K12/$P12*BK$159)</f>
        <v>0.00061946</v>
      </c>
      <c r="BL12" s="420" t="n">
        <f aca="false">IF($P12=0,"",L12/$P12*BL$159)</f>
        <v>0.000214272</v>
      </c>
      <c r="BM12" s="420" t="n">
        <f aca="false">IF($P12=0,"",M12/$P12*BM$159)</f>
        <v>0.000239976</v>
      </c>
      <c r="BN12" s="420" t="n">
        <f aca="false">IF($P12=0,"",N12/$P12*BN$159)</f>
        <v>0.0007203258</v>
      </c>
      <c r="BO12" s="420" t="n">
        <f aca="false">IF($P12=0,"",O12/$P12*BO$159)</f>
        <v>0</v>
      </c>
      <c r="BP12" s="418" t="n">
        <f aca="false">1-AD$159*(SUM(BE12:BO12))^2</f>
        <v>0.996492687157671</v>
      </c>
    </row>
    <row r="13" customFormat="false" ht="15" hidden="false" customHeight="false" outlineLevel="0" collapsed="false">
      <c r="A13" s="413" t="s">
        <v>38</v>
      </c>
      <c r="B13" s="414" t="s">
        <v>221</v>
      </c>
      <c r="C13" s="415" t="n">
        <v>279240.52</v>
      </c>
      <c r="D13" s="416" t="n">
        <v>366642.81</v>
      </c>
      <c r="E13" s="431" t="n">
        <v>0.106</v>
      </c>
      <c r="F13" s="431" t="n">
        <v>0.929</v>
      </c>
      <c r="G13" s="431" t="n">
        <v>77.622</v>
      </c>
      <c r="H13" s="431" t="n">
        <v>11.39</v>
      </c>
      <c r="I13" s="431" t="n">
        <v>5.353</v>
      </c>
      <c r="J13" s="431" t="n">
        <v>0.802</v>
      </c>
      <c r="K13" s="431" t="n">
        <v>1.866</v>
      </c>
      <c r="L13" s="431" t="n">
        <v>0.455</v>
      </c>
      <c r="M13" s="431" t="n">
        <v>0.504</v>
      </c>
      <c r="N13" s="431" t="n">
        <v>0.973</v>
      </c>
      <c r="O13" s="76"/>
      <c r="P13" s="423" t="n">
        <f aca="false">SUM(E13:O13)</f>
        <v>100</v>
      </c>
      <c r="Q13" s="99" t="n">
        <f aca="false">IF($P13=0,"",$C13*E13/$P13)</f>
        <v>295.9949512</v>
      </c>
      <c r="R13" s="100" t="n">
        <f aca="false">IF($P13=0,"",$C13*F13/$P13)</f>
        <v>2594.1444308</v>
      </c>
      <c r="S13" s="100" t="n">
        <f aca="false">IF($P13=0,"",$C13*G13/$P13)</f>
        <v>216752.0764344</v>
      </c>
      <c r="T13" s="100" t="n">
        <f aca="false">IF($P13=0,"",$C13*H13/$P13)</f>
        <v>31805.495228</v>
      </c>
      <c r="U13" s="100" t="n">
        <f aca="false">IF($P13=0,"",$C13*I13/$P13)</f>
        <v>14947.7450356</v>
      </c>
      <c r="V13" s="100" t="n">
        <f aca="false">IF($P13=0,"",$C13*J13/$P13)</f>
        <v>2239.5089704</v>
      </c>
      <c r="W13" s="100" t="n">
        <f aca="false">IF($P13=0,"",$C13*K13/$P13)</f>
        <v>5210.6281032</v>
      </c>
      <c r="X13" s="100" t="n">
        <f aca="false">IF($P13=0,"",$C13*L13/$P13)</f>
        <v>1270.544366</v>
      </c>
      <c r="Y13" s="100" t="n">
        <f aca="false">IF($P13=0,"",$C13*M13/$P13)</f>
        <v>1407.3722208</v>
      </c>
      <c r="Z13" s="100" t="n">
        <f aca="false">IF($P13=0,"",$C13*N13/$P13)</f>
        <v>2717.0102596</v>
      </c>
      <c r="AA13" s="100" t="n">
        <f aca="false">IF($P13=0,"",$C13*O13/$P13)</f>
        <v>0</v>
      </c>
      <c r="AB13" s="101" t="n">
        <f aca="false">SUM(Q13:AA13)</f>
        <v>279240.52</v>
      </c>
      <c r="AC13" s="424"/>
      <c r="AD13" s="425"/>
      <c r="AE13" s="100" t="n">
        <f aca="false">IF($P13=0,"",S13*AE$159/$BP13/1000)</f>
        <v>219075.866852406</v>
      </c>
      <c r="AF13" s="100" t="n">
        <f aca="false">IF($P13=0,"",T13*AF$159/$BP13/1000)</f>
        <v>56329.7787227492</v>
      </c>
      <c r="AG13" s="100" t="n">
        <f aca="false">IF($P13=0,"",U13*AG$159/$BP13/1000)</f>
        <v>37637.9456072091</v>
      </c>
      <c r="AH13" s="100" t="n">
        <f aca="false">IF($P13=0,"",V13*AH$159/$BP13/1000)</f>
        <v>7288.08942323665</v>
      </c>
      <c r="AI13" s="100" t="n">
        <f aca="false">IF($P13=0,"",W13*AI$159/$BP13/1000)</f>
        <v>17011.4774660784</v>
      </c>
      <c r="AJ13" s="100" t="n">
        <f aca="false">IF($P13=0,"",X13*AJ$159/$BP13/1000)</f>
        <v>5087.1741791505</v>
      </c>
      <c r="AK13" s="100" t="n">
        <f aca="false">IF($P13=0,"",Y13*AK$159/$BP13/1000)</f>
        <v>5646.04396110231</v>
      </c>
      <c r="AL13" s="100" t="n">
        <f aca="false">IF($P13=0,"",Z13*AL$159/$BP13/1000)</f>
        <v>13946.7213487718</v>
      </c>
      <c r="AM13" s="100" t="n">
        <f aca="false">IF($P13=0,"",AA13*AM$159/$BP13/1000)</f>
        <v>0</v>
      </c>
      <c r="AN13" s="100" t="n">
        <f aca="false">SUM(AC13:AM13)</f>
        <v>362023.097560704</v>
      </c>
      <c r="AO13" s="100" t="n">
        <f aca="false">D13-AN13</f>
        <v>4619.71243929601</v>
      </c>
      <c r="AP13" s="426" t="n">
        <f aca="false">IF(D13=0,0,AO13/D13)</f>
        <v>0.0126000355476656</v>
      </c>
      <c r="AQ13" s="427" t="n">
        <f aca="false">IF(AB13=0,0,AN13/AB13)*1000</f>
        <v>1296.4561789267</v>
      </c>
      <c r="AR13" s="428" t="n">
        <f aca="false">IF(C13=0,0,D13/C13)*1000</f>
        <v>1313.00002592747</v>
      </c>
      <c r="AS13" s="429" t="n">
        <f aca="false">IF($P13=0,"",Q13*1000/AS$159*$AD$159/14.696/$BP13/42)</f>
        <v>120.055831145403</v>
      </c>
      <c r="AT13" s="100" t="n">
        <f aca="false">IF($P13=0,"",R13*1000/AT$159*$AD$159/14.696/$BP13/42)</f>
        <v>678.296489724866</v>
      </c>
      <c r="AU13" s="100" t="n">
        <f aca="false">IF($P13=0,"",S13*1000/AU$159*$AD$159/14.696/$BP13/42)</f>
        <v>87332.097304027</v>
      </c>
      <c r="AV13" s="100" t="n">
        <f aca="false">IF($P13=0,"",T13*1000/AV$159*$AD$159/14.696/$BP13/42)</f>
        <v>20215.6238084662</v>
      </c>
      <c r="AW13" s="100" t="n">
        <f aca="false">IF($P13=0,"",U13*1000/AW$159*$AD$159/14.696/$BP13/42)</f>
        <v>9787.2109244491</v>
      </c>
      <c r="AX13" s="100" t="n">
        <f aca="false">IF($P13=0,"",V13*1000/AX$159*$AD$159/14.696/$BP13/42)</f>
        <v>1741.7420066399</v>
      </c>
      <c r="AY13" s="100" t="n">
        <f aca="false">IF($P13=0,"",W13*1000/AY$159*$AD$159/14.696/$BP13/42)</f>
        <v>3904.15055542013</v>
      </c>
      <c r="AZ13" s="100" t="n">
        <f aca="false">IF($P13=0,"",X13*1000/AZ$159*$AD$159/14.696/$BP13/42)</f>
        <v>1104.31935159589</v>
      </c>
      <c r="BA13" s="100" t="n">
        <f aca="false">IF($P13=0,"",Y13*1000/BA$159*$AD$159/14.696/$BP13/42)</f>
        <v>1212.45452462483</v>
      </c>
      <c r="BB13" s="100" t="n">
        <f aca="false">IF($P13=0,"",Z13*1000/BB$159*$AD$159/14.696/$BP13/42)</f>
        <v>2802.08534515923</v>
      </c>
      <c r="BC13" s="100" t="n">
        <f aca="false">IF($P13=0,"",AA13*1000/BC$159*$AD$159/14.696/$BP13/42)</f>
        <v>0</v>
      </c>
      <c r="BD13" s="430" t="n">
        <f aca="false">SUM(AS13:BC13)</f>
        <v>128898.036141253</v>
      </c>
      <c r="BE13" s="424" t="n">
        <f aca="false">IF($P13=0,"",E13/$P13*BE$159)</f>
        <v>2.067E-005</v>
      </c>
      <c r="BF13" s="425" t="n">
        <f aca="false">IF($P13=0,"",F13/$P13*BF$159)</f>
        <v>4.10618E-005</v>
      </c>
      <c r="BG13" s="425" t="n">
        <f aca="false">IF($P13=0,"",G13/$P13*BG$159)</f>
        <v>0.009004152</v>
      </c>
      <c r="BH13" s="425" t="n">
        <f aca="false">IF($P13=0,"",H13/$P13*BH$159)</f>
        <v>0.00271082</v>
      </c>
      <c r="BI13" s="425" t="n">
        <f aca="false">IF($P13=0,"",I13/$P13*BI$159)</f>
        <v>0.001857491</v>
      </c>
      <c r="BJ13" s="425" t="n">
        <f aca="false">IF($P13=0,"",J13/$P13*BJ$159)</f>
        <v>0.000353682</v>
      </c>
      <c r="BK13" s="425" t="n">
        <f aca="false">IF($P13=0,"",K13/$P13*BK$159)</f>
        <v>0.00087702</v>
      </c>
      <c r="BL13" s="425" t="n">
        <f aca="false">IF($P13=0,"",L13/$P13*BL$159)</f>
        <v>0.00026208</v>
      </c>
      <c r="BM13" s="425" t="n">
        <f aca="false">IF($P13=0,"",M13/$P13*BM$159)</f>
        <v>0.000305424</v>
      </c>
      <c r="BN13" s="425" t="n">
        <f aca="false">IF($P13=0,"",N13/$P13*BN$159)</f>
        <v>0.0008403801</v>
      </c>
      <c r="BO13" s="425" t="n">
        <f aca="false">IF($P13=0,"",O13/$P13*BO$159)</f>
        <v>0</v>
      </c>
      <c r="BP13" s="423" t="n">
        <f aca="false">1-AD$159*(SUM(BE13:BO13))^2</f>
        <v>0.996120630216086</v>
      </c>
    </row>
    <row r="14" customFormat="false" ht="15" hidden="false" customHeight="false" outlineLevel="0" collapsed="false">
      <c r="A14" s="413" t="s">
        <v>159</v>
      </c>
      <c r="B14" s="414" t="s">
        <v>222</v>
      </c>
      <c r="C14" s="415" t="n">
        <v>428115.53</v>
      </c>
      <c r="D14" s="416" t="n">
        <v>440602.56</v>
      </c>
      <c r="E14" s="432" t="n">
        <v>0.0285732509006481</v>
      </c>
      <c r="F14" s="432" t="n">
        <v>1.02865763118742</v>
      </c>
      <c r="G14" s="432" t="n">
        <v>95.6932924120128</v>
      </c>
      <c r="H14" s="432" t="n">
        <v>3.16200507248809</v>
      </c>
      <c r="I14" s="432" t="n">
        <v>0.08374272705963</v>
      </c>
      <c r="J14" s="432" t="n">
        <v>0.00150567037786595</v>
      </c>
      <c r="K14" s="432" t="n">
        <v>0.00212936679327564</v>
      </c>
      <c r="L14" s="432" t="n">
        <v>4.73295387984469E-005</v>
      </c>
      <c r="M14" s="432" t="n">
        <v>4.38986942305306E-005</v>
      </c>
      <c r="N14" s="432" t="n">
        <v>2.70613906720087E-006</v>
      </c>
      <c r="O14" s="76"/>
      <c r="P14" s="418" t="n">
        <f aca="false">SUM(E14:O14)</f>
        <v>100.000000065192</v>
      </c>
      <c r="Q14" s="14" t="n">
        <f aca="false">IF($P14=0,"",$C14*E14/$P14)</f>
        <v>122.326524451793</v>
      </c>
      <c r="R14" s="15" t="n">
        <f aca="false">IF($P14=0,"",$C14*F14/$P14)</f>
        <v>4403.84306677252</v>
      </c>
      <c r="S14" s="15" t="n">
        <f aca="false">IF($P14=0,"",$C14*G14/$P14)</f>
        <v>409677.845717062</v>
      </c>
      <c r="T14" s="15" t="n">
        <f aca="false">IF($P14=0,"",$C14*H14/$P14)</f>
        <v>13537.0347658842</v>
      </c>
      <c r="U14" s="15" t="n">
        <f aca="false">IF($P14=0,"",$C14*I14/$P14)</f>
        <v>358.515619554066</v>
      </c>
      <c r="V14" s="15" t="n">
        <f aca="false">IF($P14=0,"",$C14*J14/$P14)</f>
        <v>6.44600871405155</v>
      </c>
      <c r="W14" s="15" t="n">
        <f aca="false">IF($P14=0,"",$C14*K14/$P14)</f>
        <v>9.11614992673303</v>
      </c>
      <c r="X14" s="15" t="n">
        <f aca="false">IF($P14=0,"",$C14*L14/$P14)</f>
        <v>0.202625105741432</v>
      </c>
      <c r="Y14" s="15" t="n">
        <f aca="false">IF($P14=0,"",$C14*M14/$P14)</f>
        <v>0.187937127345596</v>
      </c>
      <c r="Z14" s="15" t="n">
        <f aca="false">IF($P14=0,"",$C14*N14/$P14)</f>
        <v>0.0115854016025313</v>
      </c>
      <c r="AA14" s="15" t="n">
        <f aca="false">IF($P14=0,"",$C14*O14/$P14)</f>
        <v>0</v>
      </c>
      <c r="AB14" s="16" t="n">
        <f aca="false">SUM(Q14:AA14)</f>
        <v>428115.53</v>
      </c>
      <c r="AC14" s="419"/>
      <c r="AD14" s="420"/>
      <c r="AE14" s="15" t="n">
        <f aca="false">IF($P14=0,"",S14*AE$159/$BP14/1000)</f>
        <v>413326.158060862</v>
      </c>
      <c r="AF14" s="15" t="n">
        <f aca="false">IF($P14=0,"",T14*AF$159/$BP14/1000)</f>
        <v>23931.9764751043</v>
      </c>
      <c r="AG14" s="15" t="n">
        <f aca="false">IF($P14=0,"",U14*AG$159/$BP14/1000)</f>
        <v>901.109255001673</v>
      </c>
      <c r="AH14" s="15" t="n">
        <f aca="false">IF($P14=0,"",V14*AH$159/$BP14/1000)</f>
        <v>20.9397221415989</v>
      </c>
      <c r="AI14" s="15" t="n">
        <f aca="false">IF($P14=0,"",W14*AI$159/$BP14/1000)</f>
        <v>29.7086252647066</v>
      </c>
      <c r="AJ14" s="15" t="n">
        <f aca="false">IF($P14=0,"",X14*AJ$159/$BP14/1000)</f>
        <v>0.809839894622736</v>
      </c>
      <c r="AK14" s="15" t="n">
        <f aca="false">IF($P14=0,"",Y14*AK$159/$BP14/1000)</f>
        <v>0.752604836668142</v>
      </c>
      <c r="AL14" s="15" t="n">
        <f aca="false">IF($P14=0,"",Z14*AL$159/$BP14/1000)</f>
        <v>0.0593623490851435</v>
      </c>
      <c r="AM14" s="15" t="n">
        <f aca="false">IF($P14=0,"",AA14*AM$159/$BP14/1000)</f>
        <v>0</v>
      </c>
      <c r="AN14" s="15" t="n">
        <f aca="false">SUM(AC14:AM14)</f>
        <v>438211.513945455</v>
      </c>
      <c r="AO14" s="15" t="n">
        <f aca="false">D14-AN14</f>
        <v>2391.04605454515</v>
      </c>
      <c r="AP14" s="421" t="n">
        <f aca="false">IF(D14=0,0,AO14/D14)</f>
        <v>0.00542676387206</v>
      </c>
      <c r="AQ14" s="75" t="n">
        <f aca="false">IF(AB14=0,0,AN14/AB14)*1000</f>
        <v>1023.58238194595</v>
      </c>
      <c r="AR14" s="340" t="n">
        <f aca="false">IF(C14=0,0,D14/C14)*1000</f>
        <v>1029.16743057651</v>
      </c>
      <c r="AS14" s="422" t="n">
        <f aca="false">IF($P14=0,"",Q14*1000/AS$159*$AD$159/14.696/$BP14/42)</f>
        <v>49.5266247810987</v>
      </c>
      <c r="AT14" s="15" t="n">
        <f aca="false">IF($P14=0,"",R14*1000/AT$159*$AD$159/14.696/$BP14/42)</f>
        <v>1149.41375934402</v>
      </c>
      <c r="AU14" s="15" t="n">
        <f aca="false">IF($P14=0,"",S14*1000/AU$159*$AD$159/14.696/$BP14/42)</f>
        <v>164767.761838366</v>
      </c>
      <c r="AV14" s="15" t="n">
        <f aca="false">IF($P14=0,"",T14*1000/AV$159*$AD$159/14.696/$BP14/42)</f>
        <v>8588.70466711751</v>
      </c>
      <c r="AW14" s="15" t="n">
        <f aca="false">IF($P14=0,"",U14*1000/AW$159*$AD$159/14.696/$BP14/42)</f>
        <v>234.320609225423</v>
      </c>
      <c r="AX14" s="15" t="n">
        <f aca="false">IF($P14=0,"",V14*1000/AX$159*$AD$159/14.696/$BP14/42)</f>
        <v>5.00427362281092</v>
      </c>
      <c r="AY14" s="15" t="n">
        <f aca="false">IF($P14=0,"",W14*1000/AY$159*$AD$159/14.696/$BP14/42)</f>
        <v>6.81815827339251</v>
      </c>
      <c r="AZ14" s="15" t="n">
        <f aca="false">IF($P14=0,"",X14*1000/AZ$159*$AD$159/14.696/$BP14/42)</f>
        <v>0.175799340819033</v>
      </c>
      <c r="BA14" s="15" t="n">
        <f aca="false">IF($P14=0,"",Y14*1000/BA$159*$AD$159/14.696/$BP14/42)</f>
        <v>0.16161743439466</v>
      </c>
      <c r="BB14" s="15" t="n">
        <f aca="false">IF($P14=0,"",Z14*1000/BB$159*$AD$159/14.696/$BP14/42)</f>
        <v>0.0119267004958377</v>
      </c>
      <c r="BC14" s="15" t="n">
        <f aca="false">IF($P14=0,"",AA14*1000/BC$159*$AD$159/14.696/$BP14/42)</f>
        <v>0</v>
      </c>
      <c r="BD14" s="55" t="n">
        <f aca="false">SUM(AS14:BC14)</f>
        <v>174801.899274206</v>
      </c>
      <c r="BE14" s="419" t="n">
        <f aca="false">IF($P14=0,"",E14/$P14*BE$159)</f>
        <v>5.57178392199403E-006</v>
      </c>
      <c r="BF14" s="420" t="n">
        <f aca="false">IF($P14=0,"",F14/$P14*BF$159)</f>
        <v>4.54666672688434E-005</v>
      </c>
      <c r="BG14" s="420" t="n">
        <f aca="false">IF($P14=0,"",G14/$P14*BG$159)</f>
        <v>0.0111004219125569</v>
      </c>
      <c r="BH14" s="420" t="n">
        <f aca="false">IF($P14=0,"",H14/$P14*BH$159)</f>
        <v>0.00075255720676156</v>
      </c>
      <c r="BI14" s="420" t="n">
        <f aca="false">IF($P14=0,"",I14/$P14*BI$159)</f>
        <v>2.90587262707477E-005</v>
      </c>
      <c r="BJ14" s="420" t="n">
        <f aca="false">IF($P14=0,"",J14/$P14*BJ$159)</f>
        <v>6.6400063620601E-007</v>
      </c>
      <c r="BK14" s="420" t="n">
        <f aca="false">IF($P14=0,"",K14/$P14*BK$159)</f>
        <v>1.00080239218711E-006</v>
      </c>
      <c r="BL14" s="420" t="n">
        <f aca="false">IF($P14=0,"",L14/$P14*BL$159)</f>
        <v>2.72618143301329E-008</v>
      </c>
      <c r="BM14" s="420" t="n">
        <f aca="false">IF($P14=0,"",M14/$P14*BM$159)</f>
        <v>2.66026086863588E-008</v>
      </c>
      <c r="BN14" s="420" t="n">
        <f aca="false">IF($P14=0,"",N14/$P14*BN$159)</f>
        <v>2.33729231081767E-009</v>
      </c>
      <c r="BO14" s="420" t="n">
        <f aca="false">IF($P14=0,"",O14/$P14*BO$159)</f>
        <v>0</v>
      </c>
      <c r="BP14" s="418" t="n">
        <f aca="false">1-AD$159*(SUM(BE14:BO14))^2</f>
        <v>0.997913262985893</v>
      </c>
    </row>
    <row r="15" customFormat="false" ht="15" hidden="false" customHeight="false" outlineLevel="0" collapsed="false">
      <c r="A15" s="413" t="s">
        <v>160</v>
      </c>
      <c r="B15" s="414" t="s">
        <v>223</v>
      </c>
      <c r="C15" s="415" t="n">
        <v>4239406.28</v>
      </c>
      <c r="D15" s="416" t="n">
        <v>4363011.77</v>
      </c>
      <c r="E15" s="432" t="n">
        <v>0.0282736501177807</v>
      </c>
      <c r="F15" s="432" t="n">
        <v>1.02866362817266</v>
      </c>
      <c r="G15" s="432" t="n">
        <v>95.6950640053272</v>
      </c>
      <c r="H15" s="432" t="n">
        <v>3.16065250945488</v>
      </c>
      <c r="I15" s="432" t="n">
        <v>0.0836228328705957</v>
      </c>
      <c r="J15" s="432" t="n">
        <v>0.00150355438898487</v>
      </c>
      <c r="K15" s="432" t="n">
        <v>0.00212679146879362</v>
      </c>
      <c r="L15" s="432" t="n">
        <v>4.68905800271209E-005</v>
      </c>
      <c r="M15" s="432" t="n">
        <v>4.35256016415786E-005</v>
      </c>
      <c r="N15" s="432" t="n">
        <v>2.67739865099955E-006</v>
      </c>
      <c r="O15" s="76"/>
      <c r="P15" s="423" t="n">
        <f aca="false">SUM(E15:O15)</f>
        <v>100.000000065381</v>
      </c>
      <c r="Q15" s="99" t="n">
        <f aca="false">IF($P15=0,"",$C15*E15/$P15)</f>
        <v>1198.63489789474</v>
      </c>
      <c r="R15" s="100" t="n">
        <f aca="false">IF($P15=0,"",$C15*F15/$P15)</f>
        <v>43609.2304243154</v>
      </c>
      <c r="S15" s="100" t="n">
        <f aca="false">IF($P15=0,"",$C15*G15/$P15)</f>
        <v>4056902.55043941</v>
      </c>
      <c r="T15" s="100" t="n">
        <f aca="false">IF($P15=0,"",$C15*H15/$P15)</f>
        <v>133992.900887202</v>
      </c>
      <c r="U15" s="100" t="n">
        <f aca="false">IF($P15=0,"",$C15*I15/$P15)</f>
        <v>3545.1116259121</v>
      </c>
      <c r="V15" s="100" t="n">
        <f aca="false">IF($P15=0,"",$C15*J15/$P15)</f>
        <v>63.7417791481651</v>
      </c>
      <c r="W15" s="100" t="n">
        <f aca="false">IF($P15=0,"",$C15*K15/$P15)</f>
        <v>90.1633310315911</v>
      </c>
      <c r="X15" s="100" t="n">
        <f aca="false">IF($P15=0,"",$C15*L15/$P15)</f>
        <v>1.98788219309849</v>
      </c>
      <c r="Y15" s="100" t="n">
        <f aca="false">IF($P15=0,"",$C15*M15/$P15)</f>
        <v>1.84522708819443</v>
      </c>
      <c r="Z15" s="100" t="n">
        <f aca="false">IF($P15=0,"",$C15*N15/$P15)</f>
        <v>0.113505806476899</v>
      </c>
      <c r="AA15" s="100" t="n">
        <f aca="false">IF($P15=0,"",$C15*O15/$P15)</f>
        <v>0</v>
      </c>
      <c r="AB15" s="101" t="n">
        <f aca="false">SUM(Q15:AA15)</f>
        <v>4239406.28</v>
      </c>
      <c r="AC15" s="424"/>
      <c r="AD15" s="425"/>
      <c r="AE15" s="100" t="n">
        <f aca="false">IF($P15=0,"",S15*AE$159/$BP15/1000)</f>
        <v>4093030.25232798</v>
      </c>
      <c r="AF15" s="100" t="n">
        <f aca="false">IF($P15=0,"",T15*AF$159/$BP15/1000)</f>
        <v>236884.573427211</v>
      </c>
      <c r="AG15" s="100" t="n">
        <f aca="false">IF($P15=0,"",U15*AG$159/$BP15/1000)</f>
        <v>8910.44204755512</v>
      </c>
      <c r="AH15" s="100" t="n">
        <f aca="false">IF($P15=0,"",V15*AH$159/$BP15/1000)</f>
        <v>207.063797311069</v>
      </c>
      <c r="AI15" s="100" t="n">
        <f aca="false">IF($P15=0,"",W15*AI$159/$BP15/1000)</f>
        <v>293.833299186314</v>
      </c>
      <c r="AJ15" s="100" t="n">
        <f aca="false">IF($P15=0,"",X15*AJ$159/$BP15/1000)</f>
        <v>7.94504795668175</v>
      </c>
      <c r="AK15" s="100" t="n">
        <f aca="false">IF($P15=0,"",Y15*AK$159/$BP15/1000)</f>
        <v>7.38931548256902</v>
      </c>
      <c r="AL15" s="100" t="n">
        <f aca="false">IF($P15=0,"",Z15*AL$159/$BP15/1000)</f>
        <v>0.581591473631812</v>
      </c>
      <c r="AM15" s="100" t="n">
        <f aca="false">IF($P15=0,"",AA15*AM$159/$BP15/1000)</f>
        <v>0</v>
      </c>
      <c r="AN15" s="100" t="n">
        <f aca="false">SUM(AC15:AM15)</f>
        <v>4339342.08085416</v>
      </c>
      <c r="AO15" s="100" t="n">
        <f aca="false">D15-AN15</f>
        <v>23669.6891458407</v>
      </c>
      <c r="AP15" s="426" t="n">
        <f aca="false">IF(D15=0,0,AO15/D15)</f>
        <v>0.00542508028710652</v>
      </c>
      <c r="AQ15" s="427" t="n">
        <f aca="false">IF(AB15=0,0,AN15/AB15)*1000</f>
        <v>1023.57306524869</v>
      </c>
      <c r="AR15" s="428" t="n">
        <f aca="false">IF(C15=0,0,D15/C15)*1000</f>
        <v>1029.15632091765</v>
      </c>
      <c r="AS15" s="429" t="n">
        <f aca="false">IF($P15=0,"",Q15*1000/AS$159*$AD$159/14.696/$BP15/42)</f>
        <v>485.294064813763</v>
      </c>
      <c r="AT15" s="100" t="n">
        <f aca="false">IF($P15=0,"",R15*1000/AT$159*$AD$159/14.696/$BP15/42)</f>
        <v>11382.1144125068</v>
      </c>
      <c r="AU15" s="100" t="n">
        <f aca="false">IF($P15=0,"",S15*1000/AU$159*$AD$159/14.696/$BP15/42)</f>
        <v>1631639.85791942</v>
      </c>
      <c r="AV15" s="100" t="n">
        <f aca="false">IF($P15=0,"",T15*1000/AV$159*$AD$159/14.696/$BP15/42)</f>
        <v>85013.1055192575</v>
      </c>
      <c r="AW15" s="100" t="n">
        <f aca="false">IF($P15=0,"",U15*1000/AW$159*$AD$159/14.696/$BP15/42)</f>
        <v>2317.03336466904</v>
      </c>
      <c r="AX15" s="100" t="n">
        <f aca="false">IF($P15=0,"",V15*1000/AX$159*$AD$159/14.696/$BP15/42)</f>
        <v>49.4850835228766</v>
      </c>
      <c r="AY15" s="100" t="n">
        <f aca="false">IF($P15=0,"",W15*1000/AY$159*$AD$159/14.696/$BP15/42)</f>
        <v>67.435026763941</v>
      </c>
      <c r="AZ15" s="100" t="n">
        <f aca="false">IF($P15=0,"",X15*1000/AZ$159*$AD$159/14.696/$BP15/42)</f>
        <v>1.72470410859535</v>
      </c>
      <c r="BA15" s="100" t="n">
        <f aca="false">IF($P15=0,"",Y15*1000/BA$159*$AD$159/14.696/$BP15/42)</f>
        <v>1.58681176633488</v>
      </c>
      <c r="BB15" s="100" t="n">
        <f aca="false">IF($P15=0,"",Z15*1000/BB$159*$AD$159/14.696/$BP15/42)</f>
        <v>0.11684960962361</v>
      </c>
      <c r="BC15" s="100" t="n">
        <f aca="false">IF($P15=0,"",AA15*1000/BC$159*$AD$159/14.696/$BP15/42)</f>
        <v>0</v>
      </c>
      <c r="BD15" s="430" t="n">
        <f aca="false">SUM(AS15:BC15)</f>
        <v>1730957.75375644</v>
      </c>
      <c r="BE15" s="424" t="n">
        <f aca="false">IF($P15=0,"",E15/$P15*BE$159)</f>
        <v>5.51336176936253E-006</v>
      </c>
      <c r="BF15" s="425" t="n">
        <f aca="false">IF($P15=0,"",F15/$P15*BF$159)</f>
        <v>4.54669323355047E-005</v>
      </c>
      <c r="BG15" s="425" t="n">
        <f aca="false">IF($P15=0,"",G15/$P15*BG$159)</f>
        <v>0.0111006274173602</v>
      </c>
      <c r="BH15" s="425" t="n">
        <f aca="false">IF($P15=0,"",H15/$P15*BH$159)</f>
        <v>0.000752235296758441</v>
      </c>
      <c r="BI15" s="425" t="n">
        <f aca="false">IF($P15=0,"",I15/$P15*BI$159)</f>
        <v>2.9017122987125E-005</v>
      </c>
      <c r="BJ15" s="425" t="n">
        <f aca="false">IF($P15=0,"",J15/$P15*BJ$159)</f>
        <v>6.63067485108806E-007</v>
      </c>
      <c r="BK15" s="425" t="n">
        <f aca="false">IF($P15=0,"",K15/$P15*BK$159)</f>
        <v>9.99591989679456E-007</v>
      </c>
      <c r="BL15" s="425" t="n">
        <f aca="false">IF($P15=0,"",L15/$P15*BL$159)</f>
        <v>2.70089740779628E-008</v>
      </c>
      <c r="BM15" s="425" t="n">
        <f aca="false">IF($P15=0,"",M15/$P15*BM$159)</f>
        <v>2.63765145775513E-008</v>
      </c>
      <c r="BN15" s="425" t="n">
        <f aca="false">IF($P15=0,"",N15/$P15*BN$159)</f>
        <v>2.31246921335639E-009</v>
      </c>
      <c r="BO15" s="425" t="n">
        <f aca="false">IF($P15=0,"",O15/$P15*BO$159)</f>
        <v>0</v>
      </c>
      <c r="BP15" s="423" t="n">
        <f aca="false">1-AD$159*(SUM(BE15:BO15))^2</f>
        <v>0.997913339501772</v>
      </c>
    </row>
    <row r="16" customFormat="false" ht="15" hidden="false" customHeight="false" outlineLevel="0" collapsed="false">
      <c r="A16" s="413" t="s">
        <v>161</v>
      </c>
      <c r="B16" s="414" t="s">
        <v>224</v>
      </c>
      <c r="C16" s="415" t="n">
        <v>1887090.82</v>
      </c>
      <c r="D16" s="416" t="n">
        <v>1945942.1</v>
      </c>
      <c r="E16" s="432" t="n">
        <v>0.0321891147071353</v>
      </c>
      <c r="F16" s="432" t="n">
        <v>0.986336652598509</v>
      </c>
      <c r="G16" s="432" t="n">
        <v>93.8495223864989</v>
      </c>
      <c r="H16" s="432" t="n">
        <v>3.33440905553148</v>
      </c>
      <c r="I16" s="432" t="n">
        <v>0.0840881397766082</v>
      </c>
      <c r="J16" s="432" t="n">
        <v>0.00142474183058214</v>
      </c>
      <c r="K16" s="432" t="n">
        <v>0.00114016648940022</v>
      </c>
      <c r="L16" s="432" t="n">
        <v>6.97184789235642E-007</v>
      </c>
      <c r="M16" s="432" t="n">
        <v>1.20083484727841E-006</v>
      </c>
      <c r="N16" s="432" t="n">
        <v>0</v>
      </c>
      <c r="O16" s="76"/>
      <c r="P16" s="418" t="n">
        <f aca="false">SUM(E16:O16)</f>
        <v>98.2891121554523</v>
      </c>
      <c r="Q16" s="14" t="n">
        <f aca="false">IF($P16=0,"",$C16*E16/$P16)</f>
        <v>618.011309041949</v>
      </c>
      <c r="R16" s="15" t="n">
        <f aca="false">IF($P16=0,"",$C16*F16/$P16)</f>
        <v>18937.0602880649</v>
      </c>
      <c r="S16" s="15" t="n">
        <f aca="false">IF($P16=0,"",$C16*G16/$P16)</f>
        <v>1801853.4125819</v>
      </c>
      <c r="T16" s="15" t="n">
        <f aca="false">IF($P16=0,"",$C16*H16/$P16)</f>
        <v>64018.6138711528</v>
      </c>
      <c r="U16" s="15" t="n">
        <f aca="false">IF($P16=0,"",$C16*I16/$P16)</f>
        <v>1614.44083849639</v>
      </c>
      <c r="V16" s="15" t="n">
        <f aca="false">IF($P16=0,"",$C16*J16/$P16)</f>
        <v>27.3541714885906</v>
      </c>
      <c r="W16" s="15" t="n">
        <f aca="false">IF($P16=0,"",$C16*K16/$P16)</f>
        <v>21.8904990413979</v>
      </c>
      <c r="X16" s="15" t="n">
        <f aca="false">IF($P16=0,"",$C16*L16/$P16)</f>
        <v>0.0133855214149193</v>
      </c>
      <c r="Y16" s="15" t="n">
        <f aca="false">IF($P16=0,"",$C16*M16/$P16)</f>
        <v>0.0230552943956925</v>
      </c>
      <c r="Z16" s="15" t="n">
        <f aca="false">IF($P16=0,"",$C16*N16/$P16)</f>
        <v>0</v>
      </c>
      <c r="AA16" s="15" t="n">
        <f aca="false">IF($P16=0,"",$C16*O16/$P16)</f>
        <v>0</v>
      </c>
      <c r="AB16" s="16" t="n">
        <f aca="false">SUM(Q16:AA16)</f>
        <v>1887090.82</v>
      </c>
      <c r="AC16" s="419"/>
      <c r="AD16" s="420"/>
      <c r="AE16" s="15" t="n">
        <f aca="false">IF($P16=0,"",S16*AE$159/$BP16/1000)</f>
        <v>1817918.79655688</v>
      </c>
      <c r="AF16" s="15" t="n">
        <f aca="false">IF($P16=0,"",T16*AF$159/$BP16/1000)</f>
        <v>113179.012650083</v>
      </c>
      <c r="AG16" s="15" t="n">
        <f aca="false">IF($P16=0,"",U16*AG$159/$BP16/1000)</f>
        <v>4057.85117559561</v>
      </c>
      <c r="AH16" s="15" t="n">
        <f aca="false">IF($P16=0,"",V16*AH$159/$BP16/1000)</f>
        <v>88.8603875223633</v>
      </c>
      <c r="AI16" s="15" t="n">
        <f aca="false">IF($P16=0,"",W16*AI$159/$BP16/1000)</f>
        <v>71.339715058815</v>
      </c>
      <c r="AJ16" s="15" t="n">
        <f aca="false">IF($P16=0,"",X16*AJ$159/$BP16/1000)</f>
        <v>0.0534990188597484</v>
      </c>
      <c r="AK16" s="15" t="n">
        <f aca="false">IF($P16=0,"",Y16*AK$159/$BP16/1000)</f>
        <v>0.0923272083489917</v>
      </c>
      <c r="AL16" s="15" t="n">
        <f aca="false">IF($P16=0,"",Z16*AL$159/$BP16/1000)</f>
        <v>0</v>
      </c>
      <c r="AM16" s="15" t="n">
        <f aca="false">IF($P16=0,"",AA16*AM$159/$BP16/1000)</f>
        <v>0</v>
      </c>
      <c r="AN16" s="15" t="n">
        <f aca="false">SUM(AC16:AM16)</f>
        <v>1935316.00631137</v>
      </c>
      <c r="AO16" s="15" t="n">
        <f aca="false">D16-AN16</f>
        <v>10626.0936886333</v>
      </c>
      <c r="AP16" s="421" t="n">
        <f aca="false">IF(D16=0,0,AO16/D16)</f>
        <v>0.00546064227123371</v>
      </c>
      <c r="AQ16" s="75" t="n">
        <f aca="false">IF(AB16=0,0,AN16/AB16)*1000</f>
        <v>1025.55530756668</v>
      </c>
      <c r="AR16" s="340" t="n">
        <f aca="false">IF(C16=0,0,D16/C16)*1000</f>
        <v>1031.18624677534</v>
      </c>
      <c r="AS16" s="422" t="n">
        <f aca="false">IF($P16=0,"",Q16*1000/AS$159*$AD$159/14.696/$BP16/42)</f>
        <v>250.21833448632</v>
      </c>
      <c r="AT16" s="15" t="n">
        <f aca="false">IF($P16=0,"",R16*1000/AT$159*$AD$159/14.696/$BP16/42)</f>
        <v>4942.67130896415</v>
      </c>
      <c r="AU16" s="15" t="n">
        <f aca="false">IF($P16=0,"",S16*1000/AU$159*$AD$159/14.696/$BP16/42)</f>
        <v>724692.607692318</v>
      </c>
      <c r="AV16" s="15" t="n">
        <f aca="false">IF($P16=0,"",T16*1000/AV$159*$AD$159/14.696/$BP16/42)</f>
        <v>40617.6696345461</v>
      </c>
      <c r="AW16" s="15" t="n">
        <f aca="false">IF($P16=0,"",U16*1000/AW$159*$AD$159/14.696/$BP16/42)</f>
        <v>1055.18632100821</v>
      </c>
      <c r="AX16" s="15" t="n">
        <f aca="false">IF($P16=0,"",V16*1000/AX$159*$AD$159/14.696/$BP16/42)</f>
        <v>21.2362747883609</v>
      </c>
      <c r="AY16" s="15" t="n">
        <f aca="false">IF($P16=0,"",W16*1000/AY$159*$AD$159/14.696/$BP16/42)</f>
        <v>16.3725337041282</v>
      </c>
      <c r="AZ16" s="15" t="n">
        <f aca="false">IF($P16=0,"",X16*1000/AZ$159*$AD$159/14.696/$BP16/42)</f>
        <v>0.0116135205396249</v>
      </c>
      <c r="BA16" s="15" t="n">
        <f aca="false">IF($P16=0,"",Y16*1000/BA$159*$AD$159/14.696/$BP16/42)</f>
        <v>0.0198267215558236</v>
      </c>
      <c r="BB16" s="15" t="n">
        <f aca="false">IF($P16=0,"",Z16*1000/BB$159*$AD$159/14.696/$BP16/42)</f>
        <v>0</v>
      </c>
      <c r="BC16" s="15" t="n">
        <f aca="false">IF($P16=0,"",AA16*1000/BC$159*$AD$159/14.696/$BP16/42)</f>
        <v>0</v>
      </c>
      <c r="BD16" s="55" t="n">
        <f aca="false">SUM(AS16:BC16)</f>
        <v>771595.993540058</v>
      </c>
      <c r="BE16" s="419" t="n">
        <f aca="false">IF($P16=0,"",E16/$P16*BE$159)</f>
        <v>6.38613700972697E-006</v>
      </c>
      <c r="BF16" s="420" t="n">
        <f aca="false">IF($P16=0,"",F16/$P16*BF$159)</f>
        <v>4.43549433795916E-005</v>
      </c>
      <c r="BG16" s="420" t="n">
        <f aca="false">IF($P16=0,"",G16/$P16*BG$159)</f>
        <v>0.0110760432748807</v>
      </c>
      <c r="BH16" s="420" t="n">
        <f aca="false">IF($P16=0,"",H16/$P16*BH$159)</f>
        <v>0.000807403117001775</v>
      </c>
      <c r="BI16" s="420" t="n">
        <f aca="false">IF($P16=0,"",I16/$P16*BI$159)</f>
        <v>2.968648700004E-005</v>
      </c>
      <c r="BJ16" s="420" t="n">
        <f aca="false">IF($P16=0,"",J16/$P16*BJ$159)</f>
        <v>6.392479629819E-007</v>
      </c>
      <c r="BK16" s="420" t="n">
        <f aca="false">IF($P16=0,"",K16/$P16*BK$159)</f>
        <v>5.45206115170283E-007</v>
      </c>
      <c r="BL16" s="420" t="n">
        <f aca="false">IF($P16=0,"",L16/$P16*BL$159)</f>
        <v>4.08568588924276E-010</v>
      </c>
      <c r="BM16" s="420" t="n">
        <f aca="false">IF($P16=0,"",M16/$P16*BM$159)</f>
        <v>7.40372866833704E-010</v>
      </c>
      <c r="BN16" s="420" t="n">
        <f aca="false">IF($P16=0,"",N16/$P16*BN$159)</f>
        <v>0</v>
      </c>
      <c r="BO16" s="420" t="n">
        <f aca="false">IF($P16=0,"",O16/$P16*BO$159)</f>
        <v>0</v>
      </c>
      <c r="BP16" s="418" t="n">
        <f aca="false">1-AD$159*(SUM(BE16:BO16))^2</f>
        <v>0.997902667172678</v>
      </c>
    </row>
    <row r="17" customFormat="false" ht="15" hidden="false" customHeight="false" outlineLevel="0" collapsed="false">
      <c r="A17" s="413" t="s">
        <v>162</v>
      </c>
      <c r="B17" s="414" t="s">
        <v>225</v>
      </c>
      <c r="C17" s="415" t="n">
        <v>669315.42</v>
      </c>
      <c r="D17" s="416" t="n">
        <v>695762.62</v>
      </c>
      <c r="E17" s="432" t="n">
        <v>0.099327001414739</v>
      </c>
      <c r="F17" s="432" t="n">
        <v>0.982501221169082</v>
      </c>
      <c r="G17" s="432" t="n">
        <v>92.6994576653776</v>
      </c>
      <c r="H17" s="432" t="n">
        <v>4.37350142624641</v>
      </c>
      <c r="I17" s="432" t="n">
        <v>0.141094531736112</v>
      </c>
      <c r="J17" s="432" t="n">
        <v>0.00243179512674213</v>
      </c>
      <c r="K17" s="432" t="n">
        <v>0.00211579443425881</v>
      </c>
      <c r="L17" s="432" t="n">
        <v>5.57557147541569E-006</v>
      </c>
      <c r="M17" s="432" t="n">
        <v>0</v>
      </c>
      <c r="N17" s="432" t="n">
        <v>0</v>
      </c>
      <c r="O17" s="76"/>
      <c r="P17" s="423" t="n">
        <f aca="false">SUM(E17:O17)</f>
        <v>98.3004350110764</v>
      </c>
      <c r="Q17" s="99" t="n">
        <f aca="false">IF($P17=0,"",$C17*E17/$P17)</f>
        <v>676.30518279757</v>
      </c>
      <c r="R17" s="100" t="n">
        <f aca="false">IF($P17=0,"",$C17*F17/$P17)</f>
        <v>6689.728457694</v>
      </c>
      <c r="S17" s="100" t="n">
        <f aca="false">IF($P17=0,"",$C17*G17/$P17)</f>
        <v>631179.062779155</v>
      </c>
      <c r="T17" s="100" t="n">
        <f aca="false">IF($P17=0,"",$C17*H17/$P17)</f>
        <v>29778.6265508273</v>
      </c>
      <c r="U17" s="100" t="n">
        <f aca="false">IF($P17=0,"",$C17*I17/$P17)</f>
        <v>960.695095174483</v>
      </c>
      <c r="V17" s="100" t="n">
        <f aca="false">IF($P17=0,"",$C17*J17/$P17)</f>
        <v>16.5577901707756</v>
      </c>
      <c r="W17" s="100" t="n">
        <f aca="false">IF($P17=0,"",$C17*K17/$P17)</f>
        <v>14.4061808092714</v>
      </c>
      <c r="X17" s="100" t="n">
        <f aca="false">IF($P17=0,"",$C17*L17/$P17)</f>
        <v>0.0379633718140451</v>
      </c>
      <c r="Y17" s="100" t="n">
        <f aca="false">IF($P17=0,"",$C17*M17/$P17)</f>
        <v>0</v>
      </c>
      <c r="Z17" s="100" t="n">
        <f aca="false">IF($P17=0,"",$C17*N17/$P17)</f>
        <v>0</v>
      </c>
      <c r="AA17" s="100" t="n">
        <f aca="false">IF($P17=0,"",$C17*O17/$P17)</f>
        <v>0</v>
      </c>
      <c r="AB17" s="101" t="n">
        <f aca="false">SUM(Q17:AA17)</f>
        <v>669315.42</v>
      </c>
      <c r="AC17" s="424"/>
      <c r="AD17" s="425"/>
      <c r="AE17" s="100" t="n">
        <f aca="false">IF($P17=0,"",S17*AE$159/$BP17/1000)</f>
        <v>636840.146131974</v>
      </c>
      <c r="AF17" s="100" t="n">
        <f aca="false">IF($P17=0,"",T17*AF$159/$BP17/1000)</f>
        <v>52648.6359055005</v>
      </c>
      <c r="AG17" s="100" t="n">
        <f aca="false">IF($P17=0,"",U17*AG$159/$BP17/1000)</f>
        <v>2414.80673911515</v>
      </c>
      <c r="AH17" s="100" t="n">
        <f aca="false">IF($P17=0,"",V17*AH$159/$BP17/1000)</f>
        <v>53.791027230289</v>
      </c>
      <c r="AI17" s="100" t="n">
        <f aca="false">IF($P17=0,"",W17*AI$159/$BP17/1000)</f>
        <v>46.9512754872073</v>
      </c>
      <c r="AJ17" s="100" t="n">
        <f aca="false">IF($P17=0,"",X17*AJ$159/$BP17/1000)</f>
        <v>0.151739318179387</v>
      </c>
      <c r="AK17" s="100" t="n">
        <f aca="false">IF($P17=0,"",Y17*AK$159/$BP17/1000)</f>
        <v>0</v>
      </c>
      <c r="AL17" s="100" t="n">
        <f aca="false">IF($P17=0,"",Z17*AL$159/$BP17/1000)</f>
        <v>0</v>
      </c>
      <c r="AM17" s="100" t="n">
        <f aca="false">IF($P17=0,"",AA17*AM$159/$BP17/1000)</f>
        <v>0</v>
      </c>
      <c r="AN17" s="100" t="n">
        <f aca="false">SUM(AC17:AM17)</f>
        <v>692004.482818625</v>
      </c>
      <c r="AO17" s="100" t="n">
        <f aca="false">D17-AN17</f>
        <v>3758.13718137459</v>
      </c>
      <c r="AP17" s="426" t="n">
        <f aca="false">IF(D17=0,0,AO17/D17)</f>
        <v>0.00540146462794249</v>
      </c>
      <c r="AQ17" s="427" t="n">
        <f aca="false">IF(AB17=0,0,AN17/AB17)*1000</f>
        <v>1033.89890945382</v>
      </c>
      <c r="AR17" s="428" t="n">
        <f aca="false">IF(C17=0,0,D17/C17)*1000</f>
        <v>1039.51380650994</v>
      </c>
      <c r="AS17" s="429" t="n">
        <f aca="false">IF($P17=0,"",Q17*1000/AS$159*$AD$159/14.696/$BP17/42)</f>
        <v>273.834553313969</v>
      </c>
      <c r="AT17" s="100" t="n">
        <f aca="false">IF($P17=0,"",R17*1000/AT$159*$AD$159/14.696/$BP17/42)</f>
        <v>1746.14572130485</v>
      </c>
      <c r="AU17" s="100" t="n">
        <f aca="false">IF($P17=0,"",S17*1000/AU$159*$AD$159/14.696/$BP17/42)</f>
        <v>253869.065580728</v>
      </c>
      <c r="AV17" s="100" t="n">
        <f aca="false">IF($P17=0,"",T17*1000/AV$159*$AD$159/14.696/$BP17/42)</f>
        <v>18894.5357433948</v>
      </c>
      <c r="AW17" s="100" t="n">
        <f aca="false">IF($P17=0,"",U17*1000/AW$159*$AD$159/14.696/$BP17/42)</f>
        <v>627.93605007427</v>
      </c>
      <c r="AX17" s="100" t="n">
        <f aca="false">IF($P17=0,"",V17*1000/AX$159*$AD$159/14.696/$BP17/42)</f>
        <v>12.855233555257</v>
      </c>
      <c r="AY17" s="100" t="n">
        <f aca="false">IF($P17=0,"",W17*1000/AY$159*$AD$159/14.696/$BP17/42)</f>
        <v>10.7753632003206</v>
      </c>
      <c r="AZ17" s="100" t="n">
        <f aca="false">IF($P17=0,"",X17*1000/AZ$159*$AD$159/14.696/$BP17/42)</f>
        <v>0.0329394393748564</v>
      </c>
      <c r="BA17" s="100" t="n">
        <f aca="false">IF($P17=0,"",Y17*1000/BA$159*$AD$159/14.696/$BP17/42)</f>
        <v>0</v>
      </c>
      <c r="BB17" s="100" t="n">
        <f aca="false">IF($P17=0,"",Z17*1000/BB$159*$AD$159/14.696/$BP17/42)</f>
        <v>0</v>
      </c>
      <c r="BC17" s="100" t="n">
        <f aca="false">IF($P17=0,"",AA17*1000/BC$159*$AD$159/14.696/$BP17/42)</f>
        <v>0</v>
      </c>
      <c r="BD17" s="430" t="n">
        <f aca="false">SUM(AS17:BC17)</f>
        <v>275435.181185011</v>
      </c>
      <c r="BE17" s="424" t="n">
        <f aca="false">IF($P17=0,"",E17/$P17*BE$159)</f>
        <v>1.97036414678039E-005</v>
      </c>
      <c r="BF17" s="425" t="n">
        <f aca="false">IF($P17=0,"",F17/$P17*BF$159)</f>
        <v>4.41773772117897E-005</v>
      </c>
      <c r="BG17" s="425" t="n">
        <f aca="false">IF($P17=0,"",G17/$P17*BG$159)</f>
        <v>0.0109390534110781</v>
      </c>
      <c r="BH17" s="425" t="n">
        <f aca="false">IF($P17=0,"",H17/$P17*BH$159)</f>
        <v>0.00105888986079193</v>
      </c>
      <c r="BI17" s="425" t="n">
        <f aca="false">IF($P17=0,"",I17/$P17*BI$159)</f>
        <v>4.98062928276097E-005</v>
      </c>
      <c r="BJ17" s="425" t="n">
        <f aca="false">IF($P17=0,"",J17/$P17*BJ$159)</f>
        <v>1.09096328085673E-006</v>
      </c>
      <c r="BK17" s="425" t="n">
        <f aca="false">IF($P17=0,"",K17/$P17*BK$159)</f>
        <v>1.01161646333466E-006</v>
      </c>
      <c r="BL17" s="425" t="n">
        <f aca="false">IF($P17=0,"",L17/$P17*BL$159)</f>
        <v>3.26705489093468E-009</v>
      </c>
      <c r="BM17" s="425" t="n">
        <f aca="false">IF($P17=0,"",M17/$P17*BM$159)</f>
        <v>0</v>
      </c>
      <c r="BN17" s="425" t="n">
        <f aca="false">IF($P17=0,"",N17/$P17*BN$159)</f>
        <v>0</v>
      </c>
      <c r="BO17" s="425" t="n">
        <f aca="false">IF($P17=0,"",O17/$P17*BO$159)</f>
        <v>0</v>
      </c>
      <c r="BP17" s="423" t="n">
        <f aca="false">1-AD$159*(SUM(BE17:BO17))^2</f>
        <v>0.997850220759108</v>
      </c>
    </row>
    <row r="18" customFormat="false" ht="15" hidden="false" customHeight="false" outlineLevel="0" collapsed="false">
      <c r="A18" s="413" t="s">
        <v>39</v>
      </c>
      <c r="B18" s="414" t="s">
        <v>226</v>
      </c>
      <c r="C18" s="415" t="n">
        <v>1151339.8</v>
      </c>
      <c r="D18" s="416" t="n">
        <v>1449805.67</v>
      </c>
      <c r="E18" s="417" t="n">
        <v>0.815046438899443</v>
      </c>
      <c r="F18" s="417" t="n">
        <v>1.09182948492832</v>
      </c>
      <c r="G18" s="417" t="n">
        <v>79.1761940127324</v>
      </c>
      <c r="H18" s="417" t="n">
        <v>9.43309602648388</v>
      </c>
      <c r="I18" s="417" t="n">
        <v>5.05057468460211</v>
      </c>
      <c r="J18" s="417" t="n">
        <v>0.949274743767535</v>
      </c>
      <c r="K18" s="417" t="n">
        <v>1.7945837994806</v>
      </c>
      <c r="L18" s="417" t="n">
        <v>0.597222247268506</v>
      </c>
      <c r="M18" s="417" t="n">
        <v>0.454581941798881</v>
      </c>
      <c r="N18" s="432" t="n">
        <v>0.63760771744079</v>
      </c>
      <c r="O18" s="76"/>
      <c r="P18" s="418" t="n">
        <f aca="false">SUM(E18:O18)</f>
        <v>100.000011097402</v>
      </c>
      <c r="Q18" s="14" t="n">
        <f aca="false">IF($P18=0,"",$C18*E18/$P18)</f>
        <v>9383.95299815694</v>
      </c>
      <c r="R18" s="15" t="n">
        <f aca="false">IF($P18=0,"",$C18*F18/$P18)</f>
        <v>12570.6660130974</v>
      </c>
      <c r="S18" s="15" t="n">
        <f aca="false">IF($P18=0,"",$C18*G18/$P18)</f>
        <v>911586.932631334</v>
      </c>
      <c r="T18" s="15" t="n">
        <f aca="false">IF($P18=0,"",$C18*H18/$P18)</f>
        <v>108606.976872574</v>
      </c>
      <c r="U18" s="15" t="n">
        <f aca="false">IF($P18=0,"",$C18*I18/$P18)</f>
        <v>58149.27001949</v>
      </c>
      <c r="V18" s="15" t="n">
        <f aca="false">IF($P18=0,"",$C18*J18/$P18)</f>
        <v>10929.3767234667</v>
      </c>
      <c r="W18" s="15" t="n">
        <f aca="false">IF($P18=0,"",$C18*K18/$P18)</f>
        <v>20661.7552348542</v>
      </c>
      <c r="X18" s="15" t="n">
        <f aca="false">IF($P18=0,"",$C18*L18/$P18)</f>
        <v>6876.05666419304</v>
      </c>
      <c r="Y18" s="15" t="n">
        <f aca="false">IF($P18=0,"",$C18*M18/$P18)</f>
        <v>5233.78223872947</v>
      </c>
      <c r="Z18" s="15" t="n">
        <f aca="false">IF($P18=0,"",$C18*N18/$P18)</f>
        <v>7341.03060410365</v>
      </c>
      <c r="AA18" s="15" t="n">
        <f aca="false">IF($P18=0,"",$C18*O18/$P18)</f>
        <v>0</v>
      </c>
      <c r="AB18" s="16" t="n">
        <f aca="false">SUM(Q18:AA18)</f>
        <v>1151339.8</v>
      </c>
      <c r="AC18" s="419"/>
      <c r="AD18" s="420"/>
      <c r="AE18" s="15" t="n">
        <f aca="false">IF($P18=0,"",S18*AE$159/$BP18/1000)</f>
        <v>921163.810876618</v>
      </c>
      <c r="AF18" s="15" t="n">
        <f aca="false">IF($P18=0,"",T18*AF$159/$BP18/1000)</f>
        <v>192309.665597206</v>
      </c>
      <c r="AG18" s="15" t="n">
        <f aca="false">IF($P18=0,"",U18*AG$159/$BP18/1000)</f>
        <v>146386.828072208</v>
      </c>
      <c r="AH18" s="15" t="n">
        <f aca="false">IF($P18=0,"",V18*AH$159/$BP18/1000)</f>
        <v>35560.1665811306</v>
      </c>
      <c r="AI18" s="15" t="n">
        <f aca="false">IF($P18=0,"",W18*AI$159/$BP18/1000)</f>
        <v>67441.4150031988</v>
      </c>
      <c r="AJ18" s="15" t="n">
        <f aca="false">IF($P18=0,"",X18*AJ$159/$BP18/1000)</f>
        <v>27525.4054220892</v>
      </c>
      <c r="AK18" s="15" t="n">
        <f aca="false">IF($P18=0,"",Y18*AK$159/$BP18/1000)</f>
        <v>20992.2231532283</v>
      </c>
      <c r="AL18" s="15" t="n">
        <f aca="false">IF($P18=0,"",Z18*AL$159/$BP18/1000)</f>
        <v>37674.3167419699</v>
      </c>
      <c r="AM18" s="15" t="n">
        <f aca="false">IF($P18=0,"",AA18*AM$159/$BP18/1000)</f>
        <v>0</v>
      </c>
      <c r="AN18" s="15" t="n">
        <f aca="false">SUM(AC18:AM18)</f>
        <v>1449053.83144765</v>
      </c>
      <c r="AO18" s="15" t="n">
        <f aca="false">D18-AN18</f>
        <v>751.838552352041</v>
      </c>
      <c r="AP18" s="421" t="n">
        <f aca="false">IF(D18=0,0,AO18/D18)</f>
        <v>0.000518578846744365</v>
      </c>
      <c r="AQ18" s="75" t="n">
        <f aca="false">IF(AB18=0,0,AN18/AB18)*1000</f>
        <v>1258.58050894067</v>
      </c>
      <c r="AR18" s="340" t="n">
        <f aca="false">IF(C18=0,0,D18/C18)*1000</f>
        <v>1259.23352080767</v>
      </c>
      <c r="AS18" s="422" t="n">
        <f aca="false">IF($P18=0,"",Q18*1000/AS$159*$AD$159/14.696/$BP18/42)</f>
        <v>3805.32963898909</v>
      </c>
      <c r="AT18" s="15" t="n">
        <f aca="false">IF($P18=0,"",R18*1000/AT$159*$AD$159/14.696/$BP18/42)</f>
        <v>3286.17895378492</v>
      </c>
      <c r="AU18" s="15" t="n">
        <f aca="false">IF($P18=0,"",S18*1000/AU$159*$AD$159/14.696/$BP18/42)</f>
        <v>367211.453823088</v>
      </c>
      <c r="AV18" s="15" t="n">
        <f aca="false">IF($P18=0,"",T18*1000/AV$159*$AD$159/14.696/$BP18/42)</f>
        <v>69016.0682785532</v>
      </c>
      <c r="AW18" s="15" t="n">
        <f aca="false">IF($P18=0,"",U18*1000/AW$159*$AD$159/14.696/$BP18/42)</f>
        <v>38065.8067221751</v>
      </c>
      <c r="AX18" s="15" t="n">
        <f aca="false">IF($P18=0,"",V18*1000/AX$159*$AD$159/14.696/$BP18/42)</f>
        <v>8498.33643643211</v>
      </c>
      <c r="AY18" s="15" t="n">
        <f aca="false">IF($P18=0,"",W18*1000/AY$159*$AD$159/14.696/$BP18/42)</f>
        <v>15477.8700655538</v>
      </c>
      <c r="AZ18" s="15" t="n">
        <f aca="false">IF($P18=0,"",X18*1000/AZ$159*$AD$159/14.696/$BP18/42)</f>
        <v>5975.19109778377</v>
      </c>
      <c r="BA18" s="15" t="n">
        <f aca="false">IF($P18=0,"",Y18*1000/BA$159*$AD$159/14.696/$BP18/42)</f>
        <v>4507.95568001505</v>
      </c>
      <c r="BB18" s="15" t="n">
        <f aca="false">IF($P18=0,"",Z18*1000/BB$159*$AD$159/14.696/$BP18/42)</f>
        <v>7569.28085043136</v>
      </c>
      <c r="BC18" s="15" t="n">
        <f aca="false">IF($P18=0,"",AA18*1000/BC$159*$AD$159/14.696/$BP18/42)</f>
        <v>0</v>
      </c>
      <c r="BD18" s="55" t="n">
        <f aca="false">SUM(AS18:BC18)</f>
        <v>523413.471546806</v>
      </c>
      <c r="BE18" s="419" t="n">
        <f aca="false">IF($P18=0,"",E18/$P18*BE$159)</f>
        <v>0.000158934037947842</v>
      </c>
      <c r="BF18" s="420" t="n">
        <f aca="false">IF($P18=0,"",F18/$P18*BF$159)</f>
        <v>4.82588578783521E-005</v>
      </c>
      <c r="BG18" s="420" t="n">
        <f aca="false">IF($P18=0,"",G18/$P18*BG$159)</f>
        <v>0.00918443748624297</v>
      </c>
      <c r="BH18" s="420" t="n">
        <f aca="false">IF($P18=0,"",H18/$P18*BH$159)</f>
        <v>0.00224507660515798</v>
      </c>
      <c r="BI18" s="420" t="n">
        <f aca="false">IF($P18=0,"",I18/$P18*BI$159)</f>
        <v>0.00175254922106949</v>
      </c>
      <c r="BJ18" s="420" t="n">
        <f aca="false">IF($P18=0,"",J18/$P18*BJ$159)</f>
        <v>0.000418630115544414</v>
      </c>
      <c r="BK18" s="420" t="n">
        <f aca="false">IF($P18=0,"",K18/$P18*BK$159)</f>
        <v>0.000843454292154365</v>
      </c>
      <c r="BL18" s="420" t="n">
        <f aca="false">IF($P18=0,"",L18/$P18*BL$159)</f>
        <v>0.000343999976251598</v>
      </c>
      <c r="BM18" s="420" t="n">
        <f aca="false">IF($P18=0,"",M18/$P18*BM$159)</f>
        <v>0.000275476626159372</v>
      </c>
      <c r="BN18" s="420" t="n">
        <f aca="false">IF($P18=0,"",N18/$P18*BN$159)</f>
        <v>0.000550701724440024</v>
      </c>
      <c r="BO18" s="420" t="n">
        <f aca="false">IF($P18=0,"",O18/$P18*BO$159)</f>
        <v>0</v>
      </c>
      <c r="BP18" s="418" t="n">
        <f aca="false">1-AD$159*(SUM(BE18:BO18))^2</f>
        <v>0.996332805236698</v>
      </c>
    </row>
    <row r="19" customFormat="false" ht="15" hidden="false" customHeight="false" outlineLevel="0" collapsed="false">
      <c r="A19" s="413" t="s">
        <v>40</v>
      </c>
      <c r="B19" s="414" t="s">
        <v>227</v>
      </c>
      <c r="C19" s="415" t="n">
        <v>131184.94</v>
      </c>
      <c r="D19" s="416" t="n">
        <v>165191.8</v>
      </c>
      <c r="E19" s="417" t="n">
        <v>0.815284680039878</v>
      </c>
      <c r="F19" s="417" t="n">
        <v>1.0917341115764</v>
      </c>
      <c r="G19" s="417" t="n">
        <v>79.1767516200042</v>
      </c>
      <c r="H19" s="417" t="n">
        <v>9.43254437363945</v>
      </c>
      <c r="I19" s="417" t="n">
        <v>5.05028694260133</v>
      </c>
      <c r="J19" s="417" t="n">
        <v>0.949303908427994</v>
      </c>
      <c r="K19" s="417" t="n">
        <v>1.79456191047132</v>
      </c>
      <c r="L19" s="417" t="n">
        <v>0.597265415316484</v>
      </c>
      <c r="M19" s="417" t="n">
        <v>0.454600379547278</v>
      </c>
      <c r="N19" s="432" t="n">
        <v>0.637677767565951</v>
      </c>
      <c r="O19" s="76"/>
      <c r="P19" s="423" t="n">
        <f aca="false">SUM(E19:O19)</f>
        <v>100.00001110919</v>
      </c>
      <c r="Q19" s="99" t="n">
        <f aca="false">IF($P19=0,"",$C19*E19/$P19)</f>
        <v>1069.53059952332</v>
      </c>
      <c r="R19" s="100" t="n">
        <f aca="false">IF($P19=0,"",$C19*F19/$P19)</f>
        <v>1432.19058012626</v>
      </c>
      <c r="S19" s="100" t="n">
        <f aca="false">IF($P19=0,"",$C19*G19/$P19)</f>
        <v>103867.962567762</v>
      </c>
      <c r="T19" s="100" t="n">
        <f aca="false">IF($P19=0,"",$C19*H19/$P19)</f>
        <v>12374.0763023726</v>
      </c>
      <c r="U19" s="100" t="n">
        <f aca="false">IF($P19=0,"",$C19*I19/$P19)</f>
        <v>6625.21515947163</v>
      </c>
      <c r="V19" s="100" t="n">
        <f aca="false">IF($P19=0,"",$C19*J19/$P19)</f>
        <v>1245.34362434133</v>
      </c>
      <c r="W19" s="100" t="n">
        <f aca="false">IF($P19=0,"",$C19*K19/$P19)</f>
        <v>2354.19470398269</v>
      </c>
      <c r="X19" s="100" t="n">
        <f aca="false">IF($P19=0,"",$C19*L19/$P19)</f>
        <v>783.52218968071</v>
      </c>
      <c r="Y19" s="100" t="n">
        <f aca="false">IF($P19=0,"",$C19*M19/$P19)</f>
        <v>596.367168897306</v>
      </c>
      <c r="Z19" s="100" t="n">
        <f aca="false">IF($P19=0,"",$C19*N19/$P19)</f>
        <v>836.537103842234</v>
      </c>
      <c r="AA19" s="100" t="n">
        <f aca="false">IF($P19=0,"",$C19*O19/$P19)</f>
        <v>0</v>
      </c>
      <c r="AB19" s="101" t="n">
        <f aca="false">SUM(Q19:AA19)</f>
        <v>131184.94</v>
      </c>
      <c r="AC19" s="424"/>
      <c r="AD19" s="425"/>
      <c r="AE19" s="100" t="n">
        <f aca="false">IF($P19=0,"",S19*AE$159/$BP19/1000)</f>
        <v>104959.169207462</v>
      </c>
      <c r="AF19" s="100" t="n">
        <f aca="false">IF($P19=0,"",T19*AF$159/$BP19/1000)</f>
        <v>21910.6959471023</v>
      </c>
      <c r="AG19" s="100" t="n">
        <f aca="false">IF($P19=0,"",U19*AG$159/$BP19/1000)</f>
        <v>16678.5278789915</v>
      </c>
      <c r="AH19" s="100" t="n">
        <f aca="false">IF($P19=0,"",V19*AH$159/$BP19/1000)</f>
        <v>4051.88944763816</v>
      </c>
      <c r="AI19" s="100" t="n">
        <f aca="false">IF($P19=0,"",W19*AI$159/$BP19/1000)</f>
        <v>7684.25617138983</v>
      </c>
      <c r="AJ19" s="100" t="n">
        <f aca="false">IF($P19=0,"",X19*AJ$159/$BP19/1000)</f>
        <v>3136.50202863669</v>
      </c>
      <c r="AK19" s="100" t="n">
        <f aca="false">IF($P19=0,"",Y19*AK$159/$BP19/1000)</f>
        <v>2391.97428809459</v>
      </c>
      <c r="AL19" s="100" t="n">
        <f aca="false">IF($P19=0,"",Z19*AL$159/$BP19/1000)</f>
        <v>4293.12519564146</v>
      </c>
      <c r="AM19" s="100" t="n">
        <f aca="false">IF($P19=0,"",AA19*AM$159/$BP19/1000)</f>
        <v>0</v>
      </c>
      <c r="AN19" s="100" t="n">
        <f aca="false">SUM(AC19:AM19)</f>
        <v>165106.140164956</v>
      </c>
      <c r="AO19" s="100" t="n">
        <f aca="false">D19-AN19</f>
        <v>85.6598350439745</v>
      </c>
      <c r="AP19" s="426" t="n">
        <f aca="false">IF(D19=0,0,AO19/D19)</f>
        <v>0.000518547742950767</v>
      </c>
      <c r="AQ19" s="427" t="n">
        <f aca="false">IF(AB19=0,0,AN19/AB19)*1000</f>
        <v>1258.57541395343</v>
      </c>
      <c r="AR19" s="428" t="n">
        <f aca="false">IF(C19=0,0,D19/C19)*1000</f>
        <v>1259.22838398981</v>
      </c>
      <c r="AS19" s="429" t="n">
        <f aca="false">IF($P19=0,"",Q19*1000/AS$159*$AD$159/14.696/$BP19/42)</f>
        <v>433.710233143123</v>
      </c>
      <c r="AT19" s="100" t="n">
        <f aca="false">IF($P19=0,"",R19*1000/AT$159*$AD$159/14.696/$BP19/42)</f>
        <v>374.398180839791</v>
      </c>
      <c r="AU19" s="100" t="n">
        <f aca="false">IF($P19=0,"",S19*1000/AU$159*$AD$159/14.696/$BP19/42)</f>
        <v>41840.7764847568</v>
      </c>
      <c r="AV19" s="100" t="n">
        <f aca="false">IF($P19=0,"",T19*1000/AV$159*$AD$159/14.696/$BP19/42)</f>
        <v>7863.30776885198</v>
      </c>
      <c r="AW19" s="100" t="n">
        <f aca="false">IF($P19=0,"",U19*1000/AW$159*$AD$159/14.696/$BP19/42)</f>
        <v>4337.01328878396</v>
      </c>
      <c r="AX19" s="100" t="n">
        <f aca="false">IF($P19=0,"",V19*1000/AX$159*$AD$159/14.696/$BP19/42)</f>
        <v>968.339663164856</v>
      </c>
      <c r="AY19" s="100" t="n">
        <f aca="false">IF($P19=0,"",W19*1000/AY$159*$AD$159/14.696/$BP19/42)</f>
        <v>1763.54423414101</v>
      </c>
      <c r="AZ19" s="100" t="n">
        <f aca="false">IF($P19=0,"",X19*1000/AZ$159*$AD$159/14.696/$BP19/42)</f>
        <v>680.869135705839</v>
      </c>
      <c r="BA19" s="100" t="n">
        <f aca="false">IF($P19=0,"",Y19*1000/BA$159*$AD$159/14.696/$BP19/42)</f>
        <v>513.662321506319</v>
      </c>
      <c r="BB19" s="100" t="n">
        <f aca="false">IF($P19=0,"",Z19*1000/BB$159*$AD$159/14.696/$BP19/42)</f>
        <v>862.547038462207</v>
      </c>
      <c r="BC19" s="100" t="n">
        <f aca="false">IF($P19=0,"",AA19*1000/BC$159*$AD$159/14.696/$BP19/42)</f>
        <v>0</v>
      </c>
      <c r="BD19" s="430" t="n">
        <f aca="false">SUM(AS19:BC19)</f>
        <v>59638.1683493559</v>
      </c>
      <c r="BE19" s="424" t="n">
        <f aca="false">IF($P19=0,"",E19/$P19*BE$159)</f>
        <v>0.000158980494946331</v>
      </c>
      <c r="BF19" s="425" t="n">
        <f aca="false">IF($P19=0,"",F19/$P19*BF$159)</f>
        <v>4.82546423709769E-005</v>
      </c>
      <c r="BG19" s="425" t="n">
        <f aca="false">IF($P19=0,"",G19/$P19*BG$159)</f>
        <v>0.00918450216759667</v>
      </c>
      <c r="BH19" s="425" t="n">
        <f aca="false">IF($P19=0,"",H19/$P19*BH$159)</f>
        <v>0.00224494531153094</v>
      </c>
      <c r="BI19" s="425" t="n">
        <f aca="false">IF($P19=0,"",I19/$P19*BI$159)</f>
        <v>0.00175244937439973</v>
      </c>
      <c r="BJ19" s="425" t="n">
        <f aca="false">IF($P19=0,"",J19/$P19*BJ$159)</f>
        <v>0.0004186429771089</v>
      </c>
      <c r="BK19" s="425" t="n">
        <f aca="false">IF($P19=0,"",K19/$P19*BK$159)</f>
        <v>0.000843444004221721</v>
      </c>
      <c r="BL19" s="425" t="n">
        <f aca="false">IF($P19=0,"",L19/$P19*BL$159)</f>
        <v>0.000344024841003921</v>
      </c>
      <c r="BM19" s="425" t="n">
        <f aca="false">IF($P19=0,"",M19/$P19*BM$159)</f>
        <v>0.000275487799401187</v>
      </c>
      <c r="BN19" s="425" t="n">
        <f aca="false">IF($P19=0,"",N19/$P19*BN$159)</f>
        <v>0.000550762226661488</v>
      </c>
      <c r="BO19" s="425" t="n">
        <f aca="false">IF($P19=0,"",O19/$P19*BO$159)</f>
        <v>0</v>
      </c>
      <c r="BP19" s="423" t="n">
        <f aca="false">1-AD$159*(SUM(BE19:BO19))^2</f>
        <v>0.996332816873979</v>
      </c>
    </row>
    <row r="20" customFormat="false" ht="15" hidden="false" customHeight="false" outlineLevel="0" collapsed="false">
      <c r="A20" s="413" t="s">
        <v>41</v>
      </c>
      <c r="B20" s="414" t="s">
        <v>228</v>
      </c>
      <c r="C20" s="415" t="n">
        <v>346861.43</v>
      </c>
      <c r="D20" s="416" t="n">
        <v>433604.99</v>
      </c>
      <c r="E20" s="417" t="n">
        <v>0.0159192614542988</v>
      </c>
      <c r="F20" s="417" t="n">
        <v>0.605452788952156</v>
      </c>
      <c r="G20" s="417" t="n">
        <v>80.7794008690854</v>
      </c>
      <c r="H20" s="417" t="n">
        <v>10.5911154496617</v>
      </c>
      <c r="I20" s="417" t="n">
        <v>4.41724218760527</v>
      </c>
      <c r="J20" s="417" t="n">
        <v>0.69687775287813</v>
      </c>
      <c r="K20" s="417" t="n">
        <v>1.47066420865023</v>
      </c>
      <c r="L20" s="417" t="n">
        <v>0.371587871304939</v>
      </c>
      <c r="M20" s="417" t="n">
        <v>0.43461843104407</v>
      </c>
      <c r="N20" s="417" t="n">
        <v>0.617121665503266</v>
      </c>
      <c r="O20" s="76"/>
      <c r="P20" s="418" t="n">
        <f aca="false">SUM(E20:O20)</f>
        <v>100.000000486139</v>
      </c>
      <c r="Q20" s="14" t="n">
        <f aca="false">IF($P20=0,"",$C20*E20/$P20)</f>
        <v>55.2177776573842</v>
      </c>
      <c r="R20" s="15" t="n">
        <f aca="false">IF($P20=0,"",$C20*F20/$P20)</f>
        <v>2100.082191525</v>
      </c>
      <c r="S20" s="15" t="n">
        <f aca="false">IF($P20=0,"",$C20*G20/$P20)</f>
        <v>280192.583637815</v>
      </c>
      <c r="T20" s="15" t="n">
        <f aca="false">IF($P20=0,"",$C20*H20/$P20)</f>
        <v>36736.4943230569</v>
      </c>
      <c r="U20" s="15" t="n">
        <f aca="false">IF($P20=0,"",$C20*I20/$P20)</f>
        <v>15321.7093440061</v>
      </c>
      <c r="V20" s="15" t="n">
        <f aca="false">IF($P20=0,"",$C20*J20/$P20)</f>
        <v>2417.20012723398</v>
      </c>
      <c r="W20" s="15" t="n">
        <f aca="false">IF($P20=0,"",$C20*K20/$P20)</f>
        <v>5101.16687982359</v>
      </c>
      <c r="X20" s="15" t="n">
        <f aca="false">IF($P20=0,"",$C20*L20/$P20)</f>
        <v>1288.89499784904</v>
      </c>
      <c r="Y20" s="15" t="n">
        <f aca="false">IF($P20=0,"",$C20*M20/$P20)</f>
        <v>1507.52369763436</v>
      </c>
      <c r="Z20" s="15" t="n">
        <f aca="false">IF($P20=0,"",$C20*N20/$P20)</f>
        <v>2140.55702339835</v>
      </c>
      <c r="AA20" s="15" t="n">
        <f aca="false">IF($P20=0,"",$C20*O20/$P20)</f>
        <v>0</v>
      </c>
      <c r="AB20" s="16" t="n">
        <f aca="false">SUM(Q20:AA20)</f>
        <v>346861.43</v>
      </c>
      <c r="AC20" s="419"/>
      <c r="AD20" s="420"/>
      <c r="AE20" s="15" t="n">
        <f aca="false">IF($P20=0,"",S20*AE$159/$BP20/1000)</f>
        <v>283089.483044609</v>
      </c>
      <c r="AF20" s="15" t="n">
        <f aca="false">IF($P20=0,"",T20*AF$159/$BP20/1000)</f>
        <v>65038.3358910553</v>
      </c>
      <c r="AG20" s="15" t="n">
        <f aca="false">IF($P20=0,"",U20*AG$159/$BP20/1000)</f>
        <v>38564.9946598372</v>
      </c>
      <c r="AH20" s="15" t="n">
        <f aca="false">IF($P20=0,"",V20*AH$159/$BP20/1000)</f>
        <v>7863.38105910845</v>
      </c>
      <c r="AI20" s="15" t="n">
        <f aca="false">IF($P20=0,"",W20*AI$159/$BP20/1000)</f>
        <v>16647.8178451149</v>
      </c>
      <c r="AJ20" s="15" t="n">
        <f aca="false">IF($P20=0,"",X20*AJ$159/$BP20/1000)</f>
        <v>5158.69840657658</v>
      </c>
      <c r="AK20" s="15" t="n">
        <f aca="false">IF($P20=0,"",Y20*AK$159/$BP20/1000)</f>
        <v>6045.54218389145</v>
      </c>
      <c r="AL20" s="15" t="n">
        <f aca="false">IF($P20=0,"",Z20*AL$159/$BP20/1000)</f>
        <v>10983.5687959136</v>
      </c>
      <c r="AM20" s="15" t="n">
        <f aca="false">IF($P20=0,"",AA20*AM$159/$BP20/1000)</f>
        <v>0</v>
      </c>
      <c r="AN20" s="15" t="n">
        <f aca="false">SUM(AC20:AM20)</f>
        <v>433391.821886107</v>
      </c>
      <c r="AO20" s="15" t="n">
        <f aca="false">D20-AN20</f>
        <v>213.168113893247</v>
      </c>
      <c r="AP20" s="421" t="n">
        <f aca="false">IF(D20=0,0,AO20/D20)</f>
        <v>0.000491618221213845</v>
      </c>
      <c r="AQ20" s="75" t="n">
        <f aca="false">IF(AB20=0,0,AN20/AB20)*1000</f>
        <v>1249.46674493646</v>
      </c>
      <c r="AR20" s="340" t="n">
        <f aca="false">IF(C20=0,0,D20/C20)*1000</f>
        <v>1250.08130768532</v>
      </c>
      <c r="AS20" s="422" t="n">
        <f aca="false">IF($P20=0,"",Q20*1000/AS$159*$AD$159/14.696/$BP20/42)</f>
        <v>22.387917936987</v>
      </c>
      <c r="AT20" s="15" t="n">
        <f aca="false">IF($P20=0,"",R20*1000/AT$159*$AD$159/14.696/$BP20/42)</f>
        <v>548.905442535804</v>
      </c>
      <c r="AU20" s="15" t="n">
        <f aca="false">IF($P20=0,"",S20*1000/AU$159*$AD$159/14.696/$BP20/42)</f>
        <v>112850.395774787</v>
      </c>
      <c r="AV20" s="15" t="n">
        <f aca="false">IF($P20=0,"",T20*1000/AV$159*$AD$159/14.696/$BP20/42)</f>
        <v>23340.9496950723</v>
      </c>
      <c r="AW20" s="15" t="n">
        <f aca="false">IF($P20=0,"",U20*1000/AW$159*$AD$159/14.696/$BP20/42)</f>
        <v>10028.2768080675</v>
      </c>
      <c r="AX20" s="15" t="n">
        <f aca="false">IF($P20=0,"",V20*1000/AX$159*$AD$159/14.696/$BP20/42)</f>
        <v>1879.22791688022</v>
      </c>
      <c r="AY20" s="15" t="n">
        <f aca="false">IF($P20=0,"",W20*1000/AY$159*$AD$159/14.696/$BP20/42)</f>
        <v>3820.69032017605</v>
      </c>
      <c r="AZ20" s="15" t="n">
        <f aca="false">IF($P20=0,"",X20*1000/AZ$159*$AD$159/14.696/$BP20/42)</f>
        <v>1119.84576875265</v>
      </c>
      <c r="BA20" s="15" t="n">
        <f aca="false">IF($P20=0,"",Y20*1000/BA$159*$AD$159/14.696/$BP20/42)</f>
        <v>1298.24440354489</v>
      </c>
      <c r="BB20" s="15" t="n">
        <f aca="false">IF($P20=0,"",Z20*1000/BB$159*$AD$159/14.696/$BP20/42)</f>
        <v>2206.74783634994</v>
      </c>
      <c r="BC20" s="15" t="n">
        <f aca="false">IF($P20=0,"",AA20*1000/BC$159*$AD$159/14.696/$BP20/42)</f>
        <v>0</v>
      </c>
      <c r="BD20" s="55" t="n">
        <f aca="false">SUM(AS20:BC20)</f>
        <v>157115.671884103</v>
      </c>
      <c r="BE20" s="419" t="n">
        <f aca="false">IF($P20=0,"",E20/$P20*BE$159)</f>
        <v>3.10425596849725E-006</v>
      </c>
      <c r="BF20" s="420" t="n">
        <f aca="false">IF($P20=0,"",F20/$P20*BF$159)</f>
        <v>2.67610131415895E-005</v>
      </c>
      <c r="BG20" s="420" t="n">
        <f aca="false">IF($P20=0,"",G20/$P20*BG$159)</f>
        <v>0.00937041045526065</v>
      </c>
      <c r="BH20" s="420" t="n">
        <f aca="false">IF($P20=0,"",H20/$P20*BH$159)</f>
        <v>0.00252068546476544</v>
      </c>
      <c r="BI20" s="420" t="n">
        <f aca="false">IF($P20=0,"",I20/$P20*BI$159)</f>
        <v>0.00153278303164757</v>
      </c>
      <c r="BJ20" s="420" t="n">
        <f aca="false">IF($P20=0,"",J20/$P20*BJ$159)</f>
        <v>0.000307323087525237</v>
      </c>
      <c r="BK20" s="420" t="n">
        <f aca="false">IF($P20=0,"",K20/$P20*BK$159)</f>
        <v>0.000691212174705353</v>
      </c>
      <c r="BL20" s="420" t="n">
        <f aca="false">IF($P20=0,"",L20/$P20*BL$159)</f>
        <v>0.000214034612831138</v>
      </c>
      <c r="BM20" s="420" t="n">
        <f aca="false">IF($P20=0,"",M20/$P20*BM$159)</f>
        <v>0.000263378767932318</v>
      </c>
      <c r="BN20" s="420" t="n">
        <f aca="false">IF($P20=0,"",N20/$P20*BN$159)</f>
        <v>0.000533007979904009</v>
      </c>
      <c r="BO20" s="420" t="n">
        <f aca="false">IF($P20=0,"",O20/$P20*BO$159)</f>
        <v>0</v>
      </c>
      <c r="BP20" s="418" t="n">
        <f aca="false">1-AD$159*(SUM(BE20:BO20))^2</f>
        <v>0.996497256530365</v>
      </c>
    </row>
    <row r="21" customFormat="false" ht="15" hidden="false" customHeight="false" outlineLevel="0" collapsed="false">
      <c r="A21" s="413" t="s">
        <v>42</v>
      </c>
      <c r="B21" s="414" t="s">
        <v>229</v>
      </c>
      <c r="C21" s="415" t="n">
        <v>0</v>
      </c>
      <c r="D21" s="416" t="n">
        <v>0</v>
      </c>
      <c r="E21" s="417" t="n">
        <v>0.0158747460440262</v>
      </c>
      <c r="F21" s="417" t="n">
        <v>0.605738110039183</v>
      </c>
      <c r="G21" s="417" t="n">
        <v>80.7971468176893</v>
      </c>
      <c r="H21" s="417" t="n">
        <v>10.5877152912078</v>
      </c>
      <c r="I21" s="417" t="n">
        <v>4.41222034282582</v>
      </c>
      <c r="J21" s="417" t="n">
        <v>0.695783665263525</v>
      </c>
      <c r="K21" s="417" t="n">
        <v>1.46754235926495</v>
      </c>
      <c r="L21" s="417" t="n">
        <v>0.370649128271047</v>
      </c>
      <c r="M21" s="417" t="n">
        <v>0.433409774535766</v>
      </c>
      <c r="N21" s="417" t="n">
        <v>0.613919309019962</v>
      </c>
      <c r="O21" s="76"/>
      <c r="P21" s="423" t="n">
        <f aca="false">SUM(E21:O21)</f>
        <v>99.9999995441614</v>
      </c>
      <c r="Q21" s="99" t="n">
        <f aca="false">IF($P21=0,"",$C21*E21/$P21)</f>
        <v>0</v>
      </c>
      <c r="R21" s="100" t="n">
        <f aca="false">IF($P21=0,"",$C21*F21/$P21)</f>
        <v>0</v>
      </c>
      <c r="S21" s="100" t="n">
        <f aca="false">IF($P21=0,"",$C21*G21/$P21)</f>
        <v>0</v>
      </c>
      <c r="T21" s="100" t="n">
        <f aca="false">IF($P21=0,"",$C21*H21/$P21)</f>
        <v>0</v>
      </c>
      <c r="U21" s="100" t="n">
        <f aca="false">IF($P21=0,"",$C21*I21/$P21)</f>
        <v>0</v>
      </c>
      <c r="V21" s="100" t="n">
        <f aca="false">IF($P21=0,"",$C21*J21/$P21)</f>
        <v>0</v>
      </c>
      <c r="W21" s="100" t="n">
        <f aca="false">IF($P21=0,"",$C21*K21/$P21)</f>
        <v>0</v>
      </c>
      <c r="X21" s="100" t="n">
        <f aca="false">IF($P21=0,"",$C21*L21/$P21)</f>
        <v>0</v>
      </c>
      <c r="Y21" s="100" t="n">
        <f aca="false">IF($P21=0,"",$C21*M21/$P21)</f>
        <v>0</v>
      </c>
      <c r="Z21" s="100" t="n">
        <f aca="false">IF($P21=0,"",$C21*N21/$P21)</f>
        <v>0</v>
      </c>
      <c r="AA21" s="100" t="n">
        <f aca="false">IF($P21=0,"",$C21*O21/$P21)</f>
        <v>0</v>
      </c>
      <c r="AB21" s="101" t="n">
        <f aca="false">SUM(Q21:AA21)</f>
        <v>0</v>
      </c>
      <c r="AC21" s="424"/>
      <c r="AD21" s="425"/>
      <c r="AE21" s="100" t="n">
        <f aca="false">IF($P21=0,"",S21*AE$159/$BP21/1000)</f>
        <v>0</v>
      </c>
      <c r="AF21" s="100" t="n">
        <f aca="false">IF($P21=0,"",T21*AF$159/$BP21/1000)</f>
        <v>0</v>
      </c>
      <c r="AG21" s="100" t="n">
        <f aca="false">IF($P21=0,"",U21*AG$159/$BP21/1000)</f>
        <v>0</v>
      </c>
      <c r="AH21" s="100" t="n">
        <f aca="false">IF($P21=0,"",V21*AH$159/$BP21/1000)</f>
        <v>0</v>
      </c>
      <c r="AI21" s="100" t="n">
        <f aca="false">IF($P21=0,"",W21*AI$159/$BP21/1000)</f>
        <v>0</v>
      </c>
      <c r="AJ21" s="100" t="n">
        <f aca="false">IF($P21=0,"",X21*AJ$159/$BP21/1000)</f>
        <v>0</v>
      </c>
      <c r="AK21" s="100" t="n">
        <f aca="false">IF($P21=0,"",Y21*AK$159/$BP21/1000)</f>
        <v>0</v>
      </c>
      <c r="AL21" s="100" t="n">
        <f aca="false">IF($P21=0,"",Z21*AL$159/$BP21/1000)</f>
        <v>0</v>
      </c>
      <c r="AM21" s="100" t="n">
        <f aca="false">IF($P21=0,"",AA21*AM$159/$BP21/1000)</f>
        <v>0</v>
      </c>
      <c r="AN21" s="100" t="n">
        <f aca="false">SUM(AC21:AM21)</f>
        <v>0</v>
      </c>
      <c r="AO21" s="100" t="n">
        <f aca="false">D21-AN21</f>
        <v>0</v>
      </c>
      <c r="AP21" s="426" t="n">
        <f aca="false">IF(D21=0,0,AO21/D21)</f>
        <v>0</v>
      </c>
      <c r="AQ21" s="427" t="n">
        <f aca="false">IF(AB21=0,0,AN21/AB21)*1000</f>
        <v>0</v>
      </c>
      <c r="AR21" s="428" t="n">
        <f aca="false">IF(C21=0,0,D21/C21)*1000</f>
        <v>0</v>
      </c>
      <c r="AS21" s="429" t="n">
        <f aca="false">IF($P21=0,"",Q21*1000/AS$159*$AD$159/14.696/$BP21/42)</f>
        <v>0</v>
      </c>
      <c r="AT21" s="100" t="n">
        <f aca="false">IF($P21=0,"",R21*1000/AT$159*$AD$159/14.696/$BP21/42)</f>
        <v>0</v>
      </c>
      <c r="AU21" s="100" t="n">
        <f aca="false">IF($P21=0,"",S21*1000/AU$159*$AD$159/14.696/$BP21/42)</f>
        <v>0</v>
      </c>
      <c r="AV21" s="100" t="n">
        <f aca="false">IF($P21=0,"",T21*1000/AV$159*$AD$159/14.696/$BP21/42)</f>
        <v>0</v>
      </c>
      <c r="AW21" s="100" t="n">
        <f aca="false">IF($P21=0,"",U21*1000/AW$159*$AD$159/14.696/$BP21/42)</f>
        <v>0</v>
      </c>
      <c r="AX21" s="100" t="n">
        <f aca="false">IF($P21=0,"",V21*1000/AX$159*$AD$159/14.696/$BP21/42)</f>
        <v>0</v>
      </c>
      <c r="AY21" s="100" t="n">
        <f aca="false">IF($P21=0,"",W21*1000/AY$159*$AD$159/14.696/$BP21/42)</f>
        <v>0</v>
      </c>
      <c r="AZ21" s="100" t="n">
        <f aca="false">IF($P21=0,"",X21*1000/AZ$159*$AD$159/14.696/$BP21/42)</f>
        <v>0</v>
      </c>
      <c r="BA21" s="100" t="n">
        <f aca="false">IF($P21=0,"",Y21*1000/BA$159*$AD$159/14.696/$BP21/42)</f>
        <v>0</v>
      </c>
      <c r="BB21" s="100" t="n">
        <f aca="false">IF($P21=0,"",Z21*1000/BB$159*$AD$159/14.696/$BP21/42)</f>
        <v>0</v>
      </c>
      <c r="BC21" s="100" t="n">
        <f aca="false">IF($P21=0,"",AA21*1000/BC$159*$AD$159/14.696/$BP21/42)</f>
        <v>0</v>
      </c>
      <c r="BD21" s="430" t="n">
        <f aca="false">SUM(AS21:BC21)</f>
        <v>0</v>
      </c>
      <c r="BE21" s="424" t="n">
        <f aca="false">IF($P21=0,"",E21/$P21*BE$159)</f>
        <v>3.09557549269594E-006</v>
      </c>
      <c r="BF21" s="425" t="n">
        <f aca="false">IF($P21=0,"",F21/$P21*BF$159)</f>
        <v>2.67736245857764E-005</v>
      </c>
      <c r="BG21" s="425" t="n">
        <f aca="false">IF($P21=0,"",G21/$P21*BG$159)</f>
        <v>0.00937246907357529</v>
      </c>
      <c r="BH21" s="425" t="n">
        <f aca="false">IF($P21=0,"",H21/$P21*BH$159)</f>
        <v>0.00251987625079403</v>
      </c>
      <c r="BI21" s="425" t="n">
        <f aca="false">IF($P21=0,"",I21/$P21*BI$159)</f>
        <v>0.00153104046593963</v>
      </c>
      <c r="BJ21" s="425" t="n">
        <f aca="false">IF($P21=0,"",J21/$P21*BJ$159)</f>
        <v>0.000306840597779913</v>
      </c>
      <c r="BK21" s="425" t="n">
        <f aca="false">IF($P21=0,"",K21/$P21*BK$159)</f>
        <v>0.00068974491199865</v>
      </c>
      <c r="BL21" s="425" t="n">
        <f aca="false">IF($P21=0,"",L21/$P21*BL$159)</f>
        <v>0.000213493898857311</v>
      </c>
      <c r="BM21" s="425" t="n">
        <f aca="false">IF($P21=0,"",M21/$P21*BM$159)</f>
        <v>0.000262646324565918</v>
      </c>
      <c r="BN21" s="425" t="n">
        <f aca="false">IF($P21=0,"",N21/$P21*BN$159)</f>
        <v>0.00053024210961759</v>
      </c>
      <c r="BO21" s="425" t="n">
        <f aca="false">IF($P21=0,"",O21/$P21*BO$159)</f>
        <v>0</v>
      </c>
      <c r="BP21" s="423" t="n">
        <f aca="false">1-AD$159*(SUM(BE21:BO21))^2</f>
        <v>0.996500190824448</v>
      </c>
    </row>
    <row r="22" customFormat="false" ht="15" hidden="false" customHeight="false" outlineLevel="0" collapsed="false">
      <c r="A22" s="413" t="s">
        <v>43</v>
      </c>
      <c r="B22" s="414" t="s">
        <v>230</v>
      </c>
      <c r="C22" s="415" t="n">
        <v>294377.62</v>
      </c>
      <c r="D22" s="416" t="n">
        <v>369069.05</v>
      </c>
      <c r="E22" s="417" t="n">
        <v>0.00978614999412378</v>
      </c>
      <c r="F22" s="417" t="n">
        <v>0.589076111622202</v>
      </c>
      <c r="G22" s="417" t="n">
        <v>80.6150901073344</v>
      </c>
      <c r="H22" s="417" t="n">
        <v>10.6346550546324</v>
      </c>
      <c r="I22" s="417" t="n">
        <v>4.4701231263416</v>
      </c>
      <c r="J22" s="417" t="n">
        <v>0.715498525388372</v>
      </c>
      <c r="K22" s="417" t="n">
        <v>1.5140556198984</v>
      </c>
      <c r="L22" s="417" t="n">
        <v>0.383944926826199</v>
      </c>
      <c r="M22" s="417" t="n">
        <v>0.451328174136267</v>
      </c>
      <c r="N22" s="417" t="n">
        <v>0.616442599128654</v>
      </c>
      <c r="O22" s="76"/>
      <c r="P22" s="418" t="n">
        <f aca="false">SUM(E22:O22)</f>
        <v>100.000000395303</v>
      </c>
      <c r="Q22" s="14" t="n">
        <f aca="false">IF($P22=0,"",$C22*E22/$P22)</f>
        <v>28.808235328452</v>
      </c>
      <c r="R22" s="15" t="n">
        <f aca="false">IF($P22=0,"",$C22*F22/$P22)</f>
        <v>1734.10823052701</v>
      </c>
      <c r="S22" s="15" t="n">
        <f aca="false">IF($P22=0,"",$C22*G22/$P22)</f>
        <v>237312.782680723</v>
      </c>
      <c r="T22" s="15" t="n">
        <f aca="false">IF($P22=0,"",$C22*H22/$P22)</f>
        <v>31306.0443212829</v>
      </c>
      <c r="U22" s="15" t="n">
        <f aca="false">IF($P22=0,"",$C22*I22/$P22)</f>
        <v>13159.042018376</v>
      </c>
      <c r="V22" s="15" t="n">
        <f aca="false">IF($P22=0,"",$C22*J22/$P22)</f>
        <v>2106.26752184725</v>
      </c>
      <c r="W22" s="15" t="n">
        <f aca="false">IF($P22=0,"",$C22*K22/$P22)</f>
        <v>4457.04088171436</v>
      </c>
      <c r="X22" s="15" t="n">
        <f aca="false">IF($P22=0,"",$C22*L22/$P22)</f>
        <v>1130.24793323381</v>
      </c>
      <c r="Y22" s="15" t="n">
        <f aca="false">IF($P22=0,"",$C22*M22/$P22)</f>
        <v>1328.60913215977</v>
      </c>
      <c r="Z22" s="15" t="n">
        <f aca="false">IF($P22=0,"",$C22*N22/$P22)</f>
        <v>1814.66904480764</v>
      </c>
      <c r="AA22" s="15" t="n">
        <f aca="false">IF($P22=0,"",$C22*O22/$P22)</f>
        <v>0</v>
      </c>
      <c r="AB22" s="16" t="n">
        <f aca="false">SUM(Q22:AA22)</f>
        <v>294377.62</v>
      </c>
      <c r="AC22" s="419"/>
      <c r="AD22" s="420"/>
      <c r="AE22" s="15" t="n">
        <f aca="false">IF($P22=0,"",S22*AE$159/$BP22/1000)</f>
        <v>239772.136653844</v>
      </c>
      <c r="AF22" s="15" t="n">
        <f aca="false">IF($P22=0,"",T22*AF$159/$BP22/1000)</f>
        <v>55425.5980856531</v>
      </c>
      <c r="AG22" s="15" t="n">
        <f aca="false">IF($P22=0,"",U22*AG$159/$BP22/1000)</f>
        <v>33122.3248232402</v>
      </c>
      <c r="AH22" s="15" t="n">
        <f aca="false">IF($P22=0,"",V22*AH$159/$BP22/1000)</f>
        <v>6852.05320908913</v>
      </c>
      <c r="AI22" s="15" t="n">
        <f aca="false">IF($P22=0,"",W22*AI$159/$BP22/1000)</f>
        <v>14546.0435577234</v>
      </c>
      <c r="AJ22" s="15" t="n">
        <f aca="false">IF($P22=0,"",X22*AJ$159/$BP22/1000)</f>
        <v>4523.83549501637</v>
      </c>
      <c r="AK22" s="15" t="n">
        <f aca="false">IF($P22=0,"",Y22*AK$159/$BP22/1000)</f>
        <v>5328.17920701671</v>
      </c>
      <c r="AL22" s="15" t="n">
        <f aca="false">IF($P22=0,"",Z22*AL$159/$BP22/1000)</f>
        <v>9311.60588024076</v>
      </c>
      <c r="AM22" s="15" t="n">
        <f aca="false">IF($P22=0,"",AA22*AM$159/$BP22/1000)</f>
        <v>0</v>
      </c>
      <c r="AN22" s="15" t="n">
        <f aca="false">SUM(AC22:AM22)</f>
        <v>368881.776911823</v>
      </c>
      <c r="AO22" s="15" t="n">
        <f aca="false">D22-AN22</f>
        <v>187.273088176735</v>
      </c>
      <c r="AP22" s="421" t="n">
        <f aca="false">IF(D22=0,0,AO22/D22)</f>
        <v>0.00050742019190375</v>
      </c>
      <c r="AQ22" s="75" t="n">
        <f aca="false">IF(AB22=0,0,AN22/AB22)*1000</f>
        <v>1253.09042484895</v>
      </c>
      <c r="AR22" s="340" t="n">
        <f aca="false">IF(C22=0,0,D22/C22)*1000</f>
        <v>1253.72659103637</v>
      </c>
      <c r="AS22" s="422" t="n">
        <f aca="false">IF($P22=0,"",Q22*1000/AS$159*$AD$159/14.696/$BP22/42)</f>
        <v>11.6805130986349</v>
      </c>
      <c r="AT22" s="15" t="n">
        <f aca="false">IF($P22=0,"",R22*1000/AT$159*$AD$159/14.696/$BP22/42)</f>
        <v>453.260555129817</v>
      </c>
      <c r="AU22" s="15" t="n">
        <f aca="false">IF($P22=0,"",S22*1000/AU$159*$AD$159/14.696/$BP22/42)</f>
        <v>95582.429365236</v>
      </c>
      <c r="AV22" s="15" t="n">
        <f aca="false">IF($P22=0,"",T22*1000/AV$159*$AD$159/14.696/$BP22/42)</f>
        <v>19891.1315766682</v>
      </c>
      <c r="AW22" s="15" t="n">
        <f aca="false">IF($P22=0,"",U22*1000/AW$159*$AD$159/14.696/$BP22/42)</f>
        <v>8612.98814595971</v>
      </c>
      <c r="AX22" s="15" t="n">
        <f aca="false">IF($P22=0,"",V22*1000/AX$159*$AD$159/14.696/$BP22/42)</f>
        <v>1637.53601430183</v>
      </c>
      <c r="AY22" s="15" t="n">
        <f aca="false">IF($P22=0,"",W22*1000/AY$159*$AD$159/14.696/$BP22/42)</f>
        <v>3338.33108548583</v>
      </c>
      <c r="AZ22" s="15" t="n">
        <f aca="false">IF($P22=0,"",X22*1000/AZ$159*$AD$159/14.696/$BP22/42)</f>
        <v>982.030279414806</v>
      </c>
      <c r="BA22" s="15" t="n">
        <f aca="false">IF($P22=0,"",Y22*1000/BA$159*$AD$159/14.696/$BP22/42)</f>
        <v>1144.19494996247</v>
      </c>
      <c r="BB22" s="15" t="n">
        <f aca="false">IF($P22=0,"",Z22*1000/BB$159*$AD$159/14.696/$BP22/42)</f>
        <v>1870.82782572542</v>
      </c>
      <c r="BC22" s="15" t="n">
        <f aca="false">IF($P22=0,"",AA22*1000/BC$159*$AD$159/14.696/$BP22/42)</f>
        <v>0</v>
      </c>
      <c r="BD22" s="55" t="n">
        <f aca="false">SUM(AS22:BC22)</f>
        <v>133524.410310983</v>
      </c>
      <c r="BE22" s="419" t="n">
        <f aca="false">IF($P22=0,"",E22/$P22*BE$159)</f>
        <v>1.90829924131058E-006</v>
      </c>
      <c r="BF22" s="420" t="n">
        <f aca="false">IF($P22=0,"",F22/$P22*BF$159)</f>
        <v>2.60371640307757E-005</v>
      </c>
      <c r="BG22" s="420" t="n">
        <f aca="false">IF($P22=0,"",G22/$P22*BG$159)</f>
        <v>0.00935135041548466</v>
      </c>
      <c r="BH22" s="420" t="n">
        <f aca="false">IF($P22=0,"",H22/$P22*BH$159)</f>
        <v>0.00253104789299721</v>
      </c>
      <c r="BI22" s="420" t="n">
        <f aca="false">IF($P22=0,"",I22/$P22*BI$159)</f>
        <v>0.00155113271870887</v>
      </c>
      <c r="BJ22" s="420" t="n">
        <f aca="false">IF($P22=0,"",J22/$P22*BJ$159)</f>
        <v>0.000315534848448954</v>
      </c>
      <c r="BK22" s="420" t="n">
        <f aca="false">IF($P22=0,"",K22/$P22*BK$159)</f>
        <v>0.00071160613853925</v>
      </c>
      <c r="BL22" s="420" t="n">
        <f aca="false">IF($P22=0,"",L22/$P22*BL$159)</f>
        <v>0.00022115227697767</v>
      </c>
      <c r="BM22" s="420" t="n">
        <f aca="false">IF($P22=0,"",M22/$P22*BM$159)</f>
        <v>0.000273504872445406</v>
      </c>
      <c r="BN22" s="420" t="n">
        <f aca="false">IF($P22=0,"",N22/$P22*BN$159)</f>
        <v>0.000532421470762743</v>
      </c>
      <c r="BO22" s="420" t="n">
        <f aca="false">IF($P22=0,"",O22/$P22*BO$159)</f>
        <v>0</v>
      </c>
      <c r="BP22" s="418" t="n">
        <f aca="false">1-AD$159*(SUM(BE22:BO22))^2</f>
        <v>0.996473205507975</v>
      </c>
    </row>
    <row r="23" customFormat="false" ht="15" hidden="false" customHeight="false" outlineLevel="0" collapsed="false">
      <c r="A23" s="413" t="s">
        <v>44</v>
      </c>
      <c r="B23" s="414" t="s">
        <v>231</v>
      </c>
      <c r="C23" s="415" t="n">
        <v>0</v>
      </c>
      <c r="D23" s="416" t="n">
        <v>0</v>
      </c>
      <c r="E23" s="417" t="n">
        <v>0.11259999871254</v>
      </c>
      <c r="F23" s="417" t="n">
        <v>0.621500015258789</v>
      </c>
      <c r="G23" s="417" t="n">
        <v>79.1595001220703</v>
      </c>
      <c r="H23" s="417" t="n">
        <v>10.7407999038696</v>
      </c>
      <c r="I23" s="417" t="n">
        <v>4.7878999710083</v>
      </c>
      <c r="J23" s="417" t="n">
        <v>0.769400000572205</v>
      </c>
      <c r="K23" s="417" t="n">
        <v>1.67200005054474</v>
      </c>
      <c r="L23" s="417" t="n">
        <v>0.427799999713898</v>
      </c>
      <c r="M23" s="417" t="n">
        <v>1.05280005931854</v>
      </c>
      <c r="N23" s="417" t="n">
        <v>0.655700027942657</v>
      </c>
      <c r="O23" s="76"/>
      <c r="P23" s="423" t="n">
        <f aca="false">SUM(E23:O23)</f>
        <v>100.000000149012</v>
      </c>
      <c r="Q23" s="99" t="n">
        <f aca="false">IF($P23=0,"",$C23*E23/$P23)</f>
        <v>0</v>
      </c>
      <c r="R23" s="100" t="n">
        <f aca="false">IF($P23=0,"",$C23*F23/$P23)</f>
        <v>0</v>
      </c>
      <c r="S23" s="100" t="n">
        <f aca="false">IF($P23=0,"",$C23*G23/$P23)</f>
        <v>0</v>
      </c>
      <c r="T23" s="100" t="n">
        <f aca="false">IF($P23=0,"",$C23*H23/$P23)</f>
        <v>0</v>
      </c>
      <c r="U23" s="100" t="n">
        <f aca="false">IF($P23=0,"",$C23*I23/$P23)</f>
        <v>0</v>
      </c>
      <c r="V23" s="100" t="n">
        <f aca="false">IF($P23=0,"",$C23*J23/$P23)</f>
        <v>0</v>
      </c>
      <c r="W23" s="100" t="n">
        <f aca="false">IF($P23=0,"",$C23*K23/$P23)</f>
        <v>0</v>
      </c>
      <c r="X23" s="100" t="n">
        <f aca="false">IF($P23=0,"",$C23*L23/$P23)</f>
        <v>0</v>
      </c>
      <c r="Y23" s="100" t="n">
        <f aca="false">IF($P23=0,"",$C23*M23/$P23)</f>
        <v>0</v>
      </c>
      <c r="Z23" s="100" t="n">
        <f aca="false">IF($P23=0,"",$C23*N23/$P23)</f>
        <v>0</v>
      </c>
      <c r="AA23" s="100" t="n">
        <f aca="false">IF($P23=0,"",$C23*O23/$P23)</f>
        <v>0</v>
      </c>
      <c r="AB23" s="101" t="n">
        <f aca="false">SUM(Q23:AA23)</f>
        <v>0</v>
      </c>
      <c r="AC23" s="424"/>
      <c r="AD23" s="425"/>
      <c r="AE23" s="100" t="n">
        <f aca="false">IF($P23=0,"",S23*AE$159/$BP23/1000)</f>
        <v>0</v>
      </c>
      <c r="AF23" s="100" t="n">
        <f aca="false">IF($P23=0,"",T23*AF$159/$BP23/1000)</f>
        <v>0</v>
      </c>
      <c r="AG23" s="100" t="n">
        <f aca="false">IF($P23=0,"",U23*AG$159/$BP23/1000)</f>
        <v>0</v>
      </c>
      <c r="AH23" s="100" t="n">
        <f aca="false">IF($P23=0,"",V23*AH$159/$BP23/1000)</f>
        <v>0</v>
      </c>
      <c r="AI23" s="100" t="n">
        <f aca="false">IF($P23=0,"",W23*AI$159/$BP23/1000)</f>
        <v>0</v>
      </c>
      <c r="AJ23" s="100" t="n">
        <f aca="false">IF($P23=0,"",X23*AJ$159/$BP23/1000)</f>
        <v>0</v>
      </c>
      <c r="AK23" s="100" t="n">
        <f aca="false">IF($P23=0,"",Y23*AK$159/$BP23/1000)</f>
        <v>0</v>
      </c>
      <c r="AL23" s="100" t="n">
        <f aca="false">IF($P23=0,"",Z23*AL$159/$BP23/1000)</f>
        <v>0</v>
      </c>
      <c r="AM23" s="100" t="n">
        <f aca="false">IF($P23=0,"",AA23*AM$159/$BP23/1000)</f>
        <v>0</v>
      </c>
      <c r="AN23" s="100" t="n">
        <f aca="false">SUM(AC23:AM23)</f>
        <v>0</v>
      </c>
      <c r="AO23" s="100" t="n">
        <f aca="false">D23-AN23</f>
        <v>0</v>
      </c>
      <c r="AP23" s="426" t="n">
        <f aca="false">IF(D23=0,0,AO23/D23)</f>
        <v>0</v>
      </c>
      <c r="AQ23" s="427" t="n">
        <f aca="false">IF(AB23=0,0,AN23/AB23)*1000</f>
        <v>0</v>
      </c>
      <c r="AR23" s="428" t="n">
        <f aca="false">IF(C23=0,0,D23/C23)*1000</f>
        <v>0</v>
      </c>
      <c r="AS23" s="429" t="n">
        <f aca="false">IF($P23=0,"",Q23*1000/AS$159*$AD$159/14.696/$BP23/42)</f>
        <v>0</v>
      </c>
      <c r="AT23" s="100" t="n">
        <f aca="false">IF($P23=0,"",R23*1000/AT$159*$AD$159/14.696/$BP23/42)</f>
        <v>0</v>
      </c>
      <c r="AU23" s="100" t="n">
        <f aca="false">IF($P23=0,"",S23*1000/AU$159*$AD$159/14.696/$BP23/42)</f>
        <v>0</v>
      </c>
      <c r="AV23" s="100" t="n">
        <f aca="false">IF($P23=0,"",T23*1000/AV$159*$AD$159/14.696/$BP23/42)</f>
        <v>0</v>
      </c>
      <c r="AW23" s="100" t="n">
        <f aca="false">IF($P23=0,"",U23*1000/AW$159*$AD$159/14.696/$BP23/42)</f>
        <v>0</v>
      </c>
      <c r="AX23" s="100" t="n">
        <f aca="false">IF($P23=0,"",V23*1000/AX$159*$AD$159/14.696/$BP23/42)</f>
        <v>0</v>
      </c>
      <c r="AY23" s="100" t="n">
        <f aca="false">IF($P23=0,"",W23*1000/AY$159*$AD$159/14.696/$BP23/42)</f>
        <v>0</v>
      </c>
      <c r="AZ23" s="100" t="n">
        <f aca="false">IF($P23=0,"",X23*1000/AZ$159*$AD$159/14.696/$BP23/42)</f>
        <v>0</v>
      </c>
      <c r="BA23" s="100" t="n">
        <f aca="false">IF($P23=0,"",Y23*1000/BA$159*$AD$159/14.696/$BP23/42)</f>
        <v>0</v>
      </c>
      <c r="BB23" s="100" t="n">
        <f aca="false">IF($P23=0,"",Z23*1000/BB$159*$AD$159/14.696/$BP23/42)</f>
        <v>0</v>
      </c>
      <c r="BC23" s="100" t="n">
        <f aca="false">IF($P23=0,"",AA23*1000/BC$159*$AD$159/14.696/$BP23/42)</f>
        <v>0</v>
      </c>
      <c r="BD23" s="430" t="n">
        <f aca="false">SUM(AS23:BC23)</f>
        <v>0</v>
      </c>
      <c r="BE23" s="424" t="n">
        <f aca="false">IF($P23=0,"",E23/$P23*BE$159)</f>
        <v>2.19569997162268E-005</v>
      </c>
      <c r="BF23" s="425" t="n">
        <f aca="false">IF($P23=0,"",F23/$P23*BF$159)</f>
        <v>2.74703006335046E-005</v>
      </c>
      <c r="BG23" s="425" t="n">
        <f aca="false">IF($P23=0,"",G23/$P23*BG$159)</f>
        <v>0.00918250200047716</v>
      </c>
      <c r="BH23" s="425" t="n">
        <f aca="false">IF($P23=0,"",H23/$P23*BH$159)</f>
        <v>0.00255631037331177</v>
      </c>
      <c r="BI23" s="425" t="n">
        <f aca="false">IF($P23=0,"",I23/$P23*BI$159)</f>
        <v>0.0016614012874642</v>
      </c>
      <c r="BJ23" s="425" t="n">
        <f aca="false">IF($P23=0,"",J23/$P23*BJ$159)</f>
        <v>0.000339305399746738</v>
      </c>
      <c r="BK23" s="425" t="n">
        <f aca="false">IF($P23=0,"",K23/$P23*BK$159)</f>
        <v>0.000785840022585035</v>
      </c>
      <c r="BL23" s="425" t="n">
        <f aca="false">IF($P23=0,"",L23/$P23*BL$159)</f>
        <v>0.000246412799468022</v>
      </c>
      <c r="BM23" s="425" t="n">
        <f aca="false">IF($P23=0,"",M23/$P23*BM$159)</f>
        <v>0.000637996834996346</v>
      </c>
      <c r="BN23" s="425" t="n">
        <f aca="false">IF($P23=0,"",N23/$P23*BN$159)</f>
        <v>0.000566328113290179</v>
      </c>
      <c r="BO23" s="425" t="n">
        <f aca="false">IF($P23=0,"",O23/$P23*BO$159)</f>
        <v>0</v>
      </c>
      <c r="BP23" s="423" t="n">
        <f aca="false">1-AD$159*(SUM(BE23:BO23))^2</f>
        <v>0.996237624742863</v>
      </c>
    </row>
    <row r="24" customFormat="false" ht="15" hidden="false" customHeight="false" outlineLevel="0" collapsed="false">
      <c r="A24" s="413" t="s">
        <v>45</v>
      </c>
      <c r="B24" s="414" t="s">
        <v>232</v>
      </c>
      <c r="C24" s="415" t="n">
        <v>0</v>
      </c>
      <c r="D24" s="416" t="n">
        <v>0</v>
      </c>
      <c r="E24" s="432" t="n">
        <v>0.359</v>
      </c>
      <c r="F24" s="417" t="n">
        <v>0.847000000000001</v>
      </c>
      <c r="G24" s="417" t="n">
        <v>80.724</v>
      </c>
      <c r="H24" s="417" t="n">
        <v>10.702</v>
      </c>
      <c r="I24" s="417" t="n">
        <v>4.31</v>
      </c>
      <c r="J24" s="417" t="n">
        <v>0.626</v>
      </c>
      <c r="K24" s="417" t="n">
        <v>1.321</v>
      </c>
      <c r="L24" s="417" t="n">
        <v>0.321</v>
      </c>
      <c r="M24" s="417" t="n">
        <v>0.359</v>
      </c>
      <c r="N24" s="417" t="n">
        <v>0.431</v>
      </c>
      <c r="O24" s="76"/>
      <c r="P24" s="418" t="n">
        <f aca="false">SUM(E24:O24)</f>
        <v>100</v>
      </c>
      <c r="Q24" s="14" t="n">
        <f aca="false">IF($P24=0,"",$C24*E24/$P24)</f>
        <v>0</v>
      </c>
      <c r="R24" s="15" t="n">
        <f aca="false">IF($P24=0,"",$C24*F24/$P24)</f>
        <v>0</v>
      </c>
      <c r="S24" s="15" t="n">
        <f aca="false">IF($P24=0,"",$C24*G24/$P24)</f>
        <v>0</v>
      </c>
      <c r="T24" s="15" t="n">
        <f aca="false">IF($P24=0,"",$C24*H24/$P24)</f>
        <v>0</v>
      </c>
      <c r="U24" s="15" t="n">
        <f aca="false">IF($P24=0,"",$C24*I24/$P24)</f>
        <v>0</v>
      </c>
      <c r="V24" s="15" t="n">
        <f aca="false">IF($P24=0,"",$C24*J24/$P24)</f>
        <v>0</v>
      </c>
      <c r="W24" s="15" t="n">
        <f aca="false">IF($P24=0,"",$C24*K24/$P24)</f>
        <v>0</v>
      </c>
      <c r="X24" s="15" t="n">
        <f aca="false">IF($P24=0,"",$C24*L24/$P24)</f>
        <v>0</v>
      </c>
      <c r="Y24" s="15" t="n">
        <f aca="false">IF($P24=0,"",$C24*M24/$P24)</f>
        <v>0</v>
      </c>
      <c r="Z24" s="15" t="n">
        <f aca="false">IF($P24=0,"",$C24*N24/$P24)</f>
        <v>0</v>
      </c>
      <c r="AA24" s="15" t="n">
        <f aca="false">IF($P24=0,"",$C24*O24/$P24)</f>
        <v>0</v>
      </c>
      <c r="AB24" s="16" t="n">
        <f aca="false">SUM(Q24:AA24)</f>
        <v>0</v>
      </c>
      <c r="AC24" s="419"/>
      <c r="AD24" s="420"/>
      <c r="AE24" s="15" t="n">
        <f aca="false">IF($P24=0,"",S24*AE$159/$BP24/1000)</f>
        <v>0</v>
      </c>
      <c r="AF24" s="15" t="n">
        <f aca="false">IF($P24=0,"",T24*AF$159/$BP24/1000)</f>
        <v>0</v>
      </c>
      <c r="AG24" s="15" t="n">
        <f aca="false">IF($P24=0,"",U24*AG$159/$BP24/1000)</f>
        <v>0</v>
      </c>
      <c r="AH24" s="15" t="n">
        <f aca="false">IF($P24=0,"",V24*AH$159/$BP24/1000)</f>
        <v>0</v>
      </c>
      <c r="AI24" s="15" t="n">
        <f aca="false">IF($P24=0,"",W24*AI$159/$BP24/1000)</f>
        <v>0</v>
      </c>
      <c r="AJ24" s="15" t="n">
        <f aca="false">IF($P24=0,"",X24*AJ$159/$BP24/1000)</f>
        <v>0</v>
      </c>
      <c r="AK24" s="15" t="n">
        <f aca="false">IF($P24=0,"",Y24*AK$159/$BP24/1000)</f>
        <v>0</v>
      </c>
      <c r="AL24" s="15" t="n">
        <f aca="false">IF($P24=0,"",Z24*AL$159/$BP24/1000)</f>
        <v>0</v>
      </c>
      <c r="AM24" s="15" t="n">
        <f aca="false">IF($P24=0,"",AA24*AM$159/$BP24/1000)</f>
        <v>0</v>
      </c>
      <c r="AN24" s="15" t="n">
        <f aca="false">SUM(AC24:AM24)</f>
        <v>0</v>
      </c>
      <c r="AO24" s="15" t="n">
        <f aca="false">D24-AN24</f>
        <v>0</v>
      </c>
      <c r="AP24" s="421" t="n">
        <f aca="false">IF(D24=0,0,AO24/D24)</f>
        <v>0</v>
      </c>
      <c r="AQ24" s="75" t="n">
        <f aca="false">IF(AB24=0,0,AN24/AB24)*1000</f>
        <v>0</v>
      </c>
      <c r="AR24" s="340" t="n">
        <f aca="false">IF(C24=0,0,D24/C24)*1000</f>
        <v>0</v>
      </c>
      <c r="AS24" s="422" t="n">
        <f aca="false">IF($P24=0,"",Q24*1000/AS$159*$AD$159/14.696/$BP24/42)</f>
        <v>0</v>
      </c>
      <c r="AT24" s="15" t="n">
        <f aca="false">IF($P24=0,"",R24*1000/AT$159*$AD$159/14.696/$BP24/42)</f>
        <v>0</v>
      </c>
      <c r="AU24" s="15" t="n">
        <f aca="false">IF($P24=0,"",S24*1000/AU$159*$AD$159/14.696/$BP24/42)</f>
        <v>0</v>
      </c>
      <c r="AV24" s="15" t="n">
        <f aca="false">IF($P24=0,"",T24*1000/AV$159*$AD$159/14.696/$BP24/42)</f>
        <v>0</v>
      </c>
      <c r="AW24" s="15" t="n">
        <f aca="false">IF($P24=0,"",U24*1000/AW$159*$AD$159/14.696/$BP24/42)</f>
        <v>0</v>
      </c>
      <c r="AX24" s="15" t="n">
        <f aca="false">IF($P24=0,"",V24*1000/AX$159*$AD$159/14.696/$BP24/42)</f>
        <v>0</v>
      </c>
      <c r="AY24" s="15" t="n">
        <f aca="false">IF($P24=0,"",W24*1000/AY$159*$AD$159/14.696/$BP24/42)</f>
        <v>0</v>
      </c>
      <c r="AZ24" s="15" t="n">
        <f aca="false">IF($P24=0,"",X24*1000/AZ$159*$AD$159/14.696/$BP24/42)</f>
        <v>0</v>
      </c>
      <c r="BA24" s="15" t="n">
        <f aca="false">IF($P24=0,"",Y24*1000/BA$159*$AD$159/14.696/$BP24/42)</f>
        <v>0</v>
      </c>
      <c r="BB24" s="15" t="n">
        <f aca="false">IF($P24=0,"",Z24*1000/BB$159*$AD$159/14.696/$BP24/42)</f>
        <v>0</v>
      </c>
      <c r="BC24" s="15" t="n">
        <f aca="false">IF($P24=0,"",AA24*1000/BC$159*$AD$159/14.696/$BP24/42)</f>
        <v>0</v>
      </c>
      <c r="BD24" s="55" t="n">
        <f aca="false">SUM(AS24:BC24)</f>
        <v>0</v>
      </c>
      <c r="BE24" s="419" t="n">
        <f aca="false">IF($P24=0,"",E24/$P24*BE$159)</f>
        <v>7.0005E-005</v>
      </c>
      <c r="BF24" s="420" t="n">
        <f aca="false">IF($P24=0,"",F24/$P24*BF$159)</f>
        <v>3.74374000000001E-005</v>
      </c>
      <c r="BG24" s="420" t="n">
        <f aca="false">IF($P24=0,"",G24/$P24*BG$159)</f>
        <v>0.009363984</v>
      </c>
      <c r="BH24" s="420" t="n">
        <f aca="false">IF($P24=0,"",H24/$P24*BH$159)</f>
        <v>0.002547076</v>
      </c>
      <c r="BI24" s="420" t="n">
        <f aca="false">IF($P24=0,"",I24/$P24*BI$159)</f>
        <v>0.00149557</v>
      </c>
      <c r="BJ24" s="420" t="n">
        <f aca="false">IF($P24=0,"",J24/$P24*BJ$159)</f>
        <v>0.000276066</v>
      </c>
      <c r="BK24" s="420" t="n">
        <f aca="false">IF($P24=0,"",K24/$P24*BK$159)</f>
        <v>0.00062087</v>
      </c>
      <c r="BL24" s="420" t="n">
        <f aca="false">IF($P24=0,"",L24/$P24*BL$159)</f>
        <v>0.000184896</v>
      </c>
      <c r="BM24" s="420" t="n">
        <f aca="false">IF($P24=0,"",M24/$P24*BM$159)</f>
        <v>0.000217554</v>
      </c>
      <c r="BN24" s="420" t="n">
        <f aca="false">IF($P24=0,"",N24/$P24*BN$159)</f>
        <v>0.0003722547</v>
      </c>
      <c r="BO24" s="420" t="n">
        <f aca="false">IF($P24=0,"",O24/$P24*BO$159)</f>
        <v>0</v>
      </c>
      <c r="BP24" s="418" t="n">
        <f aca="false">1-AD$159*(SUM(BE24:BO24))^2</f>
        <v>0.996621623823492</v>
      </c>
    </row>
    <row r="25" customFormat="false" ht="15" hidden="false" customHeight="false" outlineLevel="0" collapsed="false">
      <c r="A25" s="413" t="s">
        <v>46</v>
      </c>
      <c r="B25" s="414" t="s">
        <v>233</v>
      </c>
      <c r="C25" s="415" t="n">
        <v>45361.55</v>
      </c>
      <c r="D25" s="416" t="n">
        <v>55613.26</v>
      </c>
      <c r="E25" s="417" t="n">
        <v>0.359</v>
      </c>
      <c r="F25" s="417" t="n">
        <v>0.847</v>
      </c>
      <c r="G25" s="417" t="n">
        <v>80.724</v>
      </c>
      <c r="H25" s="417" t="n">
        <v>10.702</v>
      </c>
      <c r="I25" s="417" t="n">
        <v>4.31</v>
      </c>
      <c r="J25" s="417" t="n">
        <v>0.626</v>
      </c>
      <c r="K25" s="417" t="n">
        <v>1.321</v>
      </c>
      <c r="L25" s="417" t="n">
        <v>0.321</v>
      </c>
      <c r="M25" s="417" t="n">
        <v>0.359</v>
      </c>
      <c r="N25" s="417" t="n">
        <v>0.431</v>
      </c>
      <c r="O25" s="76"/>
      <c r="P25" s="423" t="n">
        <f aca="false">SUM(E25:O25)</f>
        <v>100</v>
      </c>
      <c r="Q25" s="99" t="n">
        <f aca="false">IF($P25=0,"",$C25*E25/$P25)</f>
        <v>162.8479645</v>
      </c>
      <c r="R25" s="100" t="n">
        <f aca="false">IF($P25=0,"",$C25*F25/$P25)</f>
        <v>384.2123285</v>
      </c>
      <c r="S25" s="100" t="n">
        <f aca="false">IF($P25=0,"",$C25*G25/$P25)</f>
        <v>36617.657622</v>
      </c>
      <c r="T25" s="100" t="n">
        <f aca="false">IF($P25=0,"",$C25*H25/$P25)</f>
        <v>4854.593081</v>
      </c>
      <c r="U25" s="100" t="n">
        <f aca="false">IF($P25=0,"",$C25*I25/$P25)</f>
        <v>1955.082805</v>
      </c>
      <c r="V25" s="100" t="n">
        <f aca="false">IF($P25=0,"",$C25*J25/$P25)</f>
        <v>283.963303</v>
      </c>
      <c r="W25" s="100" t="n">
        <f aca="false">IF($P25=0,"",$C25*K25/$P25)</f>
        <v>599.2260755</v>
      </c>
      <c r="X25" s="100" t="n">
        <f aca="false">IF($P25=0,"",$C25*L25/$P25)</f>
        <v>145.6105755</v>
      </c>
      <c r="Y25" s="100" t="n">
        <f aca="false">IF($P25=0,"",$C25*M25/$P25)</f>
        <v>162.8479645</v>
      </c>
      <c r="Z25" s="100" t="n">
        <f aca="false">IF($P25=0,"",$C25*N25/$P25)</f>
        <v>195.5082805</v>
      </c>
      <c r="AA25" s="100" t="n">
        <f aca="false">IF($P25=0,"",$C25*O25/$P25)</f>
        <v>0</v>
      </c>
      <c r="AB25" s="101" t="n">
        <f aca="false">SUM(Q25:AA25)</f>
        <v>45361.55</v>
      </c>
      <c r="AC25" s="424"/>
      <c r="AD25" s="425"/>
      <c r="AE25" s="100" t="n">
        <f aca="false">IF($P25=0,"",S25*AE$159/$BP25/1000)</f>
        <v>36991.6293330988</v>
      </c>
      <c r="AF25" s="100" t="n">
        <f aca="false">IF($P25=0,"",T25*AF$159/$BP25/1000)</f>
        <v>8593.50520676343</v>
      </c>
      <c r="AG25" s="100" t="n">
        <f aca="false">IF($P25=0,"",U25*AG$159/$BP25/1000)</f>
        <v>4920.36152365232</v>
      </c>
      <c r="AH25" s="100" t="n">
        <f aca="false">IF($P25=0,"",V25*AH$159/$BP25/1000)</f>
        <v>923.644257088818</v>
      </c>
      <c r="AI25" s="100" t="n">
        <f aca="false">IF($P25=0,"",W25*AI$159/$BP25/1000)</f>
        <v>1955.34902469534</v>
      </c>
      <c r="AJ25" s="100" t="n">
        <f aca="false">IF($P25=0,"",X25*AJ$159/$BP25/1000)</f>
        <v>582.721873017533</v>
      </c>
      <c r="AK25" s="100" t="n">
        <f aca="false">IF($P25=0,"",Y25*AK$159/$BP25/1000)</f>
        <v>652.979044582878</v>
      </c>
      <c r="AL25" s="100" t="n">
        <f aca="false">IF($P25=0,"",Z25*AL$159/$BP25/1000)</f>
        <v>1003.06165946651</v>
      </c>
      <c r="AM25" s="100" t="n">
        <f aca="false">IF($P25=0,"",AA25*AM$159/$BP25/1000)</f>
        <v>0</v>
      </c>
      <c r="AN25" s="100" t="n">
        <f aca="false">SUM(AC25:AM25)</f>
        <v>55623.2519223656</v>
      </c>
      <c r="AO25" s="100" t="n">
        <f aca="false">D25-AN25</f>
        <v>-9.99192236559611</v>
      </c>
      <c r="AP25" s="426" t="n">
        <f aca="false">IF(D25=0,0,AO25/D25)</f>
        <v>-0.000179667985038031</v>
      </c>
      <c r="AQ25" s="427" t="n">
        <f aca="false">IF(AB25=0,0,AN25/AB25)*1000</f>
        <v>1226.22026633494</v>
      </c>
      <c r="AR25" s="428" t="n">
        <f aca="false">IF(C25=0,0,D25/C25)*1000</f>
        <v>1225.99999338647</v>
      </c>
      <c r="AS25" s="429" t="n">
        <f aca="false">IF($P25=0,"",Q25*1000/AS$159*$AD$159/14.696/$BP25/42)</f>
        <v>66.0180844185785</v>
      </c>
      <c r="AT25" s="100" t="n">
        <f aca="false">IF($P25=0,"",R25*1000/AT$159*$AD$159/14.696/$BP25/42)</f>
        <v>100.410318010064</v>
      </c>
      <c r="AU25" s="100" t="n">
        <f aca="false">IF($P25=0,"",S25*1000/AU$159*$AD$159/14.696/$BP25/42)</f>
        <v>14746.291404745</v>
      </c>
      <c r="AV25" s="100" t="n">
        <f aca="false">IF($P25=0,"",T25*1000/AV$159*$AD$159/14.696/$BP25/42)</f>
        <v>3084.03605331164</v>
      </c>
      <c r="AW25" s="100" t="n">
        <f aca="false">IF($P25=0,"",U25*1000/AW$159*$AD$159/14.696/$BP25/42)</f>
        <v>1279.4698350195</v>
      </c>
      <c r="AX25" s="100" t="n">
        <f aca="false">IF($P25=0,"",V25*1000/AX$159*$AD$159/14.696/$BP25/42)</f>
        <v>220.736863715491</v>
      </c>
      <c r="AY25" s="100" t="n">
        <f aca="false">IF($P25=0,"",W25*1000/AY$159*$AD$159/14.696/$BP25/42)</f>
        <v>448.754495077044</v>
      </c>
      <c r="AZ25" s="100" t="n">
        <f aca="false">IF($P25=0,"",X25*1000/AZ$159*$AD$159/14.696/$BP25/42)</f>
        <v>126.496757985771</v>
      </c>
      <c r="BA25" s="100" t="n">
        <f aca="false">IF($P25=0,"",Y25*1000/BA$159*$AD$159/14.696/$BP25/42)</f>
        <v>140.223385178025</v>
      </c>
      <c r="BB25" s="100" t="n">
        <f aca="false">IF($P25=0,"",Z25*1000/BB$159*$AD$159/14.696/$BP25/42)</f>
        <v>201.528682332907</v>
      </c>
      <c r="BC25" s="100" t="n">
        <f aca="false">IF($P25=0,"",AA25*1000/BC$159*$AD$159/14.696/$BP25/42)</f>
        <v>0</v>
      </c>
      <c r="BD25" s="430" t="n">
        <f aca="false">SUM(AS25:BC25)</f>
        <v>20413.965879794</v>
      </c>
      <c r="BE25" s="424" t="n">
        <f aca="false">IF($P25=0,"",E25/$P25*BE$159)</f>
        <v>7.0005E-005</v>
      </c>
      <c r="BF25" s="425" t="n">
        <f aca="false">IF($P25=0,"",F25/$P25*BF$159)</f>
        <v>3.74374E-005</v>
      </c>
      <c r="BG25" s="425" t="n">
        <f aca="false">IF($P25=0,"",G25/$P25*BG$159)</f>
        <v>0.009363984</v>
      </c>
      <c r="BH25" s="425" t="n">
        <f aca="false">IF($P25=0,"",H25/$P25*BH$159)</f>
        <v>0.002547076</v>
      </c>
      <c r="BI25" s="425" t="n">
        <f aca="false">IF($P25=0,"",I25/$P25*BI$159)</f>
        <v>0.00149557</v>
      </c>
      <c r="BJ25" s="425" t="n">
        <f aca="false">IF($P25=0,"",J25/$P25*BJ$159)</f>
        <v>0.000276066</v>
      </c>
      <c r="BK25" s="425" t="n">
        <f aca="false">IF($P25=0,"",K25/$P25*BK$159)</f>
        <v>0.00062087</v>
      </c>
      <c r="BL25" s="425" t="n">
        <f aca="false">IF($P25=0,"",L25/$P25*BL$159)</f>
        <v>0.000184896</v>
      </c>
      <c r="BM25" s="425" t="n">
        <f aca="false">IF($P25=0,"",M25/$P25*BM$159)</f>
        <v>0.000217554</v>
      </c>
      <c r="BN25" s="425" t="n">
        <f aca="false">IF($P25=0,"",N25/$P25*BN$159)</f>
        <v>0.0003722547</v>
      </c>
      <c r="BO25" s="425" t="n">
        <f aca="false">IF($P25=0,"",O25/$P25*BO$159)</f>
        <v>0</v>
      </c>
      <c r="BP25" s="423" t="n">
        <f aca="false">1-AD$159*(SUM(BE25:BO25))^2</f>
        <v>0.996621623823492</v>
      </c>
    </row>
    <row r="26" customFormat="false" ht="15" hidden="false" customHeight="false" outlineLevel="0" collapsed="false">
      <c r="A26" s="413" t="s">
        <v>47</v>
      </c>
      <c r="B26" s="414" t="s">
        <v>234</v>
      </c>
      <c r="C26" s="415" t="n">
        <v>164104.08</v>
      </c>
      <c r="D26" s="416" t="n">
        <v>203412.95</v>
      </c>
      <c r="E26" s="417" t="n">
        <v>0.00510418212034034</v>
      </c>
      <c r="F26" s="417" t="n">
        <v>0.594280508772907</v>
      </c>
      <c r="G26" s="417" t="n">
        <v>81.2786633147187</v>
      </c>
      <c r="H26" s="417" t="n">
        <v>10.5018070889406</v>
      </c>
      <c r="I26" s="417" t="n">
        <v>4.25902740437906</v>
      </c>
      <c r="J26" s="417" t="n">
        <v>0.694532701298378</v>
      </c>
      <c r="K26" s="417" t="n">
        <v>1.38931661717306</v>
      </c>
      <c r="L26" s="417" t="n">
        <v>0.361497121940463</v>
      </c>
      <c r="M26" s="417" t="n">
        <v>0.414292165717674</v>
      </c>
      <c r="N26" s="417" t="n">
        <v>0.501478798236785</v>
      </c>
      <c r="O26" s="76"/>
      <c r="P26" s="418" t="n">
        <f aca="false">SUM(E26:O26)</f>
        <v>99.9999999032979</v>
      </c>
      <c r="Q26" s="14" t="n">
        <f aca="false">IF($P26=0,"",$C26*E26/$P26)</f>
        <v>8.37617111820894</v>
      </c>
      <c r="R26" s="15" t="n">
        <f aca="false">IF($P26=0,"",$C26*F26/$P26)</f>
        <v>975.238562484174</v>
      </c>
      <c r="S26" s="15" t="n">
        <f aca="false">IF($P26=0,"",$C26*G26/$P26)</f>
        <v>133381.602797899</v>
      </c>
      <c r="T26" s="15" t="n">
        <f aca="false">IF($P26=0,"",$C26*H26/$P26)</f>
        <v>17233.8939233463</v>
      </c>
      <c r="U26" s="15" t="n">
        <f aca="false">IF($P26=0,"",$C26*I26/$P26)</f>
        <v>6989.23774566287</v>
      </c>
      <c r="V26" s="15" t="n">
        <f aca="false">IF($P26=0,"",$C26*J26/$P26)</f>
        <v>1139.75650086702</v>
      </c>
      <c r="W26" s="15" t="n">
        <f aca="false">IF($P26=0,"",$C26*K26/$P26)</f>
        <v>2279.92525510371</v>
      </c>
      <c r="X26" s="15" t="n">
        <f aca="false">IF($P26=0,"",$C26*L26/$P26)</f>
        <v>593.231526760542</v>
      </c>
      <c r="Y26" s="15" t="n">
        <f aca="false">IF($P26=0,"",$C26*M26/$P26)</f>
        <v>679.870347720513</v>
      </c>
      <c r="Z26" s="15" t="n">
        <f aca="false">IF($P26=0,"",$C26*N26/$P26)</f>
        <v>822.947169037339</v>
      </c>
      <c r="AA26" s="15" t="n">
        <f aca="false">IF($P26=0,"",$C26*O26/$P26)</f>
        <v>0</v>
      </c>
      <c r="AB26" s="16" t="n">
        <f aca="false">SUM(Q26:AA26)</f>
        <v>164104.08</v>
      </c>
      <c r="AC26" s="419"/>
      <c r="AD26" s="420"/>
      <c r="AE26" s="15" t="n">
        <f aca="false">IF($P26=0,"",S26*AE$159/$BP26/1000)</f>
        <v>134749.779984539</v>
      </c>
      <c r="AF26" s="15" t="n">
        <f aca="false">IF($P26=0,"",T26*AF$159/$BP26/1000)</f>
        <v>30508.4510973533</v>
      </c>
      <c r="AG26" s="15" t="n">
        <f aca="false">IF($P26=0,"",U26*AG$159/$BP26/1000)</f>
        <v>17590.6101290009</v>
      </c>
      <c r="AH26" s="15" t="n">
        <f aca="false">IF($P26=0,"",V26*AH$159/$BP26/1000)</f>
        <v>3707.43738538227</v>
      </c>
      <c r="AI26" s="15" t="n">
        <f aca="false">IF($P26=0,"",W26*AI$159/$BP26/1000)</f>
        <v>7440.00841528184</v>
      </c>
      <c r="AJ26" s="15" t="n">
        <f aca="false">IF($P26=0,"",X26*AJ$159/$BP26/1000)</f>
        <v>2374.1702395136</v>
      </c>
      <c r="AK26" s="15" t="n">
        <f aca="false">IF($P26=0,"",Y26*AK$159/$BP26/1000)</f>
        <v>2726.22842392409</v>
      </c>
      <c r="AL26" s="15" t="n">
        <f aca="false">IF($P26=0,"",Z26*AL$159/$BP26/1000)</f>
        <v>4222.34447521238</v>
      </c>
      <c r="AM26" s="15" t="n">
        <f aca="false">IF($P26=0,"",AA26*AM$159/$BP26/1000)</f>
        <v>0</v>
      </c>
      <c r="AN26" s="15" t="n">
        <f aca="false">SUM(AC26:AM26)</f>
        <v>203319.030150207</v>
      </c>
      <c r="AO26" s="15" t="n">
        <f aca="false">D26-AN26</f>
        <v>93.919849792961</v>
      </c>
      <c r="AP26" s="421" t="n">
        <f aca="false">IF(D26=0,0,AO26/D26)</f>
        <v>0.000461720110705641</v>
      </c>
      <c r="AQ26" s="75" t="n">
        <f aca="false">IF(AB26=0,0,AN26/AB26)*1000</f>
        <v>1238.96389504884</v>
      </c>
      <c r="AR26" s="340" t="n">
        <f aca="false">IF(C26=0,0,D26/C26)*1000</f>
        <v>1239.53621384672</v>
      </c>
      <c r="AS26" s="422" t="n">
        <f aca="false">IF($P26=0,"",Q26*1000/AS$159*$AD$159/14.696/$BP26/42)</f>
        <v>3.39582543642013</v>
      </c>
      <c r="AT26" s="15" t="n">
        <f aca="false">IF($P26=0,"",R26*1000/AT$159*$AD$159/14.696/$BP26/42)</f>
        <v>254.880813032799</v>
      </c>
      <c r="AU26" s="15" t="n">
        <f aca="false">IF($P26=0,"",S26*1000/AU$159*$AD$159/14.696/$BP26/42)</f>
        <v>53716.4639190231</v>
      </c>
      <c r="AV26" s="15" t="n">
        <f aca="false">IF($P26=0,"",T26*1000/AV$159*$AD$159/14.696/$BP26/42)</f>
        <v>10948.8690413407</v>
      </c>
      <c r="AW26" s="15" t="n">
        <f aca="false">IF($P26=0,"",U26*1000/AW$159*$AD$159/14.696/$BP26/42)</f>
        <v>4574.18726885314</v>
      </c>
      <c r="AX26" s="15" t="n">
        <f aca="false">IF($P26=0,"",V26*1000/AX$159*$AD$159/14.696/$BP26/42)</f>
        <v>886.020883678972</v>
      </c>
      <c r="AY26" s="15" t="n">
        <f aca="false">IF($P26=0,"",W26*1000/AY$159*$AD$159/14.696/$BP26/42)</f>
        <v>1707.48913754104</v>
      </c>
      <c r="AZ26" s="15" t="n">
        <f aca="false">IF($P26=0,"",X26*1000/AZ$159*$AD$159/14.696/$BP26/42)</f>
        <v>515.38281315851</v>
      </c>
      <c r="BA26" s="15" t="n">
        <f aca="false">IF($P26=0,"",Y26*1000/BA$159*$AD$159/14.696/$BP26/42)</f>
        <v>585.441418897889</v>
      </c>
      <c r="BB26" s="15" t="n">
        <f aca="false">IF($P26=0,"",Z26*1000/BB$159*$AD$159/14.696/$BP26/42)</f>
        <v>848.326232405048</v>
      </c>
      <c r="BC26" s="15" t="n">
        <f aca="false">IF($P26=0,"",AA26*1000/BC$159*$AD$159/14.696/$BP26/42)</f>
        <v>0</v>
      </c>
      <c r="BD26" s="55" t="n">
        <f aca="false">SUM(AS26:BC26)</f>
        <v>74040.4573533676</v>
      </c>
      <c r="BE26" s="419" t="n">
        <f aca="false">IF($P26=0,"",E26/$P26*BE$159)</f>
        <v>9.95315514428857E-007</v>
      </c>
      <c r="BF26" s="420" t="n">
        <f aca="false">IF($P26=0,"",F26/$P26*BF$159)</f>
        <v>2.62671985131634E-005</v>
      </c>
      <c r="BG26" s="420" t="n">
        <f aca="false">IF($P26=0,"",G26/$P26*BG$159)</f>
        <v>0.00942832495362475</v>
      </c>
      <c r="BH26" s="420" t="n">
        <f aca="false">IF($P26=0,"",H26/$P26*BH$159)</f>
        <v>0.00249943008958486</v>
      </c>
      <c r="BI26" s="420" t="n">
        <f aca="false">IF($P26=0,"",I26/$P26*BI$159)</f>
        <v>0.00147788251074868</v>
      </c>
      <c r="BJ26" s="420" t="n">
        <f aca="false">IF($P26=0,"",J26/$P26*BJ$159)</f>
        <v>0.000306288921568772</v>
      </c>
      <c r="BK26" s="420" t="n">
        <f aca="false">IF($P26=0,"",K26/$P26*BK$159)</f>
        <v>0.000652978810702782</v>
      </c>
      <c r="BL26" s="420" t="n">
        <f aca="false">IF($P26=0,"",L26/$P26*BL$159)</f>
        <v>0.000208222342439062</v>
      </c>
      <c r="BM26" s="420" t="n">
        <f aca="false">IF($P26=0,"",M26/$P26*BM$159)</f>
        <v>0.000251061052667692</v>
      </c>
      <c r="BN26" s="420" t="n">
        <f aca="false">IF($P26=0,"",N26/$P26*BN$159)</f>
        <v>0.000433127238455954</v>
      </c>
      <c r="BO26" s="420" t="n">
        <f aca="false">IF($P26=0,"",O26/$P26*BO$159)</f>
        <v>0</v>
      </c>
      <c r="BP26" s="418" t="n">
        <f aca="false">1-AD$159*(SUM(BE26:BO26))^2</f>
        <v>0.996577491349771</v>
      </c>
    </row>
    <row r="27" customFormat="false" ht="15" hidden="false" customHeight="false" outlineLevel="0" collapsed="false">
      <c r="A27" s="413" t="s">
        <v>48</v>
      </c>
      <c r="B27" s="414" t="s">
        <v>235</v>
      </c>
      <c r="C27" s="415" t="n">
        <v>0</v>
      </c>
      <c r="D27" s="416" t="n">
        <v>0</v>
      </c>
      <c r="E27" s="417" t="n">
        <v>0.0104920869807463</v>
      </c>
      <c r="F27" s="417" t="n">
        <v>0.593050870203203</v>
      </c>
      <c r="G27" s="417" t="n">
        <v>81.2436523334954</v>
      </c>
      <c r="H27" s="417" t="n">
        <v>10.5658812522888</v>
      </c>
      <c r="I27" s="417" t="n">
        <v>4.24323085975903</v>
      </c>
      <c r="J27" s="417" t="n">
        <v>0.693949774228116</v>
      </c>
      <c r="K27" s="417" t="n">
        <v>1.3857839128343</v>
      </c>
      <c r="L27" s="417" t="n">
        <v>0.360322510523181</v>
      </c>
      <c r="M27" s="417" t="n">
        <v>0.413619444535304</v>
      </c>
      <c r="N27" s="417" t="n">
        <v>0.490016855629942</v>
      </c>
      <c r="O27" s="76"/>
      <c r="P27" s="423" t="n">
        <f aca="false">SUM(E27:O27)</f>
        <v>99.999999900478</v>
      </c>
      <c r="Q27" s="99" t="n">
        <f aca="false">IF($P27=0,"",$C27*E27/$P27)</f>
        <v>0</v>
      </c>
      <c r="R27" s="100" t="n">
        <f aca="false">IF($P27=0,"",$C27*F27/$P27)</f>
        <v>0</v>
      </c>
      <c r="S27" s="100" t="n">
        <f aca="false">IF($P27=0,"",$C27*G27/$P27)</f>
        <v>0</v>
      </c>
      <c r="T27" s="100" t="n">
        <f aca="false">IF($P27=0,"",$C27*H27/$P27)</f>
        <v>0</v>
      </c>
      <c r="U27" s="100" t="n">
        <f aca="false">IF($P27=0,"",$C27*I27/$P27)</f>
        <v>0</v>
      </c>
      <c r="V27" s="100" t="n">
        <f aca="false">IF($P27=0,"",$C27*J27/$P27)</f>
        <v>0</v>
      </c>
      <c r="W27" s="100" t="n">
        <f aca="false">IF($P27=0,"",$C27*K27/$P27)</f>
        <v>0</v>
      </c>
      <c r="X27" s="100" t="n">
        <f aca="false">IF($P27=0,"",$C27*L27/$P27)</f>
        <v>0</v>
      </c>
      <c r="Y27" s="100" t="n">
        <f aca="false">IF($P27=0,"",$C27*M27/$P27)</f>
        <v>0</v>
      </c>
      <c r="Z27" s="100" t="n">
        <f aca="false">IF($P27=0,"",$C27*N27/$P27)</f>
        <v>0</v>
      </c>
      <c r="AA27" s="100" t="n">
        <f aca="false">IF($P27=0,"",$C27*O27/$P27)</f>
        <v>0</v>
      </c>
      <c r="AB27" s="101" t="n">
        <f aca="false">SUM(Q27:AA27)</f>
        <v>0</v>
      </c>
      <c r="AC27" s="424"/>
      <c r="AD27" s="425"/>
      <c r="AE27" s="100" t="n">
        <f aca="false">IF($P27=0,"",S27*AE$159/$BP27/1000)</f>
        <v>0</v>
      </c>
      <c r="AF27" s="100" t="n">
        <f aca="false">IF($P27=0,"",T27*AF$159/$BP27/1000)</f>
        <v>0</v>
      </c>
      <c r="AG27" s="100" t="n">
        <f aca="false">IF($P27=0,"",U27*AG$159/$BP27/1000)</f>
        <v>0</v>
      </c>
      <c r="AH27" s="100" t="n">
        <f aca="false">IF($P27=0,"",V27*AH$159/$BP27/1000)</f>
        <v>0</v>
      </c>
      <c r="AI27" s="100" t="n">
        <f aca="false">IF($P27=0,"",W27*AI$159/$BP27/1000)</f>
        <v>0</v>
      </c>
      <c r="AJ27" s="100" t="n">
        <f aca="false">IF($P27=0,"",X27*AJ$159/$BP27/1000)</f>
        <v>0</v>
      </c>
      <c r="AK27" s="100" t="n">
        <f aca="false">IF($P27=0,"",Y27*AK$159/$BP27/1000)</f>
        <v>0</v>
      </c>
      <c r="AL27" s="100" t="n">
        <f aca="false">IF($P27=0,"",Z27*AL$159/$BP27/1000)</f>
        <v>0</v>
      </c>
      <c r="AM27" s="100" t="n">
        <f aca="false">IF($P27=0,"",AA27*AM$159/$BP27/1000)</f>
        <v>0</v>
      </c>
      <c r="AN27" s="100" t="n">
        <f aca="false">SUM(AC27:AM27)</f>
        <v>0</v>
      </c>
      <c r="AO27" s="100" t="n">
        <f aca="false">D27-AN27</f>
        <v>0</v>
      </c>
      <c r="AP27" s="426" t="n">
        <f aca="false">IF(D27=0,0,AO27/D27)</f>
        <v>0</v>
      </c>
      <c r="AQ27" s="427" t="n">
        <f aca="false">IF(AB27=0,0,AN27/AB27)*1000</f>
        <v>0</v>
      </c>
      <c r="AR27" s="428" t="n">
        <f aca="false">IF(C27=0,0,D27/C27)*1000</f>
        <v>0</v>
      </c>
      <c r="AS27" s="429" t="n">
        <f aca="false">IF($P27=0,"",Q27*1000/AS$159*$AD$159/14.696/$BP27/42)</f>
        <v>0</v>
      </c>
      <c r="AT27" s="100" t="n">
        <f aca="false">IF($P27=0,"",R27*1000/AT$159*$AD$159/14.696/$BP27/42)</f>
        <v>0</v>
      </c>
      <c r="AU27" s="100" t="n">
        <f aca="false">IF($P27=0,"",S27*1000/AU$159*$AD$159/14.696/$BP27/42)</f>
        <v>0</v>
      </c>
      <c r="AV27" s="100" t="n">
        <f aca="false">IF($P27=0,"",T27*1000/AV$159*$AD$159/14.696/$BP27/42)</f>
        <v>0</v>
      </c>
      <c r="AW27" s="100" t="n">
        <f aca="false">IF($P27=0,"",U27*1000/AW$159*$AD$159/14.696/$BP27/42)</f>
        <v>0</v>
      </c>
      <c r="AX27" s="100" t="n">
        <f aca="false">IF($P27=0,"",V27*1000/AX$159*$AD$159/14.696/$BP27/42)</f>
        <v>0</v>
      </c>
      <c r="AY27" s="100" t="n">
        <f aca="false">IF($P27=0,"",W27*1000/AY$159*$AD$159/14.696/$BP27/42)</f>
        <v>0</v>
      </c>
      <c r="AZ27" s="100" t="n">
        <f aca="false">IF($P27=0,"",X27*1000/AZ$159*$AD$159/14.696/$BP27/42)</f>
        <v>0</v>
      </c>
      <c r="BA27" s="100" t="n">
        <f aca="false">IF($P27=0,"",Y27*1000/BA$159*$AD$159/14.696/$BP27/42)</f>
        <v>0</v>
      </c>
      <c r="BB27" s="100" t="n">
        <f aca="false">IF($P27=0,"",Z27*1000/BB$159*$AD$159/14.696/$BP27/42)</f>
        <v>0</v>
      </c>
      <c r="BC27" s="100" t="n">
        <f aca="false">IF($P27=0,"",AA27*1000/BC$159*$AD$159/14.696/$BP27/42)</f>
        <v>0</v>
      </c>
      <c r="BD27" s="430" t="n">
        <f aca="false">SUM(AS27:BC27)</f>
        <v>0</v>
      </c>
      <c r="BE27" s="424" t="n">
        <f aca="false">IF($P27=0,"",E27/$P27*BE$159)</f>
        <v>2.04595696328171E-006</v>
      </c>
      <c r="BF27" s="425" t="n">
        <f aca="false">IF($P27=0,"",F27/$P27*BF$159)</f>
        <v>2.62128484890691E-005</v>
      </c>
      <c r="BG27" s="425" t="n">
        <f aca="false">IF($P27=0,"",G27/$P27*BG$159)</f>
        <v>0.00942426368006468</v>
      </c>
      <c r="BH27" s="425" t="n">
        <f aca="false">IF($P27=0,"",H27/$P27*BH$159)</f>
        <v>0.00251467974054739</v>
      </c>
      <c r="BI27" s="425" t="n">
        <f aca="false">IF($P27=0,"",I27/$P27*BI$159)</f>
        <v>0.00147240110980175</v>
      </c>
      <c r="BJ27" s="425" t="n">
        <f aca="false">IF($P27=0,"",J27/$P27*BJ$159)</f>
        <v>0.000306031850739168</v>
      </c>
      <c r="BK27" s="425" t="n">
        <f aca="false">IF($P27=0,"",K27/$P27*BK$159)</f>
        <v>0.000651318439680326</v>
      </c>
      <c r="BL27" s="425" t="n">
        <f aca="false">IF($P27=0,"",L27/$P27*BL$159)</f>
        <v>0.000207545766267906</v>
      </c>
      <c r="BM27" s="425" t="n">
        <f aca="false">IF($P27=0,"",M27/$P27*BM$159)</f>
        <v>0.000250653383637849</v>
      </c>
      <c r="BN27" s="425" t="n">
        <f aca="false">IF($P27=0,"",N27/$P27*BN$159)</f>
        <v>0.000423227558628786</v>
      </c>
      <c r="BO27" s="425" t="n">
        <f aca="false">IF($P27=0,"",O27/$P27*BO$159)</f>
        <v>0</v>
      </c>
      <c r="BP27" s="423" t="n">
        <f aca="false">1-AD$159*(SUM(BE27:BO27))^2</f>
        <v>0.996580266532148</v>
      </c>
    </row>
    <row r="28" customFormat="false" ht="15" hidden="false" customHeight="false" outlineLevel="0" collapsed="false">
      <c r="A28" s="413" t="s">
        <v>49</v>
      </c>
      <c r="B28" s="414" t="s">
        <v>236</v>
      </c>
      <c r="C28" s="415" t="n">
        <v>815353.24</v>
      </c>
      <c r="D28" s="416" t="n">
        <v>1002884.54</v>
      </c>
      <c r="E28" s="417" t="n">
        <v>0.099279756712626</v>
      </c>
      <c r="F28" s="417" t="n">
        <v>0.602165263373735</v>
      </c>
      <c r="G28" s="417" t="n">
        <v>79.160326528009</v>
      </c>
      <c r="H28" s="417" t="n">
        <v>11.1755135924096</v>
      </c>
      <c r="I28" s="417" t="n">
        <v>4.99296145641652</v>
      </c>
      <c r="J28" s="417" t="n">
        <v>0.772059422793529</v>
      </c>
      <c r="K28" s="417" t="n">
        <v>1.70336529291086</v>
      </c>
      <c r="L28" s="417" t="n">
        <v>0.424818904481619</v>
      </c>
      <c r="M28" s="417" t="n">
        <v>0.502816387523273</v>
      </c>
      <c r="N28" s="417" t="n">
        <v>0.566691353321856</v>
      </c>
      <c r="O28" s="76"/>
      <c r="P28" s="418" t="n">
        <f aca="false">SUM(E28:O28)</f>
        <v>99.9999979579526</v>
      </c>
      <c r="Q28" s="14" t="n">
        <f aca="false">IF($P28=0,"",$C28*E28/$P28)</f>
        <v>809.480729550494</v>
      </c>
      <c r="R28" s="15" t="n">
        <f aca="false">IF($P28=0,"",$C28*F28/$P28)</f>
        <v>4909.7740853322</v>
      </c>
      <c r="S28" s="15" t="n">
        <f aca="false">IF($P28=0,"",$C28*G28/$P28)</f>
        <v>645436.300320816</v>
      </c>
      <c r="T28" s="15" t="n">
        <f aca="false">IF($P28=0,"",$C28*H28/$P28)</f>
        <v>91119.9140230639</v>
      </c>
      <c r="U28" s="15" t="n">
        <f aca="false">IF($P28=0,"",$C28*I28/$P28)</f>
        <v>40710.2738381664</v>
      </c>
      <c r="V28" s="15" t="n">
        <f aca="false">IF($P28=0,"",$C28*J28/$P28)</f>
        <v>6295.01164701946</v>
      </c>
      <c r="W28" s="15" t="n">
        <f aca="false">IF($P28=0,"",$C28*K28/$P28)</f>
        <v>13888.4443883928</v>
      </c>
      <c r="X28" s="15" t="n">
        <f aca="false">IF($P28=0,"",$C28*L28/$P28)</f>
        <v>3463.77477255531</v>
      </c>
      <c r="Y28" s="15" t="n">
        <f aca="false">IF($P28=0,"",$C28*M28/$P28)</f>
        <v>4099.72979064039</v>
      </c>
      <c r="Z28" s="15" t="n">
        <f aca="false">IF($P28=0,"",$C28*N28/$P28)</f>
        <v>4620.53640446314</v>
      </c>
      <c r="AA28" s="15" t="n">
        <f aca="false">IF($P28=0,"",$C28*O28/$P28)</f>
        <v>0</v>
      </c>
      <c r="AB28" s="16" t="n">
        <f aca="false">SUM(Q28:AA28)</f>
        <v>815353.24</v>
      </c>
      <c r="AC28" s="419"/>
      <c r="AD28" s="420"/>
      <c r="AE28" s="15" t="n">
        <f aca="false">IF($P28=0,"",S28*AE$159/$BP28/1000)</f>
        <v>652210.796116464</v>
      </c>
      <c r="AF28" s="15" t="n">
        <f aca="false">IF($P28=0,"",T28*AF$159/$BP28/1000)</f>
        <v>161343.884390239</v>
      </c>
      <c r="AG28" s="15" t="n">
        <f aca="false">IF($P28=0,"",U28*AG$159/$BP28/1000)</f>
        <v>102484.356053013</v>
      </c>
      <c r="AH28" s="15" t="n">
        <f aca="false">IF($P28=0,"",V28*AH$159/$BP28/1000)</f>
        <v>20481.452302304</v>
      </c>
      <c r="AI28" s="15" t="n">
        <f aca="false">IF($P28=0,"",W28*AI$159/$BP28/1000)</f>
        <v>45332.4180385444</v>
      </c>
      <c r="AJ28" s="15" t="n">
        <f aca="false">IF($P28=0,"",X28*AJ$159/$BP28/1000)</f>
        <v>13865.6343052642</v>
      </c>
      <c r="AK28" s="15" t="n">
        <f aca="false">IF($P28=0,"",Y28*AK$159/$BP28/1000)</f>
        <v>16443.4839454576</v>
      </c>
      <c r="AL28" s="15" t="n">
        <f aca="false">IF($P28=0,"",Z28*AL$159/$BP28/1000)</f>
        <v>23712.4575277761</v>
      </c>
      <c r="AM28" s="15" t="n">
        <f aca="false">IF($P28=0,"",AA28*AM$159/$BP28/1000)</f>
        <v>0</v>
      </c>
      <c r="AN28" s="15" t="n">
        <f aca="false">SUM(AC28:AM28)</f>
        <v>1035874.48267906</v>
      </c>
      <c r="AO28" s="15" t="n">
        <f aca="false">D28-AN28</f>
        <v>-32989.9426790627</v>
      </c>
      <c r="AP28" s="421" t="n">
        <f aca="false">IF(D28=0,0,AO28/D28)</f>
        <v>-0.0328950555754531</v>
      </c>
      <c r="AQ28" s="75" t="n">
        <f aca="false">IF(AB28=0,0,AN28/AB28)*1000</f>
        <v>1270.46098777882</v>
      </c>
      <c r="AR28" s="340" t="n">
        <f aca="false">IF(C28=0,0,D28/C28)*1000</f>
        <v>1230.00006721013</v>
      </c>
      <c r="AS28" s="422" t="n">
        <f aca="false">IF($P28=0,"",Q28*1000/AS$159*$AD$159/14.696/$BP28/42)</f>
        <v>328.253068011748</v>
      </c>
      <c r="AT28" s="15" t="n">
        <f aca="false">IF($P28=0,"",R28*1000/AT$159*$AD$159/14.696/$BP28/42)</f>
        <v>1283.48338460405</v>
      </c>
      <c r="AU28" s="15" t="n">
        <f aca="false">IF($P28=0,"",S28*1000/AU$159*$AD$159/14.696/$BP28/42)</f>
        <v>259996.400003082</v>
      </c>
      <c r="AV28" s="15" t="n">
        <f aca="false">IF($P28=0,"",T28*1000/AV$159*$AD$159/14.696/$BP28/42)</f>
        <v>57903.0726657638</v>
      </c>
      <c r="AW28" s="15" t="n">
        <f aca="false">IF($P28=0,"",U28*1000/AW$159*$AD$159/14.696/$BP28/42)</f>
        <v>26649.5950553439</v>
      </c>
      <c r="AX28" s="15" t="n">
        <f aca="false">IF($P28=0,"",V28*1000/AX$159*$AD$159/14.696/$BP28/42)</f>
        <v>4894.75413380312</v>
      </c>
      <c r="AY28" s="15" t="n">
        <f aca="false">IF($P28=0,"",W28*1000/AY$159*$AD$159/14.696/$BP28/42)</f>
        <v>10403.8338478616</v>
      </c>
      <c r="AZ28" s="15" t="n">
        <f aca="false">IF($P28=0,"",X28*1000/AZ$159*$AD$159/14.696/$BP28/42)</f>
        <v>3009.9398499487</v>
      </c>
      <c r="BA28" s="15" t="n">
        <f aca="false">IF($P28=0,"",Y28*1000/BA$159*$AD$159/14.696/$BP28/42)</f>
        <v>3531.14085678735</v>
      </c>
      <c r="BB28" s="15" t="n">
        <f aca="false">IF($P28=0,"",Z28*1000/BB$159*$AD$159/14.696/$BP28/42)</f>
        <v>4764.15410293856</v>
      </c>
      <c r="BC28" s="15" t="n">
        <f aca="false">IF($P28=0,"",AA28*1000/BC$159*$AD$159/14.696/$BP28/42)</f>
        <v>0</v>
      </c>
      <c r="BD28" s="55" t="n">
        <f aca="false">SUM(AS28:BC28)</f>
        <v>372764.626968144</v>
      </c>
      <c r="BE28" s="419" t="n">
        <f aca="false">IF($P28=0,"",E28/$P28*BE$159)</f>
        <v>1.93595529542933E-005</v>
      </c>
      <c r="BF28" s="420" t="n">
        <f aca="false">IF($P28=0,"",F28/$P28*BF$159)</f>
        <v>2.66157051846244E-005</v>
      </c>
      <c r="BG28" s="420" t="n">
        <f aca="false">IF($P28=0,"",G28/$P28*BG$159)</f>
        <v>0.00918259806476205</v>
      </c>
      <c r="BH28" s="420" t="n">
        <f aca="false">IF($P28=0,"",H28/$P28*BH$159)</f>
        <v>0.0026597722893073</v>
      </c>
      <c r="BI28" s="420" t="n">
        <f aca="false">IF($P28=0,"",I28/$P28*BI$159)</f>
        <v>0.00173255766075618</v>
      </c>
      <c r="BJ28" s="420" t="n">
        <f aca="false">IF($P28=0,"",J28/$P28*BJ$159)</f>
        <v>0.000340478212404673</v>
      </c>
      <c r="BK28" s="420" t="n">
        <f aca="false">IF($P28=0,"",K28/$P28*BK$159)</f>
        <v>0.000800581704016362</v>
      </c>
      <c r="BL28" s="420" t="n">
        <f aca="false">IF($P28=0,"",L28/$P28*BL$159)</f>
        <v>0.000244695693978215</v>
      </c>
      <c r="BM28" s="420" t="n">
        <f aca="false">IF($P28=0,"",M28/$P28*BM$159)</f>
        <v>0.000304706737061359</v>
      </c>
      <c r="BN28" s="420" t="n">
        <f aca="false">IF($P28=0,"",N28/$P28*BN$159)</f>
        <v>0.000489451331858915</v>
      </c>
      <c r="BO28" s="420" t="n">
        <f aca="false">IF($P28=0,"",O28/$P28*BO$159)</f>
        <v>0</v>
      </c>
      <c r="BP28" s="418" t="n">
        <f aca="false">1-AD$159*(SUM(BE28:BO28))^2</f>
        <v>0.996342395790332</v>
      </c>
    </row>
    <row r="29" customFormat="false" ht="15" hidden="false" customHeight="false" outlineLevel="0" collapsed="false">
      <c r="A29" s="413" t="s">
        <v>50</v>
      </c>
      <c r="B29" s="414" t="s">
        <v>237</v>
      </c>
      <c r="C29" s="415" t="n">
        <v>126383.28</v>
      </c>
      <c r="D29" s="416" t="n">
        <v>153429.3</v>
      </c>
      <c r="E29" s="417" t="n">
        <v>2.372</v>
      </c>
      <c r="F29" s="417" t="n">
        <v>1.429</v>
      </c>
      <c r="G29" s="417" t="n">
        <v>78.31</v>
      </c>
      <c r="H29" s="417" t="n">
        <v>9.607</v>
      </c>
      <c r="I29" s="417" t="n">
        <v>4.619</v>
      </c>
      <c r="J29" s="417" t="n">
        <v>0.699</v>
      </c>
      <c r="K29" s="417" t="n">
        <v>1.528</v>
      </c>
      <c r="L29" s="417" t="n">
        <v>0.509</v>
      </c>
      <c r="M29" s="417" t="n">
        <v>0.405</v>
      </c>
      <c r="N29" s="417" t="n">
        <v>0.522</v>
      </c>
      <c r="O29" s="76"/>
      <c r="P29" s="423" t="n">
        <f aca="false">SUM(E29:O29)</f>
        <v>100</v>
      </c>
      <c r="Q29" s="99" t="n">
        <f aca="false">IF($P29=0,"",$C29*E29/$P29)</f>
        <v>2997.8114016</v>
      </c>
      <c r="R29" s="100" t="n">
        <f aca="false">IF($P29=0,"",$C29*F29/$P29)</f>
        <v>1806.0170712</v>
      </c>
      <c r="S29" s="100" t="n">
        <f aca="false">IF($P29=0,"",$C29*G29/$P29)</f>
        <v>98970.746568</v>
      </c>
      <c r="T29" s="100" t="n">
        <f aca="false">IF($P29=0,"",$C29*H29/$P29)</f>
        <v>12141.6417096</v>
      </c>
      <c r="U29" s="100" t="n">
        <f aca="false">IF($P29=0,"",$C29*I29/$P29)</f>
        <v>5837.6437032</v>
      </c>
      <c r="V29" s="100" t="n">
        <f aca="false">IF($P29=0,"",$C29*J29/$P29)</f>
        <v>883.4191272</v>
      </c>
      <c r="W29" s="100" t="n">
        <f aca="false">IF($P29=0,"",$C29*K29/$P29)</f>
        <v>1931.1365184</v>
      </c>
      <c r="X29" s="100" t="n">
        <f aca="false">IF($P29=0,"",$C29*L29/$P29)</f>
        <v>643.2908952</v>
      </c>
      <c r="Y29" s="100" t="n">
        <f aca="false">IF($P29=0,"",$C29*M29/$P29)</f>
        <v>511.852284</v>
      </c>
      <c r="Z29" s="100" t="n">
        <f aca="false">IF($P29=0,"",$C29*N29/$P29)</f>
        <v>659.7207216</v>
      </c>
      <c r="AA29" s="100" t="n">
        <f aca="false">IF($P29=0,"",$C29*O29/$P29)</f>
        <v>0</v>
      </c>
      <c r="AB29" s="101" t="n">
        <f aca="false">SUM(Q29:AA29)</f>
        <v>126383.28</v>
      </c>
      <c r="AC29" s="424"/>
      <c r="AD29" s="425"/>
      <c r="AE29" s="100" t="n">
        <f aca="false">IF($P29=0,"",S29*AE$159/$BP29/1000)</f>
        <v>99996.3738065691</v>
      </c>
      <c r="AF29" s="100" t="n">
        <f aca="false">IF($P29=0,"",T29*AF$159/$BP29/1000)</f>
        <v>21496.0878825209</v>
      </c>
      <c r="AG29" s="100" t="n">
        <f aca="false">IF($P29=0,"",U29*AG$159/$BP29/1000)</f>
        <v>14693.7939770559</v>
      </c>
      <c r="AH29" s="100" t="n">
        <f aca="false">IF($P29=0,"",V29*AH$159/$BP29/1000)</f>
        <v>2873.91432592631</v>
      </c>
      <c r="AI29" s="100" t="n">
        <f aca="false">IF($P29=0,"",W29*AI$159/$BP29/1000)</f>
        <v>6302.47404975616</v>
      </c>
      <c r="AJ29" s="100" t="n">
        <f aca="false">IF($P29=0,"",X29*AJ$159/$BP29/1000)</f>
        <v>2574.78108738843</v>
      </c>
      <c r="AK29" s="100" t="n">
        <f aca="false">IF($P29=0,"",Y29*AK$159/$BP29/1000)</f>
        <v>2052.70272664783</v>
      </c>
      <c r="AL29" s="100" t="n">
        <f aca="false">IF($P29=0,"",Z29*AL$159/$BP29/1000)</f>
        <v>3385.22160357868</v>
      </c>
      <c r="AM29" s="100" t="n">
        <f aca="false">IF($P29=0,"",AA29*AM$159/$BP29/1000)</f>
        <v>0</v>
      </c>
      <c r="AN29" s="100" t="n">
        <f aca="false">SUM(AC29:AM29)</f>
        <v>153375.349459443</v>
      </c>
      <c r="AO29" s="100" t="n">
        <f aca="false">D29-AN29</f>
        <v>53.9505405566597</v>
      </c>
      <c r="AP29" s="426" t="n">
        <f aca="false">IF(D29=0,0,AO29/D29)</f>
        <v>0.00035163127614256</v>
      </c>
      <c r="AQ29" s="427" t="n">
        <f aca="false">IF(AB29=0,0,AN29/AB29)*1000</f>
        <v>1213.57310444422</v>
      </c>
      <c r="AR29" s="428" t="n">
        <f aca="false">IF(C29=0,0,D29/C29)*1000</f>
        <v>1213.99998480812</v>
      </c>
      <c r="AS29" s="429" t="n">
        <f aca="false">IF($P29=0,"",Q29*1000/AS$159*$AD$159/14.696/$BP29/42)</f>
        <v>1215.48441661793</v>
      </c>
      <c r="AT29" s="100" t="n">
        <f aca="false">IF($P29=0,"",R29*1000/AT$159*$AD$159/14.696/$BP29/42)</f>
        <v>472.055868919512</v>
      </c>
      <c r="AU29" s="100" t="n">
        <f aca="false">IF($P29=0,"",S29*1000/AU$159*$AD$159/14.696/$BP29/42)</f>
        <v>39862.4146639055</v>
      </c>
      <c r="AV29" s="100" t="n">
        <f aca="false">IF($P29=0,"",T29*1000/AV$159*$AD$159/14.696/$BP29/42)</f>
        <v>7714.51327947918</v>
      </c>
      <c r="AW29" s="100" t="n">
        <f aca="false">IF($P29=0,"",U29*1000/AW$159*$AD$159/14.696/$BP29/42)</f>
        <v>3820.91154588151</v>
      </c>
      <c r="AX29" s="100" t="n">
        <f aca="false">IF($P29=0,"",V29*1000/AX$159*$AD$159/14.696/$BP29/42)</f>
        <v>686.821609102465</v>
      </c>
      <c r="AY29" s="100" t="n">
        <f aca="false">IF($P29=0,"",W29*1000/AY$159*$AD$159/14.696/$BP29/42)</f>
        <v>1446.42389886131</v>
      </c>
      <c r="AZ29" s="100" t="n">
        <f aca="false">IF($P29=0,"",X29*1000/AZ$159*$AD$159/14.696/$BP29/42)</f>
        <v>558.931241745092</v>
      </c>
      <c r="BA29" s="100" t="n">
        <f aca="false">IF($P29=0,"",Y29*1000/BA$159*$AD$159/14.696/$BP29/42)</f>
        <v>440.805761658999</v>
      </c>
      <c r="BB29" s="100" t="n">
        <f aca="false">IF($P29=0,"",Z29*1000/BB$159*$AD$159/14.696/$BP29/42)</f>
        <v>680.136901590822</v>
      </c>
      <c r="BC29" s="100" t="n">
        <f aca="false">IF($P29=0,"",AA29*1000/BC$159*$AD$159/14.696/$BP29/42)</f>
        <v>0</v>
      </c>
      <c r="BD29" s="430" t="n">
        <f aca="false">SUM(AS29:BC29)</f>
        <v>56898.4991877623</v>
      </c>
      <c r="BE29" s="424" t="n">
        <f aca="false">IF($P29=0,"",E29/$P29*BE$159)</f>
        <v>0.00046254</v>
      </c>
      <c r="BF29" s="425" t="n">
        <f aca="false">IF($P29=0,"",F29/$P29*BF$159)</f>
        <v>6.31618E-005</v>
      </c>
      <c r="BG29" s="425" t="n">
        <f aca="false">IF($P29=0,"",G29/$P29*BG$159)</f>
        <v>0.00908396</v>
      </c>
      <c r="BH29" s="425" t="n">
        <f aca="false">IF($P29=0,"",H29/$P29*BH$159)</f>
        <v>0.002286466</v>
      </c>
      <c r="BI29" s="425" t="n">
        <f aca="false">IF($P29=0,"",I29/$P29*BI$159)</f>
        <v>0.001602793</v>
      </c>
      <c r="BJ29" s="425" t="n">
        <f aca="false">IF($P29=0,"",J29/$P29*BJ$159)</f>
        <v>0.000308259</v>
      </c>
      <c r="BK29" s="425" t="n">
        <f aca="false">IF($P29=0,"",K29/$P29*BK$159)</f>
        <v>0.00071816</v>
      </c>
      <c r="BL29" s="425" t="n">
        <f aca="false">IF($P29=0,"",L29/$P29*BL$159)</f>
        <v>0.000293184</v>
      </c>
      <c r="BM29" s="425" t="n">
        <f aca="false">IF($P29=0,"",M29/$P29*BM$159)</f>
        <v>0.00024543</v>
      </c>
      <c r="BN29" s="425" t="n">
        <f aca="false">IF($P29=0,"",N29/$P29*BN$159)</f>
        <v>0.0004508514</v>
      </c>
      <c r="BO29" s="425" t="n">
        <f aca="false">IF($P29=0,"",O29/$P29*BO$159)</f>
        <v>0</v>
      </c>
      <c r="BP29" s="423" t="n">
        <f aca="false">1-AD$159*(SUM(BE29:BO29))^2</f>
        <v>0.996473610507229</v>
      </c>
    </row>
    <row r="30" customFormat="false" ht="15" hidden="false" customHeight="false" outlineLevel="0" collapsed="false">
      <c r="A30" s="413" t="s">
        <v>51</v>
      </c>
      <c r="B30" s="414" t="s">
        <v>238</v>
      </c>
      <c r="C30" s="415" t="n">
        <v>0</v>
      </c>
      <c r="D30" s="416" t="n">
        <v>0</v>
      </c>
      <c r="E30" s="417" t="n">
        <v>0.176</v>
      </c>
      <c r="F30" s="417" t="n">
        <v>0.485</v>
      </c>
      <c r="G30" s="417" t="n">
        <v>85.8800000000001</v>
      </c>
      <c r="H30" s="417" t="n">
        <v>7.333</v>
      </c>
      <c r="I30" s="417" t="n">
        <v>3.294</v>
      </c>
      <c r="J30" s="417" t="n">
        <v>0.45</v>
      </c>
      <c r="K30" s="417" t="n">
        <v>1.099</v>
      </c>
      <c r="L30" s="417" t="n">
        <v>0.289</v>
      </c>
      <c r="M30" s="417" t="n">
        <v>0.349</v>
      </c>
      <c r="N30" s="417" t="n">
        <v>0.645</v>
      </c>
      <c r="O30" s="76"/>
      <c r="P30" s="418" t="n">
        <f aca="false">SUM(E30:O30)</f>
        <v>100</v>
      </c>
      <c r="Q30" s="14" t="n">
        <f aca="false">IF($P30=0,"",$C30*E30/$P30)</f>
        <v>0</v>
      </c>
      <c r="R30" s="15" t="n">
        <f aca="false">IF($P30=0,"",$C30*F30/$P30)</f>
        <v>0</v>
      </c>
      <c r="S30" s="15" t="n">
        <f aca="false">IF($P30=0,"",$C30*G30/$P30)</f>
        <v>0</v>
      </c>
      <c r="T30" s="15" t="n">
        <f aca="false">IF($P30=0,"",$C30*H30/$P30)</f>
        <v>0</v>
      </c>
      <c r="U30" s="15" t="n">
        <f aca="false">IF($P30=0,"",$C30*I30/$P30)</f>
        <v>0</v>
      </c>
      <c r="V30" s="15" t="n">
        <f aca="false">IF($P30=0,"",$C30*J30/$P30)</f>
        <v>0</v>
      </c>
      <c r="W30" s="15" t="n">
        <f aca="false">IF($P30=0,"",$C30*K30/$P30)</f>
        <v>0</v>
      </c>
      <c r="X30" s="15" t="n">
        <f aca="false">IF($P30=0,"",$C30*L30/$P30)</f>
        <v>0</v>
      </c>
      <c r="Y30" s="15" t="n">
        <f aca="false">IF($P30=0,"",$C30*M30/$P30)</f>
        <v>0</v>
      </c>
      <c r="Z30" s="15" t="n">
        <f aca="false">IF($P30=0,"",$C30*N30/$P30)</f>
        <v>0</v>
      </c>
      <c r="AA30" s="15" t="n">
        <f aca="false">IF($P30=0,"",$C30*O30/$P30)</f>
        <v>0</v>
      </c>
      <c r="AB30" s="16" t="n">
        <f aca="false">SUM(Q30:AA30)</f>
        <v>0</v>
      </c>
      <c r="AC30" s="419"/>
      <c r="AD30" s="420"/>
      <c r="AE30" s="15" t="n">
        <f aca="false">IF($P30=0,"",S30*AE$159/$BP30/1000)</f>
        <v>0</v>
      </c>
      <c r="AF30" s="15" t="n">
        <f aca="false">IF($P30=0,"",T30*AF$159/$BP30/1000)</f>
        <v>0</v>
      </c>
      <c r="AG30" s="15" t="n">
        <f aca="false">IF($P30=0,"",U30*AG$159/$BP30/1000)</f>
        <v>0</v>
      </c>
      <c r="AH30" s="15" t="n">
        <f aca="false">IF($P30=0,"",V30*AH$159/$BP30/1000)</f>
        <v>0</v>
      </c>
      <c r="AI30" s="15" t="n">
        <f aca="false">IF($P30=0,"",W30*AI$159/$BP30/1000)</f>
        <v>0</v>
      </c>
      <c r="AJ30" s="15" t="n">
        <f aca="false">IF($P30=0,"",X30*AJ$159/$BP30/1000)</f>
        <v>0</v>
      </c>
      <c r="AK30" s="15" t="n">
        <f aca="false">IF($P30=0,"",Y30*AK$159/$BP30/1000)</f>
        <v>0</v>
      </c>
      <c r="AL30" s="15" t="n">
        <f aca="false">IF($P30=0,"",Z30*AL$159/$BP30/1000)</f>
        <v>0</v>
      </c>
      <c r="AM30" s="15" t="n">
        <f aca="false">IF($P30=0,"",AA30*AM$159/$BP30/1000)</f>
        <v>0</v>
      </c>
      <c r="AN30" s="15" t="n">
        <f aca="false">SUM(AC30:AM30)</f>
        <v>0</v>
      </c>
      <c r="AO30" s="15" t="n">
        <f aca="false">D30-AN30</f>
        <v>0</v>
      </c>
      <c r="AP30" s="421" t="n">
        <f aca="false">IF(D30=0,0,AO30/D30)</f>
        <v>0</v>
      </c>
      <c r="AQ30" s="75" t="n">
        <f aca="false">IF(AB30=0,0,AN30/AB30)*1000</f>
        <v>0</v>
      </c>
      <c r="AR30" s="340" t="n">
        <f aca="false">IF(C30=0,0,D30/C30)*1000</f>
        <v>0</v>
      </c>
      <c r="AS30" s="422" t="n">
        <f aca="false">IF($P30=0,"",Q30*1000/AS$159*$AD$159/14.696/$BP30/42)</f>
        <v>0</v>
      </c>
      <c r="AT30" s="15" t="n">
        <f aca="false">IF($P30=0,"",R30*1000/AT$159*$AD$159/14.696/$BP30/42)</f>
        <v>0</v>
      </c>
      <c r="AU30" s="15" t="n">
        <f aca="false">IF($P30=0,"",S30*1000/AU$159*$AD$159/14.696/$BP30/42)</f>
        <v>0</v>
      </c>
      <c r="AV30" s="15" t="n">
        <f aca="false">IF($P30=0,"",T30*1000/AV$159*$AD$159/14.696/$BP30/42)</f>
        <v>0</v>
      </c>
      <c r="AW30" s="15" t="n">
        <f aca="false">IF($P30=0,"",U30*1000/AW$159*$AD$159/14.696/$BP30/42)</f>
        <v>0</v>
      </c>
      <c r="AX30" s="15" t="n">
        <f aca="false">IF($P30=0,"",V30*1000/AX$159*$AD$159/14.696/$BP30/42)</f>
        <v>0</v>
      </c>
      <c r="AY30" s="15" t="n">
        <f aca="false">IF($P30=0,"",W30*1000/AY$159*$AD$159/14.696/$BP30/42)</f>
        <v>0</v>
      </c>
      <c r="AZ30" s="15" t="n">
        <f aca="false">IF($P30=0,"",X30*1000/AZ$159*$AD$159/14.696/$BP30/42)</f>
        <v>0</v>
      </c>
      <c r="BA30" s="15" t="n">
        <f aca="false">IF($P30=0,"",Y30*1000/BA$159*$AD$159/14.696/$BP30/42)</f>
        <v>0</v>
      </c>
      <c r="BB30" s="15" t="n">
        <f aca="false">IF($P30=0,"",Z30*1000/BB$159*$AD$159/14.696/$BP30/42)</f>
        <v>0</v>
      </c>
      <c r="BC30" s="15" t="n">
        <f aca="false">IF($P30=0,"",AA30*1000/BC$159*$AD$159/14.696/$BP30/42)</f>
        <v>0</v>
      </c>
      <c r="BD30" s="55" t="n">
        <f aca="false">SUM(AS30:BC30)</f>
        <v>0</v>
      </c>
      <c r="BE30" s="419" t="n">
        <f aca="false">IF($P30=0,"",E30/$P30*BE$159)</f>
        <v>3.432E-005</v>
      </c>
      <c r="BF30" s="420" t="n">
        <f aca="false">IF($P30=0,"",F30/$P30*BF$159)</f>
        <v>2.1437E-005</v>
      </c>
      <c r="BG30" s="420" t="n">
        <f aca="false">IF($P30=0,"",G30/$P30*BG$159)</f>
        <v>0.00996208</v>
      </c>
      <c r="BH30" s="420" t="n">
        <f aca="false">IF($P30=0,"",H30/$P30*BH$159)</f>
        <v>0.001745254</v>
      </c>
      <c r="BI30" s="420" t="n">
        <f aca="false">IF($P30=0,"",I30/$P30*BI$159)</f>
        <v>0.001143018</v>
      </c>
      <c r="BJ30" s="420" t="n">
        <f aca="false">IF($P30=0,"",J30/$P30*BJ$159)</f>
        <v>0.00019845</v>
      </c>
      <c r="BK30" s="420" t="n">
        <f aca="false">IF($P30=0,"",K30/$P30*BK$159)</f>
        <v>0.00051653</v>
      </c>
      <c r="BL30" s="420" t="n">
        <f aca="false">IF($P30=0,"",L30/$P30*BL$159)</f>
        <v>0.000166464</v>
      </c>
      <c r="BM30" s="420" t="n">
        <f aca="false">IF($P30=0,"",M30/$P30*BM$159)</f>
        <v>0.000211494</v>
      </c>
      <c r="BN30" s="420" t="n">
        <f aca="false">IF($P30=0,"",N30/$P30*BN$159)</f>
        <v>0.0005570865</v>
      </c>
      <c r="BO30" s="420" t="n">
        <f aca="false">IF($P30=0,"",O30/$P30*BO$159)</f>
        <v>0</v>
      </c>
      <c r="BP30" s="418" t="n">
        <f aca="false">1-AD$159*(SUM(BE30:BO30))^2</f>
        <v>0.996895943020817</v>
      </c>
    </row>
    <row r="31" customFormat="false" ht="15" hidden="false" customHeight="false" outlineLevel="0" collapsed="false">
      <c r="A31" s="413" t="s">
        <v>52</v>
      </c>
      <c r="B31" s="414" t="s">
        <v>239</v>
      </c>
      <c r="C31" s="415" t="n">
        <v>14399.14</v>
      </c>
      <c r="D31" s="416" t="n">
        <v>20187.6</v>
      </c>
      <c r="E31" s="431" t="n">
        <v>0.259</v>
      </c>
      <c r="F31" s="431" t="n">
        <v>1.405</v>
      </c>
      <c r="G31" s="431" t="n">
        <v>70.14</v>
      </c>
      <c r="H31" s="431" t="n">
        <v>12.827</v>
      </c>
      <c r="I31" s="431" t="n">
        <v>8.599</v>
      </c>
      <c r="J31" s="431" t="n">
        <v>0.996</v>
      </c>
      <c r="K31" s="431" t="n">
        <v>3.193</v>
      </c>
      <c r="L31" s="431" t="n">
        <v>0.671</v>
      </c>
      <c r="M31" s="431" t="n">
        <v>0.803</v>
      </c>
      <c r="N31" s="431" t="n">
        <v>1.107</v>
      </c>
      <c r="O31" s="76"/>
      <c r="P31" s="423" t="n">
        <f aca="false">SUM(E31:O31)</f>
        <v>100</v>
      </c>
      <c r="Q31" s="99" t="n">
        <f aca="false">IF($P31=0,"",$C31*E31/$P31)</f>
        <v>37.2937726</v>
      </c>
      <c r="R31" s="100" t="n">
        <f aca="false">IF($P31=0,"",$C31*F31/$P31)</f>
        <v>202.307917</v>
      </c>
      <c r="S31" s="100" t="n">
        <f aca="false">IF($P31=0,"",$C31*G31/$P31)</f>
        <v>10099.556796</v>
      </c>
      <c r="T31" s="100" t="n">
        <f aca="false">IF($P31=0,"",$C31*H31/$P31)</f>
        <v>1846.9776878</v>
      </c>
      <c r="U31" s="100" t="n">
        <f aca="false">IF($P31=0,"",$C31*I31/$P31)</f>
        <v>1238.1820486</v>
      </c>
      <c r="V31" s="100" t="n">
        <f aca="false">IF($P31=0,"",$C31*J31/$P31)</f>
        <v>143.4154344</v>
      </c>
      <c r="W31" s="100" t="n">
        <f aca="false">IF($P31=0,"",$C31*K31/$P31)</f>
        <v>459.7645402</v>
      </c>
      <c r="X31" s="100" t="n">
        <f aca="false">IF($P31=0,"",$C31*L31/$P31)</f>
        <v>96.6182294</v>
      </c>
      <c r="Y31" s="100" t="n">
        <f aca="false">IF($P31=0,"",$C31*M31/$P31)</f>
        <v>115.6250942</v>
      </c>
      <c r="Z31" s="100" t="n">
        <f aca="false">IF($P31=0,"",$C31*N31/$P31)</f>
        <v>159.3984798</v>
      </c>
      <c r="AA31" s="100" t="n">
        <f aca="false">IF($P31=0,"",$C31*O31/$P31)</f>
        <v>0</v>
      </c>
      <c r="AB31" s="101" t="n">
        <f aca="false">SUM(Q31:AA31)</f>
        <v>14399.14</v>
      </c>
      <c r="AC31" s="424"/>
      <c r="AD31" s="425"/>
      <c r="AE31" s="100" t="n">
        <f aca="false">IF($P31=0,"",S31*AE$159/$BP31/1000)</f>
        <v>10217.0251150523</v>
      </c>
      <c r="AF31" s="100" t="n">
        <f aca="false">IF($P31=0,"",T31*AF$159/$BP31/1000)</f>
        <v>3274.07335148365</v>
      </c>
      <c r="AG31" s="100" t="n">
        <f aca="false">IF($P31=0,"",U31*AG$159/$BP31/1000)</f>
        <v>3120.51018914474</v>
      </c>
      <c r="AH31" s="100" t="n">
        <f aca="false">IF($P31=0,"",V31*AH$159/$BP31/1000)</f>
        <v>467.140640595807</v>
      </c>
      <c r="AI31" s="100" t="n">
        <f aca="false">IF($P31=0,"",W31*AI$159/$BP31/1000)</f>
        <v>1502.37484186065</v>
      </c>
      <c r="AJ31" s="100" t="n">
        <f aca="false">IF($P31=0,"",X31*AJ$159/$BP31/1000)</f>
        <v>387.201222903461</v>
      </c>
      <c r="AK31" s="100" t="n">
        <f aca="false">IF($P31=0,"",Y31*AK$159/$BP31/1000)</f>
        <v>464.278158580281</v>
      </c>
      <c r="AL31" s="100" t="n">
        <f aca="false">IF($P31=0,"",Z31*AL$159/$BP31/1000)</f>
        <v>818.947183529561</v>
      </c>
      <c r="AM31" s="100" t="n">
        <f aca="false">IF($P31=0,"",AA31*AM$159/$BP31/1000)</f>
        <v>0</v>
      </c>
      <c r="AN31" s="100" t="n">
        <f aca="false">SUM(AC31:AM31)</f>
        <v>20251.5507031505</v>
      </c>
      <c r="AO31" s="100" t="n">
        <f aca="false">D31-AN31</f>
        <v>-63.9507031504909</v>
      </c>
      <c r="AP31" s="426" t="n">
        <f aca="false">IF(D31=0,0,AO31/D31)</f>
        <v>-0.00316782099657666</v>
      </c>
      <c r="AQ31" s="427" t="n">
        <f aca="false">IF(AB31=0,0,AN31/AB31)*1000</f>
        <v>1406.44168354155</v>
      </c>
      <c r="AR31" s="428" t="n">
        <f aca="false">IF(C31=0,0,D31/C31)*1000</f>
        <v>1402.00039724595</v>
      </c>
      <c r="AS31" s="429" t="n">
        <f aca="false">IF($P31=0,"",Q31*1000/AS$159*$AD$159/14.696/$BP31/42)</f>
        <v>15.140009464283</v>
      </c>
      <c r="AT31" s="100" t="n">
        <f aca="false">IF($P31=0,"",R31*1000/AT$159*$AD$159/14.696/$BP31/42)</f>
        <v>52.9455140092403</v>
      </c>
      <c r="AU31" s="100" t="n">
        <f aca="false">IF($P31=0,"",S31*1000/AU$159*$AD$159/14.696/$BP31/42)</f>
        <v>4072.90060893186</v>
      </c>
      <c r="AV31" s="100" t="n">
        <f aca="false">IF($P31=0,"",T31*1000/AV$159*$AD$159/14.696/$BP31/42)</f>
        <v>1174.99902708099</v>
      </c>
      <c r="AW31" s="100" t="n">
        <f aca="false">IF($P31=0,"",U31*1000/AW$159*$AD$159/14.696/$BP31/42)</f>
        <v>811.444166793268</v>
      </c>
      <c r="AX31" s="100" t="n">
        <f aca="false">IF($P31=0,"",V31*1000/AX$159*$AD$159/14.696/$BP31/42)</f>
        <v>111.639474968606</v>
      </c>
      <c r="AY31" s="100" t="n">
        <f aca="false">IF($P31=0,"",W31*1000/AY$159*$AD$159/14.696/$BP31/42)</f>
        <v>344.796481375326</v>
      </c>
      <c r="AZ31" s="100" t="n">
        <f aca="false">IF($P31=0,"",X31*1000/AZ$159*$AD$159/14.696/$BP31/42)</f>
        <v>84.0533051072548</v>
      </c>
      <c r="BA31" s="100" t="n">
        <f aca="false">IF($P31=0,"",Y31*1000/BA$159*$AD$159/14.696/$BP31/42)</f>
        <v>99.7009867321765</v>
      </c>
      <c r="BB31" s="100" t="n">
        <f aca="false">IF($P31=0,"",Z31*1000/BB$159*$AD$159/14.696/$BP31/42)</f>
        <v>164.537588730823</v>
      </c>
      <c r="BC31" s="100" t="n">
        <f aca="false">IF($P31=0,"",AA31*1000/BC$159*$AD$159/14.696/$BP31/42)</f>
        <v>0</v>
      </c>
      <c r="BD31" s="430" t="n">
        <f aca="false">SUM(AS31:BC31)</f>
        <v>6932.15716319383</v>
      </c>
      <c r="BE31" s="424" t="n">
        <f aca="false">IF($P31=0,"",E31/$P31*BE$159)</f>
        <v>5.0505E-005</v>
      </c>
      <c r="BF31" s="425" t="n">
        <f aca="false">IF($P31=0,"",F31/$P31*BF$159)</f>
        <v>6.2101E-005</v>
      </c>
      <c r="BG31" s="425" t="n">
        <f aca="false">IF($P31=0,"",G31/$P31*BG$159)</f>
        <v>0.00813624</v>
      </c>
      <c r="BH31" s="425" t="n">
        <f aca="false">IF($P31=0,"",H31/$P31*BH$159)</f>
        <v>0.003052826</v>
      </c>
      <c r="BI31" s="425" t="n">
        <f aca="false">IF($P31=0,"",I31/$P31*BI$159)</f>
        <v>0.002983853</v>
      </c>
      <c r="BJ31" s="425" t="n">
        <f aca="false">IF($P31=0,"",J31/$P31*BJ$159)</f>
        <v>0.000439236</v>
      </c>
      <c r="BK31" s="425" t="n">
        <f aca="false">IF($P31=0,"",K31/$P31*BK$159)</f>
        <v>0.00150071</v>
      </c>
      <c r="BL31" s="425" t="n">
        <f aca="false">IF($P31=0,"",L31/$P31*BL$159)</f>
        <v>0.000386496</v>
      </c>
      <c r="BM31" s="425" t="n">
        <f aca="false">IF($P31=0,"",M31/$P31*BM$159)</f>
        <v>0.000486618</v>
      </c>
      <c r="BN31" s="425" t="n">
        <f aca="false">IF($P31=0,"",N31/$P31*BN$159)</f>
        <v>0.0009561159</v>
      </c>
      <c r="BO31" s="425" t="n">
        <f aca="false">IF($P31=0,"",O31/$P31*BO$159)</f>
        <v>0</v>
      </c>
      <c r="BP31" s="423" t="n">
        <f aca="false">1-AD$159*(SUM(BE31:BO31))^2</f>
        <v>0.995224506909779</v>
      </c>
    </row>
    <row r="32" customFormat="false" ht="15.75" hidden="false" customHeight="false" outlineLevel="0" collapsed="false">
      <c r="A32" s="433" t="s">
        <v>53</v>
      </c>
      <c r="B32" s="434" t="s">
        <v>240</v>
      </c>
      <c r="C32" s="435" t="n">
        <v>29648.04</v>
      </c>
      <c r="D32" s="436" t="n">
        <v>46488.12</v>
      </c>
      <c r="E32" s="437" t="n">
        <v>0.321</v>
      </c>
      <c r="F32" s="437" t="n">
        <v>1.291</v>
      </c>
      <c r="G32" s="437" t="n">
        <v>70.355</v>
      </c>
      <c r="H32" s="437" t="n">
        <v>12.637</v>
      </c>
      <c r="I32" s="437" t="n">
        <v>8.294</v>
      </c>
      <c r="J32" s="437" t="n">
        <v>0.989</v>
      </c>
      <c r="K32" s="437" t="n">
        <v>3.134</v>
      </c>
      <c r="L32" s="437" t="n">
        <v>0.728</v>
      </c>
      <c r="M32" s="437" t="n">
        <v>0.9</v>
      </c>
      <c r="N32" s="437" t="n">
        <v>1.351</v>
      </c>
      <c r="O32" s="76"/>
      <c r="P32" s="418" t="n">
        <f aca="false">SUM(E32:O32)</f>
        <v>100</v>
      </c>
      <c r="Q32" s="14" t="n">
        <f aca="false">IF($P32=0,"",$C32*E32/$P32)</f>
        <v>95.1702084</v>
      </c>
      <c r="R32" s="15" t="n">
        <f aca="false">IF($P32=0,"",$C32*F32/$P32)</f>
        <v>382.7561964</v>
      </c>
      <c r="S32" s="15" t="n">
        <f aca="false">IF($P32=0,"",$C32*G32/$P32)</f>
        <v>20858.878542</v>
      </c>
      <c r="T32" s="15" t="n">
        <f aca="false">IF($P32=0,"",$C32*H32/$P32)</f>
        <v>3746.6228148</v>
      </c>
      <c r="U32" s="15" t="n">
        <f aca="false">IF($P32=0,"",$C32*I32/$P32)</f>
        <v>2459.0084376</v>
      </c>
      <c r="V32" s="15" t="n">
        <f aca="false">IF($P32=0,"",$C32*J32/$P32)</f>
        <v>293.2191156</v>
      </c>
      <c r="W32" s="15" t="n">
        <f aca="false">IF($P32=0,"",$C32*K32/$P32)</f>
        <v>929.1695736</v>
      </c>
      <c r="X32" s="15" t="n">
        <f aca="false">IF($P32=0,"",$C32*L32/$P32)</f>
        <v>215.8377312</v>
      </c>
      <c r="Y32" s="15" t="n">
        <f aca="false">IF($P32=0,"",$C32*M32/$P32)</f>
        <v>266.83236</v>
      </c>
      <c r="Z32" s="15" t="n">
        <f aca="false">IF($P32=0,"",$C32*N32/$P32)</f>
        <v>400.5450204</v>
      </c>
      <c r="AA32" s="15" t="n">
        <f aca="false">IF($P32=0,"",$C32*O32/$P32)</f>
        <v>0</v>
      </c>
      <c r="AB32" s="16" t="n">
        <f aca="false">SUM(Q32:AA32)</f>
        <v>29648.04</v>
      </c>
      <c r="AC32" s="419"/>
      <c r="AD32" s="420"/>
      <c r="AE32" s="15" t="n">
        <f aca="false">IF($P32=0,"",S32*AE$159/$BP32/1000)</f>
        <v>21103.2065099464</v>
      </c>
      <c r="AF32" s="15" t="n">
        <f aca="false">IF($P32=0,"",T32*AF$159/$BP32/1000)</f>
        <v>6642.04904057424</v>
      </c>
      <c r="AG32" s="15" t="n">
        <f aca="false">IF($P32=0,"",U32*AG$159/$BP32/1000)</f>
        <v>6197.78446569081</v>
      </c>
      <c r="AH32" s="15" t="n">
        <f aca="false">IF($P32=0,"",V32*AH$159/$BP32/1000)</f>
        <v>955.167170585864</v>
      </c>
      <c r="AI32" s="15" t="n">
        <f aca="false">IF($P32=0,"",W32*AI$159/$BP32/1000)</f>
        <v>3036.49910973349</v>
      </c>
      <c r="AJ32" s="15" t="n">
        <f aca="false">IF($P32=0,"",X32*AJ$159/$BP32/1000)</f>
        <v>865.048308960921</v>
      </c>
      <c r="AK32" s="15" t="n">
        <f aca="false">IF($P32=0,"",Y32*AK$159/$BP32/1000)</f>
        <v>1071.51930400451</v>
      </c>
      <c r="AL32" s="15" t="n">
        <f aca="false">IF($P32=0,"",Z32*AL$159/$BP32/1000)</f>
        <v>2058.06176272282</v>
      </c>
      <c r="AM32" s="15" t="n">
        <f aca="false">IF($P32=0,"",AA32*AM$159/$BP32/1000)</f>
        <v>0</v>
      </c>
      <c r="AN32" s="15" t="n">
        <f aca="false">SUM(AC32:AM32)</f>
        <v>41929.3356722191</v>
      </c>
      <c r="AO32" s="15" t="n">
        <f aca="false">D32-AN32</f>
        <v>4558.78432778092</v>
      </c>
      <c r="AP32" s="421" t="n">
        <f aca="false">IF(D32=0,0,AO32/D32)</f>
        <v>0.0980634262641923</v>
      </c>
      <c r="AQ32" s="75" t="n">
        <f aca="false">IF(AB32=0,0,AN32/AB32)*1000</f>
        <v>1414.23634318556</v>
      </c>
      <c r="AR32" s="340" t="n">
        <f aca="false">IF(C32=0,0,D32/C32)*1000</f>
        <v>1567.99977334083</v>
      </c>
      <c r="AS32" s="422" t="n">
        <f aca="false">IF($P32=0,"",Q32*1000/AS$159*$AD$159/14.696/$BP32/42)</f>
        <v>38.6390283764828</v>
      </c>
      <c r="AT32" s="15" t="n">
        <f aca="false">IF($P32=0,"",R32*1000/AT$159*$AD$159/14.696/$BP32/42)</f>
        <v>100.178348774873</v>
      </c>
      <c r="AU32" s="15" t="n">
        <f aca="false">IF($P32=0,"",S32*1000/AU$159*$AD$159/14.696/$BP32/42)</f>
        <v>8412.55274181004</v>
      </c>
      <c r="AV32" s="15" t="n">
        <f aca="false">IF($P32=0,"",T32*1000/AV$159*$AD$159/14.696/$BP32/42)</f>
        <v>2383.69771311396</v>
      </c>
      <c r="AW32" s="15" t="n">
        <f aca="false">IF($P32=0,"",U32*1000/AW$159*$AD$159/14.696/$BP32/42)</f>
        <v>1611.64545118986</v>
      </c>
      <c r="AX32" s="15" t="n">
        <f aca="false">IF($P32=0,"",V32*1000/AX$159*$AD$159/14.696/$BP32/42)</f>
        <v>228.270358355997</v>
      </c>
      <c r="AY32" s="15" t="n">
        <f aca="false">IF($P32=0,"",W32*1000/AY$159*$AD$159/14.696/$BP32/42)</f>
        <v>696.87948677227</v>
      </c>
      <c r="AZ32" s="15" t="n">
        <f aca="false">IF($P32=0,"",X32*1000/AZ$159*$AD$159/14.696/$BP32/42)</f>
        <v>187.78393544417</v>
      </c>
      <c r="BA32" s="15" t="n">
        <f aca="false">IF($P32=0,"",Y32*1000/BA$159*$AD$159/14.696/$BP32/42)</f>
        <v>230.102428764914</v>
      </c>
      <c r="BB32" s="15" t="n">
        <f aca="false">IF($P32=0,"",Z32*1000/BB$159*$AD$159/14.696/$BP32/42)</f>
        <v>413.492501968286</v>
      </c>
      <c r="BC32" s="15" t="n">
        <f aca="false">IF($P32=0,"",AA32*1000/BC$159*$AD$159/14.696/$BP32/42)</f>
        <v>0</v>
      </c>
      <c r="BD32" s="55" t="n">
        <f aca="false">SUM(AS32:BC32)</f>
        <v>14303.2419945709</v>
      </c>
      <c r="BE32" s="419" t="n">
        <f aca="false">IF($P32=0,"",E32/$P32*BE$159)</f>
        <v>6.2595E-005</v>
      </c>
      <c r="BF32" s="420" t="n">
        <f aca="false">IF($P32=0,"",F32/$P32*BF$159)</f>
        <v>5.70622E-005</v>
      </c>
      <c r="BG32" s="420" t="n">
        <f aca="false">IF($P32=0,"",G32/$P32*BG$159)</f>
        <v>0.00816118</v>
      </c>
      <c r="BH32" s="420" t="n">
        <f aca="false">IF($P32=0,"",H32/$P32*BH$159)</f>
        <v>0.003007606</v>
      </c>
      <c r="BI32" s="420" t="n">
        <f aca="false">IF($P32=0,"",I32/$P32*BI$159)</f>
        <v>0.002878018</v>
      </c>
      <c r="BJ32" s="420" t="n">
        <f aca="false">IF($P32=0,"",J32/$P32*BJ$159)</f>
        <v>0.000436149</v>
      </c>
      <c r="BK32" s="420" t="n">
        <f aca="false">IF($P32=0,"",K32/$P32*BK$159)</f>
        <v>0.00147298</v>
      </c>
      <c r="BL32" s="420" t="n">
        <f aca="false">IF($P32=0,"",L32/$P32*BL$159)</f>
        <v>0.000419328</v>
      </c>
      <c r="BM32" s="420" t="n">
        <f aca="false">IF($P32=0,"",M32/$P32*BM$159)</f>
        <v>0.0005454</v>
      </c>
      <c r="BN32" s="420" t="n">
        <f aca="false">IF($P32=0,"",N32/$P32*BN$159)</f>
        <v>0.0011668587</v>
      </c>
      <c r="BO32" s="420" t="n">
        <f aca="false">IF($P32=0,"",O32/$P32*BO$159)</f>
        <v>0</v>
      </c>
      <c r="BP32" s="418" t="n">
        <f aca="false">1-AD$159*(SUM(BE32:BO32))^2</f>
        <v>0.995143506091715</v>
      </c>
    </row>
    <row r="33" customFormat="false" ht="15.75" hidden="false" customHeight="false" outlineLevel="0" collapsed="false">
      <c r="A33" s="438" t="s">
        <v>54</v>
      </c>
      <c r="B33" s="439" t="s">
        <v>241</v>
      </c>
      <c r="C33" s="440" t="n">
        <v>786056.19</v>
      </c>
      <c r="D33" s="441" t="n">
        <v>1024231.22</v>
      </c>
      <c r="E33" s="442" t="n">
        <v>0.145</v>
      </c>
      <c r="F33" s="442" t="n">
        <v>0.962</v>
      </c>
      <c r="G33" s="442" t="n">
        <v>78.52</v>
      </c>
      <c r="H33" s="442" t="n">
        <v>11.321</v>
      </c>
      <c r="I33" s="442" t="n">
        <v>5.149</v>
      </c>
      <c r="J33" s="442" t="n">
        <v>0.803</v>
      </c>
      <c r="K33" s="442" t="n">
        <v>1.744</v>
      </c>
      <c r="L33" s="442" t="n">
        <v>0.532</v>
      </c>
      <c r="M33" s="442" t="n">
        <v>0.449</v>
      </c>
      <c r="N33" s="443" t="n">
        <v>0.375</v>
      </c>
      <c r="O33" s="341"/>
      <c r="P33" s="423" t="n">
        <f aca="false">SUM(E33:O33)</f>
        <v>100</v>
      </c>
      <c r="Q33" s="99" t="n">
        <f aca="false">IF($P33=0,"",$C33*E33/$P33)</f>
        <v>1139.7814755</v>
      </c>
      <c r="R33" s="100" t="n">
        <f aca="false">IF($P33=0,"",$C33*F33/$P33)</f>
        <v>7561.8605478</v>
      </c>
      <c r="S33" s="100" t="n">
        <f aca="false">IF($P33=0,"",$C33*G33/$P33)</f>
        <v>617211.320388</v>
      </c>
      <c r="T33" s="100" t="n">
        <f aca="false">IF($P33=0,"",$C33*H33/$P33)</f>
        <v>88989.4212699</v>
      </c>
      <c r="U33" s="100" t="n">
        <f aca="false">IF($P33=0,"",$C33*I33/$P33)</f>
        <v>40474.0332231</v>
      </c>
      <c r="V33" s="100" t="n">
        <f aca="false">IF($P33=0,"",$C33*J33/$P33)</f>
        <v>6312.0312057</v>
      </c>
      <c r="W33" s="100" t="n">
        <f aca="false">IF($P33=0,"",$C33*K33/$P33)</f>
        <v>13708.8199536</v>
      </c>
      <c r="X33" s="100" t="n">
        <f aca="false">IF($P33=0,"",$C33*L33/$P33)</f>
        <v>4181.8189308</v>
      </c>
      <c r="Y33" s="100" t="n">
        <f aca="false">IF($P33=0,"",$C33*M33/$P33)</f>
        <v>3529.3922931</v>
      </c>
      <c r="Z33" s="100" t="n">
        <f aca="false">IF($P33=0,"",$C33*N33/$P33)</f>
        <v>2947.7107125</v>
      </c>
      <c r="AA33" s="100" t="n">
        <f aca="false">IF($P33=0,"",$C33*O33/$P33)</f>
        <v>0</v>
      </c>
      <c r="AB33" s="101" t="n">
        <f aca="false">SUM(Q33:AA33)</f>
        <v>786056.19</v>
      </c>
      <c r="AC33" s="424"/>
      <c r="AD33" s="425"/>
      <c r="AE33" s="100" t="n">
        <f aca="false">IF($P33=0,"",S33*AE$159/$BP33/1000)</f>
        <v>623670.946653121</v>
      </c>
      <c r="AF33" s="100" t="n">
        <f aca="false">IF($P33=0,"",T33*AF$159/$BP33/1000)</f>
        <v>157566.766772134</v>
      </c>
      <c r="AG33" s="100" t="n">
        <f aca="false">IF($P33=0,"",U33*AG$159/$BP33/1000)</f>
        <v>101886.600191137</v>
      </c>
      <c r="AH33" s="100" t="n">
        <f aca="false">IF($P33=0,"",V33*AH$159/$BP33/1000)</f>
        <v>20536.2140164107</v>
      </c>
      <c r="AI33" s="100" t="n">
        <f aca="false">IF($P33=0,"",W33*AI$159/$BP33/1000)</f>
        <v>44744.7810581489</v>
      </c>
      <c r="AJ33" s="100" t="n">
        <f aca="false">IF($P33=0,"",X33*AJ$159/$BP33/1000)</f>
        <v>16739.4951256046</v>
      </c>
      <c r="AK33" s="100" t="n">
        <f aca="false">IF($P33=0,"",Y33*AK$159/$BP33/1000)</f>
        <v>14155.5116600371</v>
      </c>
      <c r="AL33" s="100" t="n">
        <f aca="false">IF($P33=0,"",Z33*AL$159/$BP33/1000)</f>
        <v>15127.113426206</v>
      </c>
      <c r="AM33" s="100" t="n">
        <f aca="false">IF($P33=0,"",AA33*AM$159/$BP33/1000)</f>
        <v>0</v>
      </c>
      <c r="AN33" s="100" t="n">
        <f aca="false">SUM(AC33:AM33)</f>
        <v>994427.428902799</v>
      </c>
      <c r="AO33" s="100" t="n">
        <f aca="false">D33-AN33</f>
        <v>29803.7910972006</v>
      </c>
      <c r="AP33" s="426" t="n">
        <f aca="false">IF(D33=0,0,AO33/D33)</f>
        <v>0.0290986942354682</v>
      </c>
      <c r="AQ33" s="427" t="n">
        <f aca="false">IF(AB33=0,0,AN33/AB33)*1000</f>
        <v>1265.08440688292</v>
      </c>
      <c r="AR33" s="428" t="n">
        <f aca="false">IF(C33=0,0,D33/C33)*1000</f>
        <v>1303.00000563573</v>
      </c>
      <c r="AS33" s="429" t="n">
        <f aca="false">IF($P33=0,"",Q33*1000/AS$159*$AD$159/14.696/$BP33/42)</f>
        <v>462.179743947916</v>
      </c>
      <c r="AT33" s="100" t="n">
        <f aca="false">IF($P33=0,"",R33*1000/AT$159*$AD$159/14.696/$BP33/42)</f>
        <v>1976.71673727002</v>
      </c>
      <c r="AU33" s="100" t="n">
        <f aca="false">IF($P33=0,"",S33*1000/AU$159*$AD$159/14.696/$BP33/42)</f>
        <v>248619.314310415</v>
      </c>
      <c r="AV33" s="100" t="n">
        <f aca="false">IF($P33=0,"",T33*1000/AV$159*$AD$159/14.696/$BP33/42)</f>
        <v>56547.5411763937</v>
      </c>
      <c r="AW33" s="100" t="n">
        <f aca="false">IF($P33=0,"",U33*1000/AW$159*$AD$159/14.696/$BP33/42)</f>
        <v>26494.1571692656</v>
      </c>
      <c r="AX33" s="100" t="n">
        <f aca="false">IF($P33=0,"",V33*1000/AX$159*$AD$159/14.696/$BP33/42)</f>
        <v>4907.84134668928</v>
      </c>
      <c r="AY33" s="100" t="n">
        <f aca="false">IF($P33=0,"",W33*1000/AY$159*$AD$159/14.696/$BP33/42)</f>
        <v>10268.9705916881</v>
      </c>
      <c r="AZ33" s="100" t="n">
        <f aca="false">IF($P33=0,"",X33*1000/AZ$159*$AD$159/14.696/$BP33/42)</f>
        <v>3633.79506031326</v>
      </c>
      <c r="BA33" s="100" t="n">
        <f aca="false">IF($P33=0,"",Y33*1000/BA$159*$AD$159/14.696/$BP33/42)</f>
        <v>3039.81234982108</v>
      </c>
      <c r="BB33" s="100" t="n">
        <f aca="false">IF($P33=0,"",Z33*1000/BB$159*$AD$159/14.696/$BP33/42)</f>
        <v>3039.24211190079</v>
      </c>
      <c r="BC33" s="100" t="n">
        <f aca="false">IF($P33=0,"",AA33*1000/BC$159*$AD$159/14.696/$BP33/42)</f>
        <v>0</v>
      </c>
      <c r="BD33" s="430" t="n">
        <f aca="false">SUM(AS33:BC33)</f>
        <v>358989.570597705</v>
      </c>
      <c r="BE33" s="424" t="n">
        <f aca="false">IF($P33=0,"",E33/$P33*BE$159)</f>
        <v>2.8275E-005</v>
      </c>
      <c r="BF33" s="425" t="n">
        <f aca="false">IF($P33=0,"",F33/$P33*BF$159)</f>
        <v>4.25204E-005</v>
      </c>
      <c r="BG33" s="425" t="n">
        <f aca="false">IF($P33=0,"",G33/$P33*BG$159)</f>
        <v>0.00910832</v>
      </c>
      <c r="BH33" s="425" t="n">
        <f aca="false">IF($P33=0,"",H33/$P33*BH$159)</f>
        <v>0.002694398</v>
      </c>
      <c r="BI33" s="425" t="n">
        <f aca="false">IF($P33=0,"",I33/$P33*BI$159)</f>
        <v>0.001786703</v>
      </c>
      <c r="BJ33" s="425" t="n">
        <f aca="false">IF($P33=0,"",J33/$P33*BJ$159)</f>
        <v>0.000354123</v>
      </c>
      <c r="BK33" s="425" t="n">
        <f aca="false">IF($P33=0,"",K33/$P33*BK$159)</f>
        <v>0.00081968</v>
      </c>
      <c r="BL33" s="425" t="n">
        <f aca="false">IF($P33=0,"",L33/$P33*BL$159)</f>
        <v>0.000306432</v>
      </c>
      <c r="BM33" s="425" t="n">
        <f aca="false">IF($P33=0,"",M33/$P33*BM$159)</f>
        <v>0.000272094</v>
      </c>
      <c r="BN33" s="425" t="n">
        <f aca="false">IF($P33=0,"",N33/$P33*BN$159)</f>
        <v>0.0003238875</v>
      </c>
      <c r="BO33" s="425" t="n">
        <f aca="false">IF($P33=0,"",O33/$P33*BO$159)</f>
        <v>0</v>
      </c>
      <c r="BP33" s="423" t="n">
        <f aca="false">1-AD$159*(SUM(BE33:BO33))^2</f>
        <v>0.996372142555903</v>
      </c>
    </row>
    <row r="34" customFormat="false" ht="15" hidden="false" customHeight="false" outlineLevel="0" collapsed="false">
      <c r="A34" s="444" t="s">
        <v>55</v>
      </c>
      <c r="B34" s="445" t="s">
        <v>242</v>
      </c>
      <c r="C34" s="446" t="n">
        <v>0</v>
      </c>
      <c r="D34" s="447" t="n">
        <v>0</v>
      </c>
      <c r="E34" s="448" t="n">
        <v>0.101</v>
      </c>
      <c r="F34" s="448" t="n">
        <v>0.827000000000001</v>
      </c>
      <c r="G34" s="448" t="n">
        <v>78.631</v>
      </c>
      <c r="H34" s="448" t="n">
        <v>11.052</v>
      </c>
      <c r="I34" s="448" t="n">
        <v>4.952</v>
      </c>
      <c r="J34" s="448" t="n">
        <v>0.774000000000001</v>
      </c>
      <c r="K34" s="448" t="n">
        <v>1.717</v>
      </c>
      <c r="L34" s="448" t="n">
        <v>0.462</v>
      </c>
      <c r="M34" s="448" t="n">
        <v>0.514</v>
      </c>
      <c r="N34" s="448" t="n">
        <v>0.969999999999999</v>
      </c>
      <c r="O34" s="76"/>
      <c r="P34" s="418" t="n">
        <f aca="false">SUM(E34:O34)</f>
        <v>100</v>
      </c>
      <c r="Q34" s="14" t="n">
        <f aca="false">IF($P34=0,"",$C34*E34/$P34)</f>
        <v>0</v>
      </c>
      <c r="R34" s="15" t="n">
        <f aca="false">IF($P34=0,"",$C34*F34/$P34)</f>
        <v>0</v>
      </c>
      <c r="S34" s="15" t="n">
        <f aca="false">IF($P34=0,"",$C34*G34/$P34)</f>
        <v>0</v>
      </c>
      <c r="T34" s="15" t="n">
        <f aca="false">IF($P34=0,"",$C34*H34/$P34)</f>
        <v>0</v>
      </c>
      <c r="U34" s="15" t="n">
        <f aca="false">IF($P34=0,"",$C34*I34/$P34)</f>
        <v>0</v>
      </c>
      <c r="V34" s="15" t="n">
        <f aca="false">IF($P34=0,"",$C34*J34/$P34)</f>
        <v>0</v>
      </c>
      <c r="W34" s="15" t="n">
        <f aca="false">IF($P34=0,"",$C34*K34/$P34)</f>
        <v>0</v>
      </c>
      <c r="X34" s="15" t="n">
        <f aca="false">IF($P34=0,"",$C34*L34/$P34)</f>
        <v>0</v>
      </c>
      <c r="Y34" s="15" t="n">
        <f aca="false">IF($P34=0,"",$C34*M34/$P34)</f>
        <v>0</v>
      </c>
      <c r="Z34" s="15" t="n">
        <f aca="false">IF($P34=0,"",$C34*N34/$P34)</f>
        <v>0</v>
      </c>
      <c r="AA34" s="15" t="n">
        <f aca="false">IF($P34=0,"",$C34*O34/$P34)</f>
        <v>0</v>
      </c>
      <c r="AB34" s="16" t="n">
        <f aca="false">SUM(Q34:AA34)</f>
        <v>0</v>
      </c>
      <c r="AC34" s="419"/>
      <c r="AD34" s="420"/>
      <c r="AE34" s="15" t="n">
        <f aca="false">IF($P34=0,"",S34*AE$159/$BP34/1000)</f>
        <v>0</v>
      </c>
      <c r="AF34" s="15" t="n">
        <f aca="false">IF($P34=0,"",T34*AF$159/$BP34/1000)</f>
        <v>0</v>
      </c>
      <c r="AG34" s="15" t="n">
        <f aca="false">IF($P34=0,"",U34*AG$159/$BP34/1000)</f>
        <v>0</v>
      </c>
      <c r="AH34" s="15" t="n">
        <f aca="false">IF($P34=0,"",V34*AH$159/$BP34/1000)</f>
        <v>0</v>
      </c>
      <c r="AI34" s="15" t="n">
        <f aca="false">IF($P34=0,"",W34*AI$159/$BP34/1000)</f>
        <v>0</v>
      </c>
      <c r="AJ34" s="15" t="n">
        <f aca="false">IF($P34=0,"",X34*AJ$159/$BP34/1000)</f>
        <v>0</v>
      </c>
      <c r="AK34" s="15" t="n">
        <f aca="false">IF($P34=0,"",Y34*AK$159/$BP34/1000)</f>
        <v>0</v>
      </c>
      <c r="AL34" s="15" t="n">
        <f aca="false">IF($P34=0,"",Z34*AL$159/$BP34/1000)</f>
        <v>0</v>
      </c>
      <c r="AM34" s="15" t="n">
        <f aca="false">IF($P34=0,"",AA34*AM$159/$BP34/1000)</f>
        <v>0</v>
      </c>
      <c r="AN34" s="15" t="n">
        <f aca="false">SUM(AC34:AM34)</f>
        <v>0</v>
      </c>
      <c r="AO34" s="15" t="n">
        <f aca="false">D34-AN34</f>
        <v>0</v>
      </c>
      <c r="AP34" s="421" t="n">
        <f aca="false">IF(D34=0,0,AO34/D34)</f>
        <v>0</v>
      </c>
      <c r="AQ34" s="75" t="n">
        <f aca="false">IF(AB34=0,0,AN34/AB34)*1000</f>
        <v>0</v>
      </c>
      <c r="AR34" s="340" t="n">
        <f aca="false">IF(C34=0,0,D34/C34)*1000</f>
        <v>0</v>
      </c>
      <c r="AS34" s="422" t="n">
        <f aca="false">IF($P34=0,"",Q34*1000/AS$159*$AD$159/14.696/$BP34/42)</f>
        <v>0</v>
      </c>
      <c r="AT34" s="15" t="n">
        <f aca="false">IF($P34=0,"",R34*1000/AT$159*$AD$159/14.696/$BP34/42)</f>
        <v>0</v>
      </c>
      <c r="AU34" s="15" t="n">
        <f aca="false">IF($P34=0,"",S34*1000/AU$159*$AD$159/14.696/$BP34/42)</f>
        <v>0</v>
      </c>
      <c r="AV34" s="15" t="n">
        <f aca="false">IF($P34=0,"",T34*1000/AV$159*$AD$159/14.696/$BP34/42)</f>
        <v>0</v>
      </c>
      <c r="AW34" s="15" t="n">
        <f aca="false">IF($P34=0,"",U34*1000/AW$159*$AD$159/14.696/$BP34/42)</f>
        <v>0</v>
      </c>
      <c r="AX34" s="15" t="n">
        <f aca="false">IF($P34=0,"",V34*1000/AX$159*$AD$159/14.696/$BP34/42)</f>
        <v>0</v>
      </c>
      <c r="AY34" s="15" t="n">
        <f aca="false">IF($P34=0,"",W34*1000/AY$159*$AD$159/14.696/$BP34/42)</f>
        <v>0</v>
      </c>
      <c r="AZ34" s="15" t="n">
        <f aca="false">IF($P34=0,"",X34*1000/AZ$159*$AD$159/14.696/$BP34/42)</f>
        <v>0</v>
      </c>
      <c r="BA34" s="15" t="n">
        <f aca="false">IF($P34=0,"",Y34*1000/BA$159*$AD$159/14.696/$BP34/42)</f>
        <v>0</v>
      </c>
      <c r="BB34" s="15" t="n">
        <f aca="false">IF($P34=0,"",Z34*1000/BB$159*$AD$159/14.696/$BP34/42)</f>
        <v>0</v>
      </c>
      <c r="BC34" s="15" t="n">
        <f aca="false">IF($P34=0,"",AA34*1000/BC$159*$AD$159/14.696/$BP34/42)</f>
        <v>0</v>
      </c>
      <c r="BD34" s="55" t="n">
        <f aca="false">SUM(AS34:BC34)</f>
        <v>0</v>
      </c>
      <c r="BE34" s="419" t="n">
        <f aca="false">IF($P34=0,"",E34/$P34*BE$159)</f>
        <v>1.9695E-005</v>
      </c>
      <c r="BF34" s="420" t="n">
        <f aca="false">IF($P34=0,"",F34/$P34*BF$159)</f>
        <v>3.65534000000001E-005</v>
      </c>
      <c r="BG34" s="420" t="n">
        <f aca="false">IF($P34=0,"",G34/$P34*BG$159)</f>
        <v>0.009121196</v>
      </c>
      <c r="BH34" s="420" t="n">
        <f aca="false">IF($P34=0,"",H34/$P34*BH$159)</f>
        <v>0.002630376</v>
      </c>
      <c r="BI34" s="420" t="n">
        <f aca="false">IF($P34=0,"",I34/$P34*BI$159)</f>
        <v>0.001718344</v>
      </c>
      <c r="BJ34" s="420" t="n">
        <f aca="false">IF($P34=0,"",J34/$P34*BJ$159)</f>
        <v>0.000341334000000001</v>
      </c>
      <c r="BK34" s="420" t="n">
        <f aca="false">IF($P34=0,"",K34/$P34*BK$159)</f>
        <v>0.00080699</v>
      </c>
      <c r="BL34" s="420" t="n">
        <f aca="false">IF($P34=0,"",L34/$P34*BL$159)</f>
        <v>0.000266112</v>
      </c>
      <c r="BM34" s="420" t="n">
        <f aca="false">IF($P34=0,"",M34/$P34*BM$159)</f>
        <v>0.000311484</v>
      </c>
      <c r="BN34" s="420" t="n">
        <f aca="false">IF($P34=0,"",N34/$P34*BN$159)</f>
        <v>0.000837789</v>
      </c>
      <c r="BO34" s="420" t="n">
        <f aca="false">IF($P34=0,"",O34/$P34*BO$159)</f>
        <v>0</v>
      </c>
      <c r="BP34" s="418" t="n">
        <f aca="false">1-AD$159*(SUM(BE34:BO34))^2</f>
        <v>0.996207349018689</v>
      </c>
    </row>
    <row r="35" customFormat="false" ht="15" hidden="false" customHeight="false" outlineLevel="0" collapsed="false">
      <c r="A35" s="413" t="s">
        <v>56</v>
      </c>
      <c r="B35" s="414" t="s">
        <v>243</v>
      </c>
      <c r="C35" s="415" t="n">
        <v>325254.55</v>
      </c>
      <c r="D35" s="416" t="n">
        <v>417952.1</v>
      </c>
      <c r="E35" s="431" t="n">
        <v>1.552</v>
      </c>
      <c r="F35" s="431" t="n">
        <v>1.198</v>
      </c>
      <c r="G35" s="431" t="n">
        <v>78.072</v>
      </c>
      <c r="H35" s="431" t="n">
        <v>10.824</v>
      </c>
      <c r="I35" s="431" t="n">
        <v>4.78</v>
      </c>
      <c r="J35" s="431" t="n">
        <v>0.671</v>
      </c>
      <c r="K35" s="431" t="n">
        <v>1.498</v>
      </c>
      <c r="L35" s="431" t="n">
        <v>0.369</v>
      </c>
      <c r="M35" s="431" t="n">
        <v>0.406</v>
      </c>
      <c r="N35" s="431" t="n">
        <v>0.63</v>
      </c>
      <c r="O35" s="76"/>
      <c r="P35" s="423" t="n">
        <f aca="false">SUM(E35:O35)</f>
        <v>100</v>
      </c>
      <c r="Q35" s="99" t="n">
        <f aca="false">IF($P35=0,"",$C35*E35/$P35)</f>
        <v>5047.950616</v>
      </c>
      <c r="R35" s="100" t="n">
        <f aca="false">IF($P35=0,"",$C35*F35/$P35)</f>
        <v>3896.549509</v>
      </c>
      <c r="S35" s="100" t="n">
        <f aca="false">IF($P35=0,"",$C35*G35/$P35)</f>
        <v>253932.732276</v>
      </c>
      <c r="T35" s="100" t="n">
        <f aca="false">IF($P35=0,"",$C35*H35/$P35)</f>
        <v>35205.552492</v>
      </c>
      <c r="U35" s="100" t="n">
        <f aca="false">IF($P35=0,"",$C35*I35/$P35)</f>
        <v>15547.16749</v>
      </c>
      <c r="V35" s="100" t="n">
        <f aca="false">IF($P35=0,"",$C35*J35/$P35)</f>
        <v>2182.4580305</v>
      </c>
      <c r="W35" s="100" t="n">
        <f aca="false">IF($P35=0,"",$C35*K35/$P35)</f>
        <v>4872.313159</v>
      </c>
      <c r="X35" s="100" t="n">
        <f aca="false">IF($P35=0,"",$C35*L35/$P35)</f>
        <v>1200.1892895</v>
      </c>
      <c r="Y35" s="100" t="n">
        <f aca="false">IF($P35=0,"",$C35*M35/$P35)</f>
        <v>1320.533473</v>
      </c>
      <c r="Z35" s="100" t="n">
        <f aca="false">IF($P35=0,"",$C35*N35/$P35)</f>
        <v>2049.103665</v>
      </c>
      <c r="AA35" s="100" t="n">
        <f aca="false">IF($P35=0,"",$C35*O35/$P35)</f>
        <v>0</v>
      </c>
      <c r="AB35" s="101" t="n">
        <f aca="false">SUM(Q35:AA35)</f>
        <v>325254.55</v>
      </c>
      <c r="AC35" s="424"/>
      <c r="AD35" s="425"/>
      <c r="AE35" s="100" t="n">
        <f aca="false">IF($P35=0,"",S35*AE$159/$BP35/1000)</f>
        <v>256580.04258566</v>
      </c>
      <c r="AF35" s="100" t="n">
        <f aca="false">IF($P35=0,"",T35*AF$159/$BP35/1000)</f>
        <v>62333.2774329332</v>
      </c>
      <c r="AG35" s="100" t="n">
        <f aca="false">IF($P35=0,"",U35*AG$159/$BP35/1000)</f>
        <v>39135.8184909251</v>
      </c>
      <c r="AH35" s="100" t="n">
        <f aca="false">IF($P35=0,"",V35*AH$159/$BP35/1000)</f>
        <v>7100.3491026557</v>
      </c>
      <c r="AI35" s="100" t="n">
        <f aca="false">IF($P35=0,"",W35*AI$159/$BP35/1000)</f>
        <v>15902.3045232456</v>
      </c>
      <c r="AJ35" s="100" t="n">
        <f aca="false">IF($P35=0,"",X35*AJ$159/$BP35/1000)</f>
        <v>4804.07119335916</v>
      </c>
      <c r="AK35" s="100" t="n">
        <f aca="false">IF($P35=0,"",Y35*AK$159/$BP35/1000)</f>
        <v>5296.11747847767</v>
      </c>
      <c r="AL35" s="100" t="n">
        <f aca="false">IF($P35=0,"",Z35*AL$159/$BP35/1000)</f>
        <v>10515.2037115677</v>
      </c>
      <c r="AM35" s="100" t="n">
        <f aca="false">IF($P35=0,"",AA35*AM$159/$BP35/1000)</f>
        <v>0</v>
      </c>
      <c r="AN35" s="100" t="n">
        <f aca="false">SUM(AC35:AM35)</f>
        <v>401667.184518824</v>
      </c>
      <c r="AO35" s="100" t="n">
        <f aca="false">D35-AN35</f>
        <v>16284.9154811762</v>
      </c>
      <c r="AP35" s="426" t="n">
        <f aca="false">IF(D35=0,0,AO35/D35)</f>
        <v>0.0389635929121453</v>
      </c>
      <c r="AQ35" s="427" t="n">
        <f aca="false">IF(AB35=0,0,AN35/AB35)*1000</f>
        <v>1234.93179271074</v>
      </c>
      <c r="AR35" s="428" t="n">
        <f aca="false">IF(C35=0,0,D35/C35)*1000</f>
        <v>1285.00000999217</v>
      </c>
      <c r="AS35" s="429" t="n">
        <f aca="false">IF($P35=0,"",Q35*1000/AS$159*$AD$159/14.696/$BP35/42)</f>
        <v>2046.85448068404</v>
      </c>
      <c r="AT35" s="100" t="n">
        <f aca="false">IF($P35=0,"",R35*1000/AT$159*$AD$159/14.696/$BP35/42)</f>
        <v>1018.54103653506</v>
      </c>
      <c r="AU35" s="100" t="n">
        <f aca="false">IF($P35=0,"",S35*1000/AU$159*$AD$159/14.696/$BP35/42)</f>
        <v>102282.709489213</v>
      </c>
      <c r="AV35" s="100" t="n">
        <f aca="false">IF($P35=0,"",T35*1000/AV$159*$AD$159/14.696/$BP35/42)</f>
        <v>22370.1586603967</v>
      </c>
      <c r="AW35" s="100" t="n">
        <f aca="false">IF($P35=0,"",U35*1000/AW$159*$AD$159/14.696/$BP35/42)</f>
        <v>10176.7114036711</v>
      </c>
      <c r="AX35" s="100" t="n">
        <f aca="false">IF($P35=0,"",V35*1000/AX$159*$AD$159/14.696/$BP35/42)</f>
        <v>1696.8749387835</v>
      </c>
      <c r="AY35" s="100" t="n">
        <f aca="false">IF($P35=0,"",W35*1000/AY$159*$AD$159/14.696/$BP35/42)</f>
        <v>3649.59429071868</v>
      </c>
      <c r="AZ35" s="100" t="n">
        <f aca="false">IF($P35=0,"",X35*1000/AZ$159*$AD$159/14.696/$BP35/42)</f>
        <v>1042.86360137108</v>
      </c>
      <c r="BA35" s="100" t="n">
        <f aca="false">IF($P35=0,"",Y35*1000/BA$159*$AD$159/14.696/$BP35/42)</f>
        <v>1137.30988351554</v>
      </c>
      <c r="BB35" s="100" t="n">
        <f aca="false">IF($P35=0,"",Z35*1000/BB$159*$AD$159/14.696/$BP35/42)</f>
        <v>2112.64694294208</v>
      </c>
      <c r="BC35" s="100" t="n">
        <f aca="false">IF($P35=0,"",AA35*1000/BC$159*$AD$159/14.696/$BP35/42)</f>
        <v>0</v>
      </c>
      <c r="BD35" s="430" t="n">
        <f aca="false">SUM(AS35:BC35)</f>
        <v>147534.264727831</v>
      </c>
      <c r="BE35" s="424" t="n">
        <f aca="false">IF($P35=0,"",E35/$P35*BE$159)</f>
        <v>0.00030264</v>
      </c>
      <c r="BF35" s="425" t="n">
        <f aca="false">IF($P35=0,"",F35/$P35*BF$159)</f>
        <v>5.29516E-005</v>
      </c>
      <c r="BG35" s="425" t="n">
        <f aca="false">IF($P35=0,"",G35/$P35*BG$159)</f>
        <v>0.009056352</v>
      </c>
      <c r="BH35" s="425" t="n">
        <f aca="false">IF($P35=0,"",H35/$P35*BH$159)</f>
        <v>0.002576112</v>
      </c>
      <c r="BI35" s="425" t="n">
        <f aca="false">IF($P35=0,"",I35/$P35*BI$159)</f>
        <v>0.00165866</v>
      </c>
      <c r="BJ35" s="425" t="n">
        <f aca="false">IF($P35=0,"",J35/$P35*BJ$159)</f>
        <v>0.000295911</v>
      </c>
      <c r="BK35" s="425" t="n">
        <f aca="false">IF($P35=0,"",K35/$P35*BK$159)</f>
        <v>0.00070406</v>
      </c>
      <c r="BL35" s="425" t="n">
        <f aca="false">IF($P35=0,"",L35/$P35*BL$159)</f>
        <v>0.000212544</v>
      </c>
      <c r="BM35" s="425" t="n">
        <f aca="false">IF($P35=0,"",M35/$P35*BM$159)</f>
        <v>0.000246036</v>
      </c>
      <c r="BN35" s="425" t="n">
        <f aca="false">IF($P35=0,"",N35/$P35*BN$159)</f>
        <v>0.000544131</v>
      </c>
      <c r="BO35" s="425" t="n">
        <f aca="false">IF($P35=0,"",O35/$P35*BO$159)</f>
        <v>0</v>
      </c>
      <c r="BP35" s="423" t="n">
        <f aca="false">1-AD$159*(SUM(BE35:BO35))^2</f>
        <v>0.996412161597192</v>
      </c>
    </row>
    <row r="36" customFormat="false" ht="15" hidden="false" customHeight="false" outlineLevel="0" collapsed="false">
      <c r="A36" s="413" t="s">
        <v>57</v>
      </c>
      <c r="B36" s="414" t="s">
        <v>244</v>
      </c>
      <c r="C36" s="415" t="n">
        <v>166498.74</v>
      </c>
      <c r="D36" s="416" t="n">
        <v>223957.45</v>
      </c>
      <c r="E36" s="431" t="n">
        <v>0.41</v>
      </c>
      <c r="F36" s="431" t="n">
        <v>0.872</v>
      </c>
      <c r="G36" s="431" t="n">
        <v>69.481</v>
      </c>
      <c r="H36" s="431" t="n">
        <v>14.651</v>
      </c>
      <c r="I36" s="431" t="n">
        <v>8.564</v>
      </c>
      <c r="J36" s="431" t="n">
        <v>1.292</v>
      </c>
      <c r="K36" s="431" t="n">
        <v>2.95</v>
      </c>
      <c r="L36" s="431" t="n">
        <v>0.595</v>
      </c>
      <c r="M36" s="431" t="n">
        <v>0.511</v>
      </c>
      <c r="N36" s="431" t="n">
        <v>0.674</v>
      </c>
      <c r="O36" s="76"/>
      <c r="P36" s="418" t="n">
        <f aca="false">SUM(E36:O36)</f>
        <v>100</v>
      </c>
      <c r="Q36" s="14" t="n">
        <f aca="false">IF($P36=0,"",$C36*E36/$P36)</f>
        <v>682.644834</v>
      </c>
      <c r="R36" s="15" t="n">
        <f aca="false">IF($P36=0,"",$C36*F36/$P36)</f>
        <v>1451.8690128</v>
      </c>
      <c r="S36" s="15" t="n">
        <f aca="false">IF($P36=0,"",$C36*G36/$P36)</f>
        <v>115684.9895394</v>
      </c>
      <c r="T36" s="15" t="n">
        <f aca="false">IF($P36=0,"",$C36*H36/$P36)</f>
        <v>24393.7303974</v>
      </c>
      <c r="U36" s="15" t="n">
        <f aca="false">IF($P36=0,"",$C36*I36/$P36)</f>
        <v>14258.9520936</v>
      </c>
      <c r="V36" s="15" t="n">
        <f aca="false">IF($P36=0,"",$C36*J36/$P36)</f>
        <v>2151.1637208</v>
      </c>
      <c r="W36" s="15" t="n">
        <f aca="false">IF($P36=0,"",$C36*K36/$P36)</f>
        <v>4911.71283</v>
      </c>
      <c r="X36" s="15" t="n">
        <f aca="false">IF($P36=0,"",$C36*L36/$P36)</f>
        <v>990.667503</v>
      </c>
      <c r="Y36" s="15" t="n">
        <f aca="false">IF($P36=0,"",$C36*M36/$P36)</f>
        <v>850.8085614</v>
      </c>
      <c r="Z36" s="15" t="n">
        <f aca="false">IF($P36=0,"",$C36*N36/$P36)</f>
        <v>1122.2015076</v>
      </c>
      <c r="AA36" s="15" t="n">
        <f aca="false">IF($P36=0,"",$C36*O36/$P36)</f>
        <v>0</v>
      </c>
      <c r="AB36" s="16" t="n">
        <f aca="false">SUM(Q36:AA36)</f>
        <v>166498.74</v>
      </c>
      <c r="AC36" s="419"/>
      <c r="AD36" s="420"/>
      <c r="AE36" s="15" t="n">
        <f aca="false">IF($P36=0,"",S36*AE$159/$BP36/1000)</f>
        <v>117016.497058881</v>
      </c>
      <c r="AF36" s="15" t="n">
        <f aca="false">IF($P36=0,"",T36*AF$159/$BP36/1000)</f>
        <v>43236.7370931698</v>
      </c>
      <c r="AG36" s="15" t="n">
        <f aca="false">IF($P36=0,"",U36*AG$159/$BP36/1000)</f>
        <v>35931.6075869863</v>
      </c>
      <c r="AH36" s="15" t="n">
        <f aca="false">IF($P36=0,"",V36*AH$159/$BP36/1000)</f>
        <v>7006.04884128752</v>
      </c>
      <c r="AI36" s="15" t="n">
        <f aca="false">IF($P36=0,"",W36*AI$159/$BP36/1000)</f>
        <v>16048.1041171055</v>
      </c>
      <c r="AJ36" s="15" t="n">
        <f aca="false">IF($P36=0,"",X36*AJ$159/$BP36/1000)</f>
        <v>3969.66171887837</v>
      </c>
      <c r="AK36" s="15" t="n">
        <f aca="false">IF($P36=0,"",Y36*AK$159/$BP36/1000)</f>
        <v>3415.90623912779</v>
      </c>
      <c r="AL36" s="15" t="n">
        <f aca="false">IF($P36=0,"",Z36*AL$159/$BP36/1000)</f>
        <v>5764.88306797825</v>
      </c>
      <c r="AM36" s="15" t="n">
        <f aca="false">IF($P36=0,"",AA36*AM$159/$BP36/1000)</f>
        <v>0</v>
      </c>
      <c r="AN36" s="15" t="n">
        <f aca="false">SUM(AC36:AM36)</f>
        <v>232389.445723414</v>
      </c>
      <c r="AO36" s="15" t="n">
        <f aca="false">D36-AN36</f>
        <v>-8431.99572341435</v>
      </c>
      <c r="AP36" s="421" t="n">
        <f aca="false">IF(D36=0,0,AO36/D36)</f>
        <v>-0.0376499898682288</v>
      </c>
      <c r="AQ36" s="75" t="n">
        <f aca="false">IF(AB36=0,0,AN36/AB36)*1000</f>
        <v>1395.74296912646</v>
      </c>
      <c r="AR36" s="340" t="n">
        <f aca="false">IF(C36=0,0,D36/C36)*1000</f>
        <v>1345.09996892469</v>
      </c>
      <c r="AS36" s="422" t="n">
        <f aca="false">IF($P36=0,"",Q36*1000/AS$159*$AD$159/14.696/$BP36/42)</f>
        <v>277.097477753203</v>
      </c>
      <c r="AT36" s="15" t="n">
        <f aca="false">IF($P36=0,"",R36*1000/AT$159*$AD$159/14.696/$BP36/42)</f>
        <v>379.919568221762</v>
      </c>
      <c r="AU36" s="15" t="n">
        <f aca="false">IF($P36=0,"",S36*1000/AU$159*$AD$159/14.696/$BP36/42)</f>
        <v>46647.2928038552</v>
      </c>
      <c r="AV36" s="15" t="n">
        <f aca="false">IF($P36=0,"",T36*1000/AV$159*$AD$159/14.696/$BP36/42)</f>
        <v>15516.7946972262</v>
      </c>
      <c r="AW36" s="15" t="n">
        <f aca="false">IF($P36=0,"",U36*1000/AW$159*$AD$159/14.696/$BP36/42)</f>
        <v>9343.50205982049</v>
      </c>
      <c r="AX36" s="15" t="n">
        <f aca="false">IF($P36=0,"",V36*1000/AX$159*$AD$159/14.696/$BP36/42)</f>
        <v>1674.33861726988</v>
      </c>
      <c r="AY36" s="15" t="n">
        <f aca="false">IF($P36=0,"",W36*1000/AY$159*$AD$159/14.696/$BP36/42)</f>
        <v>3683.05543872793</v>
      </c>
      <c r="AZ36" s="15" t="n">
        <f aca="false">IF($P36=0,"",X36*1000/AZ$159*$AD$159/14.696/$BP36/42)</f>
        <v>861.730717499993</v>
      </c>
      <c r="BA36" s="15" t="n">
        <f aca="false">IF($P36=0,"",Y36*1000/BA$159*$AD$159/14.696/$BP36/42)</f>
        <v>733.545647865641</v>
      </c>
      <c r="BB36" s="15" t="n">
        <f aca="false">IF($P36=0,"",Z36*1000/BB$159*$AD$159/14.696/$BP36/42)</f>
        <v>1158.24314241146</v>
      </c>
      <c r="BC36" s="15" t="n">
        <f aca="false">IF($P36=0,"",AA36*1000/BC$159*$AD$159/14.696/$BP36/42)</f>
        <v>0</v>
      </c>
      <c r="BD36" s="55" t="n">
        <f aca="false">SUM(AS36:BC36)</f>
        <v>80275.5201706518</v>
      </c>
      <c r="BE36" s="419" t="n">
        <f aca="false">IF($P36=0,"",E36/$P36*BE$159)</f>
        <v>7.995E-005</v>
      </c>
      <c r="BF36" s="420" t="n">
        <f aca="false">IF($P36=0,"",F36/$P36*BF$159)</f>
        <v>3.85424E-005</v>
      </c>
      <c r="BG36" s="420" t="n">
        <f aca="false">IF($P36=0,"",G36/$P36*BG$159)</f>
        <v>0.008059796</v>
      </c>
      <c r="BH36" s="420" t="n">
        <f aca="false">IF($P36=0,"",H36/$P36*BH$159)</f>
        <v>0.003486938</v>
      </c>
      <c r="BI36" s="420" t="n">
        <f aca="false">IF($P36=0,"",I36/$P36*BI$159)</f>
        <v>0.002971708</v>
      </c>
      <c r="BJ36" s="420" t="n">
        <f aca="false">IF($P36=0,"",J36/$P36*BJ$159)</f>
        <v>0.000569772</v>
      </c>
      <c r="BK36" s="420" t="n">
        <f aca="false">IF($P36=0,"",K36/$P36*BK$159)</f>
        <v>0.0013865</v>
      </c>
      <c r="BL36" s="420" t="n">
        <f aca="false">IF($P36=0,"",L36/$P36*BL$159)</f>
        <v>0.00034272</v>
      </c>
      <c r="BM36" s="420" t="n">
        <f aca="false">IF($P36=0,"",M36/$P36*BM$159)</f>
        <v>0.000309666</v>
      </c>
      <c r="BN36" s="420" t="n">
        <f aca="false">IF($P36=0,"",N36/$P36*BN$159)</f>
        <v>0.0005821338</v>
      </c>
      <c r="BO36" s="420" t="n">
        <f aca="false">IF($P36=0,"",O36/$P36*BO$159)</f>
        <v>0</v>
      </c>
      <c r="BP36" s="418" t="n">
        <f aca="false">1-AD$159*(SUM(BE36:BO36))^2</f>
        <v>0.995343822415579</v>
      </c>
    </row>
    <row r="37" customFormat="false" ht="15" hidden="false" customHeight="false" outlineLevel="0" collapsed="false">
      <c r="A37" s="413" t="s">
        <v>58</v>
      </c>
      <c r="B37" s="414" t="s">
        <v>245</v>
      </c>
      <c r="C37" s="415" t="n">
        <v>397018.39</v>
      </c>
      <c r="D37" s="416" t="n">
        <v>508977.57</v>
      </c>
      <c r="E37" s="417" t="n">
        <v>0.149</v>
      </c>
      <c r="F37" s="417" t="n">
        <v>0.795</v>
      </c>
      <c r="G37" s="417" t="n">
        <v>78.823</v>
      </c>
      <c r="H37" s="417" t="n">
        <v>11.069</v>
      </c>
      <c r="I37" s="417" t="n">
        <v>4.789</v>
      </c>
      <c r="J37" s="417" t="n">
        <v>0.759</v>
      </c>
      <c r="K37" s="417" t="n">
        <v>1.644</v>
      </c>
      <c r="L37" s="417" t="n">
        <v>0.446</v>
      </c>
      <c r="M37" s="417" t="n">
        <v>0.499</v>
      </c>
      <c r="N37" s="417" t="n">
        <v>1.027</v>
      </c>
      <c r="O37" s="76"/>
      <c r="P37" s="423" t="n">
        <f aca="false">SUM(E37:O37)</f>
        <v>100</v>
      </c>
      <c r="Q37" s="99" t="n">
        <f aca="false">IF($P37=0,"",$C37*E37/$P37)</f>
        <v>591.5574011</v>
      </c>
      <c r="R37" s="100" t="n">
        <f aca="false">IF($P37=0,"",$C37*F37/$P37)</f>
        <v>3156.2962005</v>
      </c>
      <c r="S37" s="100" t="n">
        <f aca="false">IF($P37=0,"",$C37*G37/$P37)</f>
        <v>312941.8055497</v>
      </c>
      <c r="T37" s="100" t="n">
        <f aca="false">IF($P37=0,"",$C37*H37/$P37)</f>
        <v>43945.9655891</v>
      </c>
      <c r="U37" s="100" t="n">
        <f aca="false">IF($P37=0,"",$C37*I37/$P37)</f>
        <v>19013.2106971</v>
      </c>
      <c r="V37" s="100" t="n">
        <f aca="false">IF($P37=0,"",$C37*J37/$P37)</f>
        <v>3013.3695801</v>
      </c>
      <c r="W37" s="100" t="n">
        <f aca="false">IF($P37=0,"",$C37*K37/$P37)</f>
        <v>6526.9823316</v>
      </c>
      <c r="X37" s="100" t="n">
        <f aca="false">IF($P37=0,"",$C37*L37/$P37)</f>
        <v>1770.7020194</v>
      </c>
      <c r="Y37" s="100" t="n">
        <f aca="false">IF($P37=0,"",$C37*M37/$P37)</f>
        <v>1981.1217661</v>
      </c>
      <c r="Z37" s="100" t="n">
        <f aca="false">IF($P37=0,"",$C37*N37/$P37)</f>
        <v>4077.3788653</v>
      </c>
      <c r="AA37" s="100" t="n">
        <f aca="false">IF($P37=0,"",$C37*O37/$P37)</f>
        <v>0</v>
      </c>
      <c r="AB37" s="101" t="n">
        <f aca="false">SUM(Q37:AA37)</f>
        <v>397018.39</v>
      </c>
      <c r="AC37" s="424"/>
      <c r="AD37" s="425"/>
      <c r="AE37" s="100" t="n">
        <f aca="false">IF($P37=0,"",S37*AE$159/$BP37/1000)</f>
        <v>316264.479970973</v>
      </c>
      <c r="AF37" s="100" t="n">
        <f aca="false">IF($P37=0,"",T37*AF$159/$BP37/1000)</f>
        <v>77823.4459011716</v>
      </c>
      <c r="AG37" s="100" t="n">
        <f aca="false">IF($P37=0,"",U37*AG$159/$BP37/1000)</f>
        <v>47869.7602245388</v>
      </c>
      <c r="AH37" s="100" t="n">
        <f aca="false">IF($P37=0,"",V37*AH$159/$BP37/1000)</f>
        <v>9805.47978078922</v>
      </c>
      <c r="AI37" s="100" t="n">
        <f aca="false">IF($P37=0,"",W37*AI$159/$BP37/1000)</f>
        <v>21306.8847223421</v>
      </c>
      <c r="AJ37" s="100" t="n">
        <f aca="false">IF($P37=0,"",X37*AJ$159/$BP37/1000)</f>
        <v>7089.04638258049</v>
      </c>
      <c r="AK37" s="100" t="n">
        <f aca="false">IF($P37=0,"",Y37*AK$159/$BP37/1000)</f>
        <v>7946.97803556323</v>
      </c>
      <c r="AL37" s="100" t="n">
        <f aca="false">IF($P37=0,"",Z37*AL$159/$BP37/1000)</f>
        <v>20927.5060154395</v>
      </c>
      <c r="AM37" s="100" t="n">
        <f aca="false">IF($P37=0,"",AA37*AM$159/$BP37/1000)</f>
        <v>0</v>
      </c>
      <c r="AN37" s="100" t="n">
        <f aca="false">SUM(AC37:AM37)</f>
        <v>509033.581033398</v>
      </c>
      <c r="AO37" s="100" t="n">
        <f aca="false">D37-AN37</f>
        <v>-56.011033398041</v>
      </c>
      <c r="AP37" s="426" t="n">
        <f aca="false">IF(D37=0,0,AO37/D37)</f>
        <v>-0.000110046172364808</v>
      </c>
      <c r="AQ37" s="427" t="n">
        <f aca="false">IF(AB37=0,0,AN37/AB37)*1000</f>
        <v>1282.14106412904</v>
      </c>
      <c r="AR37" s="428" t="n">
        <f aca="false">IF(C37=0,0,D37/C37)*1000</f>
        <v>1281.99998493773</v>
      </c>
      <c r="AS37" s="429" t="n">
        <f aca="false">IF($P37=0,"",Q37*1000/AS$159*$AD$159/14.696/$BP37/42)</f>
        <v>239.911690008362</v>
      </c>
      <c r="AT37" s="100" t="n">
        <f aca="false">IF($P37=0,"",R37*1000/AT$159*$AD$159/14.696/$BP37/42)</f>
        <v>825.199074822907</v>
      </c>
      <c r="AU37" s="100" t="n">
        <f aca="false">IF($P37=0,"",S37*1000/AU$159*$AD$159/14.696/$BP37/42)</f>
        <v>126075.230172388</v>
      </c>
      <c r="AV37" s="100" t="n">
        <f aca="false">IF($P37=0,"",T37*1000/AV$159*$AD$159/14.696/$BP37/42)</f>
        <v>27929.2683459671</v>
      </c>
      <c r="AW37" s="100" t="n">
        <f aca="false">IF($P37=0,"",U37*1000/AW$159*$AD$159/14.696/$BP37/42)</f>
        <v>12447.8483791269</v>
      </c>
      <c r="AX37" s="100" t="n">
        <f aca="false">IF($P37=0,"",V37*1000/AX$159*$AD$159/14.696/$BP37/42)</f>
        <v>2343.35983515885</v>
      </c>
      <c r="AY37" s="100" t="n">
        <f aca="false">IF($P37=0,"",W37*1000/AY$159*$AD$159/14.696/$BP37/42)</f>
        <v>4889.95068117273</v>
      </c>
      <c r="AZ37" s="100" t="n">
        <f aca="false">IF($P37=0,"",X37*1000/AZ$159*$AD$159/14.696/$BP37/42)</f>
        <v>1538.88403049564</v>
      </c>
      <c r="BA37" s="100" t="n">
        <f aca="false">IF($P37=0,"",Y37*1000/BA$159*$AD$159/14.696/$BP37/42)</f>
        <v>1706.56649907339</v>
      </c>
      <c r="BB37" s="100" t="n">
        <f aca="false">IF($P37=0,"",Z37*1000/BB$159*$AD$159/14.696/$BP37/42)</f>
        <v>4204.61959840896</v>
      </c>
      <c r="BC37" s="100" t="n">
        <f aca="false">IF($P37=0,"",AA37*1000/BC$159*$AD$159/14.696/$BP37/42)</f>
        <v>0</v>
      </c>
      <c r="BD37" s="430" t="n">
        <f aca="false">SUM(AS37:BC37)</f>
        <v>182200.838306623</v>
      </c>
      <c r="BE37" s="424" t="n">
        <f aca="false">IF($P37=0,"",E37/$P37*BE$159)</f>
        <v>2.9055E-005</v>
      </c>
      <c r="BF37" s="425" t="n">
        <f aca="false">IF($P37=0,"",F37/$P37*BF$159)</f>
        <v>3.5139E-005</v>
      </c>
      <c r="BG37" s="425" t="n">
        <f aca="false">IF($P37=0,"",G37/$P37*BG$159)</f>
        <v>0.009143468</v>
      </c>
      <c r="BH37" s="425" t="n">
        <f aca="false">IF($P37=0,"",H37/$P37*BH$159)</f>
        <v>0.002634422</v>
      </c>
      <c r="BI37" s="425" t="n">
        <f aca="false">IF($P37=0,"",I37/$P37*BI$159)</f>
        <v>0.001661783</v>
      </c>
      <c r="BJ37" s="425" t="n">
        <f aca="false">IF($P37=0,"",J37/$P37*BJ$159)</f>
        <v>0.000334719</v>
      </c>
      <c r="BK37" s="425" t="n">
        <f aca="false">IF($P37=0,"",K37/$P37*BK$159)</f>
        <v>0.00077268</v>
      </c>
      <c r="BL37" s="425" t="n">
        <f aca="false">IF($P37=0,"",L37/$P37*BL$159)</f>
        <v>0.000256896</v>
      </c>
      <c r="BM37" s="425" t="n">
        <f aca="false">IF($P37=0,"",M37/$P37*BM$159)</f>
        <v>0.000302394</v>
      </c>
      <c r="BN37" s="425" t="n">
        <f aca="false">IF($P37=0,"",N37/$P37*BN$159)</f>
        <v>0.0008870199</v>
      </c>
      <c r="BO37" s="425" t="n">
        <f aca="false">IF($P37=0,"",O37/$P37*BO$159)</f>
        <v>0</v>
      </c>
      <c r="BP37" s="423" t="n">
        <f aca="false">1-AD$159*(SUM(BE37:BO37))^2</f>
        <v>0.996222559853561</v>
      </c>
    </row>
    <row r="38" customFormat="false" ht="15" hidden="false" customHeight="false" outlineLevel="0" collapsed="false">
      <c r="A38" s="413" t="s">
        <v>59</v>
      </c>
      <c r="B38" s="414" t="s">
        <v>246</v>
      </c>
      <c r="C38" s="415" t="n">
        <v>287535.81</v>
      </c>
      <c r="D38" s="416" t="n">
        <v>366895.69</v>
      </c>
      <c r="E38" s="431" t="n">
        <v>0.087</v>
      </c>
      <c r="F38" s="431" t="n">
        <v>0.986</v>
      </c>
      <c r="G38" s="431" t="n">
        <v>79.568</v>
      </c>
      <c r="H38" s="431" t="n">
        <v>11.194</v>
      </c>
      <c r="I38" s="431" t="n">
        <v>4.827</v>
      </c>
      <c r="J38" s="431" t="n">
        <v>0.733</v>
      </c>
      <c r="K38" s="431" t="n">
        <v>1.5</v>
      </c>
      <c r="L38" s="431" t="n">
        <v>0.364</v>
      </c>
      <c r="M38" s="431" t="n">
        <v>0.367</v>
      </c>
      <c r="N38" s="431" t="n">
        <v>0.374</v>
      </c>
      <c r="O38" s="76"/>
      <c r="P38" s="418" t="n">
        <f aca="false">SUM(E38:O38)</f>
        <v>100</v>
      </c>
      <c r="Q38" s="14" t="n">
        <f aca="false">IF($P38=0,"",$C38*E38/$P38)</f>
        <v>250.1561547</v>
      </c>
      <c r="R38" s="15" t="n">
        <f aca="false">IF($P38=0,"",$C38*F38/$P38)</f>
        <v>2835.1030866</v>
      </c>
      <c r="S38" s="15" t="n">
        <f aca="false">IF($P38=0,"",$C38*G38/$P38)</f>
        <v>228786.4933008</v>
      </c>
      <c r="T38" s="15" t="n">
        <f aca="false">IF($P38=0,"",$C38*H38/$P38)</f>
        <v>32186.7585714</v>
      </c>
      <c r="U38" s="15" t="n">
        <f aca="false">IF($P38=0,"",$C38*I38/$P38)</f>
        <v>13879.3535487</v>
      </c>
      <c r="V38" s="15" t="n">
        <f aca="false">IF($P38=0,"",$C38*J38/$P38)</f>
        <v>2107.6374873</v>
      </c>
      <c r="W38" s="15" t="n">
        <f aca="false">IF($P38=0,"",$C38*K38/$P38)</f>
        <v>4313.03715</v>
      </c>
      <c r="X38" s="15" t="n">
        <f aca="false">IF($P38=0,"",$C38*L38/$P38)</f>
        <v>1046.6303484</v>
      </c>
      <c r="Y38" s="15" t="n">
        <f aca="false">IF($P38=0,"",$C38*M38/$P38)</f>
        <v>1055.2564227</v>
      </c>
      <c r="Z38" s="15" t="n">
        <f aca="false">IF($P38=0,"",$C38*N38/$P38)</f>
        <v>1075.3839294</v>
      </c>
      <c r="AA38" s="15" t="n">
        <f aca="false">IF($P38=0,"",$C38*O38/$P38)</f>
        <v>0</v>
      </c>
      <c r="AB38" s="16" t="n">
        <f aca="false">SUM(Q38:AA38)</f>
        <v>287535.81</v>
      </c>
      <c r="AC38" s="419"/>
      <c r="AD38" s="420"/>
      <c r="AE38" s="15" t="n">
        <f aca="false">IF($P38=0,"",S38*AE$159/$BP38/1000)</f>
        <v>231146.683993973</v>
      </c>
      <c r="AF38" s="15" t="n">
        <f aca="false">IF($P38=0,"",T38*AF$159/$BP38/1000)</f>
        <v>56982.1903323744</v>
      </c>
      <c r="AG38" s="15" t="n">
        <f aca="false">IF($P38=0,"",U38*AG$159/$BP38/1000)</f>
        <v>34933.7719680402</v>
      </c>
      <c r="AH38" s="15" t="n">
        <f aca="false">IF($P38=0,"",V38*AH$159/$BP38/1000)</f>
        <v>6856.18952686545</v>
      </c>
      <c r="AI38" s="15" t="n">
        <f aca="false">IF($P38=0,"",W38*AI$159/$BP38/1000)</f>
        <v>14075.4137265399</v>
      </c>
      <c r="AJ38" s="15" t="n">
        <f aca="false">IF($P38=0,"",X38*AJ$159/$BP38/1000)</f>
        <v>4188.95900267993</v>
      </c>
      <c r="AK38" s="15" t="n">
        <f aca="false">IF($P38=0,"",Y38*AK$159/$BP38/1000)</f>
        <v>4231.74313593831</v>
      </c>
      <c r="AL38" s="15" t="n">
        <f aca="false">IF($P38=0,"",Z38*AL$159/$BP38/1000)</f>
        <v>5517.8564915977</v>
      </c>
      <c r="AM38" s="15" t="n">
        <f aca="false">IF($P38=0,"",AA38*AM$159/$BP38/1000)</f>
        <v>0</v>
      </c>
      <c r="AN38" s="15" t="n">
        <f aca="false">SUM(AC38:AM38)</f>
        <v>357932.808178009</v>
      </c>
      <c r="AO38" s="15" t="n">
        <f aca="false">D38-AN38</f>
        <v>8962.88182199124</v>
      </c>
      <c r="AP38" s="421" t="n">
        <f aca="false">IF(D38=0,0,AO38/D38)</f>
        <v>0.0244289645975161</v>
      </c>
      <c r="AQ38" s="75" t="n">
        <f aca="false">IF(AB38=0,0,AN38/AB38)*1000</f>
        <v>1244.82862909496</v>
      </c>
      <c r="AR38" s="340" t="n">
        <f aca="false">IF(C38=0,0,D38/C38)*1000</f>
        <v>1275.99998761893</v>
      </c>
      <c r="AS38" s="422" t="n">
        <f aca="false">IF($P38=0,"",Q38*1000/AS$159*$AD$159/14.696/$BP38/42)</f>
        <v>101.422932026387</v>
      </c>
      <c r="AT38" s="15" t="n">
        <f aca="false">IF($P38=0,"",R38*1000/AT$159*$AD$159/14.696/$BP38/42)</f>
        <v>741.003545210958</v>
      </c>
      <c r="AU38" s="15" t="n">
        <f aca="false">IF($P38=0,"",S38*1000/AU$159*$AD$159/14.696/$BP38/42)</f>
        <v>92143.9909748924</v>
      </c>
      <c r="AV38" s="15" t="n">
        <f aca="false">IF($P38=0,"",T38*1000/AV$159*$AD$159/14.696/$BP38/42)</f>
        <v>20449.7612037749</v>
      </c>
      <c r="AW38" s="15" t="n">
        <f aca="false">IF($P38=0,"",U38*1000/AW$159*$AD$159/14.696/$BP38/42)</f>
        <v>9084.02913926123</v>
      </c>
      <c r="AX38" s="15" t="n">
        <f aca="false">IF($P38=0,"",V38*1000/AX$159*$AD$159/14.696/$BP38/42)</f>
        <v>1638.52453104545</v>
      </c>
      <c r="AY38" s="15" t="n">
        <f aca="false">IF($P38=0,"",W38*1000/AY$159*$AD$159/14.696/$BP38/42)</f>
        <v>3230.32108338717</v>
      </c>
      <c r="AZ38" s="15" t="n">
        <f aca="false">IF($P38=0,"",X38*1000/AZ$159*$AD$159/14.696/$BP38/42)</f>
        <v>909.335581364692</v>
      </c>
      <c r="BA38" s="15" t="n">
        <f aca="false">IF($P38=0,"",Y38*1000/BA$159*$AD$159/14.696/$BP38/42)</f>
        <v>908.74179293793</v>
      </c>
      <c r="BB38" s="15" t="n">
        <f aca="false">IF($P38=0,"",Z38*1000/BB$159*$AD$159/14.696/$BP38/42)</f>
        <v>1108.61215515424</v>
      </c>
      <c r="BC38" s="15" t="n">
        <f aca="false">IF($P38=0,"",AA38*1000/BC$159*$AD$159/14.696/$BP38/42)</f>
        <v>0</v>
      </c>
      <c r="BD38" s="55" t="n">
        <f aca="false">SUM(AS38:BC38)</f>
        <v>130315.742939055</v>
      </c>
      <c r="BE38" s="419" t="n">
        <f aca="false">IF($P38=0,"",E38/$P38*BE$159)</f>
        <v>1.6965E-005</v>
      </c>
      <c r="BF38" s="420" t="n">
        <f aca="false">IF($P38=0,"",F38/$P38*BF$159)</f>
        <v>4.35812E-005</v>
      </c>
      <c r="BG38" s="420" t="n">
        <f aca="false">IF($P38=0,"",G38/$P38*BG$159)</f>
        <v>0.009229888</v>
      </c>
      <c r="BH38" s="420" t="n">
        <f aca="false">IF($P38=0,"",H38/$P38*BH$159)</f>
        <v>0.002664172</v>
      </c>
      <c r="BI38" s="420" t="n">
        <f aca="false">IF($P38=0,"",I38/$P38*BI$159)</f>
        <v>0.001674969</v>
      </c>
      <c r="BJ38" s="420" t="n">
        <f aca="false">IF($P38=0,"",J38/$P38*BJ$159)</f>
        <v>0.000323253</v>
      </c>
      <c r="BK38" s="420" t="n">
        <f aca="false">IF($P38=0,"",K38/$P38*BK$159)</f>
        <v>0.000705</v>
      </c>
      <c r="BL38" s="420" t="n">
        <f aca="false">IF($P38=0,"",L38/$P38*BL$159)</f>
        <v>0.000209664</v>
      </c>
      <c r="BM38" s="420" t="n">
        <f aca="false">IF($P38=0,"",M38/$P38*BM$159)</f>
        <v>0.000222402</v>
      </c>
      <c r="BN38" s="420" t="n">
        <f aca="false">IF($P38=0,"",N38/$P38*BN$159)</f>
        <v>0.0003230238</v>
      </c>
      <c r="BO38" s="420" t="n">
        <f aca="false">IF($P38=0,"",O38/$P38*BO$159)</f>
        <v>0</v>
      </c>
      <c r="BP38" s="418" t="n">
        <f aca="false">1-AD$159*(SUM(BE38:BO38))^2</f>
        <v>0.996519774695325</v>
      </c>
    </row>
    <row r="39" customFormat="false" ht="15" hidden="false" customHeight="false" outlineLevel="0" collapsed="false">
      <c r="A39" s="413" t="s">
        <v>60</v>
      </c>
      <c r="B39" s="414" t="s">
        <v>247</v>
      </c>
      <c r="C39" s="415" t="n">
        <v>260982.1</v>
      </c>
      <c r="D39" s="416" t="n">
        <v>327271.55</v>
      </c>
      <c r="E39" s="417" t="n">
        <v>0.212</v>
      </c>
      <c r="F39" s="417" t="n">
        <v>0.924</v>
      </c>
      <c r="G39" s="417" t="n">
        <v>79.81</v>
      </c>
      <c r="H39" s="417" t="n">
        <v>10.702</v>
      </c>
      <c r="I39" s="417" t="n">
        <v>4.62</v>
      </c>
      <c r="J39" s="417" t="n">
        <v>0.685</v>
      </c>
      <c r="K39" s="417" t="n">
        <v>1.487</v>
      </c>
      <c r="L39" s="417" t="n">
        <v>0.381</v>
      </c>
      <c r="M39" s="417" t="n">
        <v>0.416</v>
      </c>
      <c r="N39" s="417" t="n">
        <v>0.763</v>
      </c>
      <c r="O39" s="76"/>
      <c r="P39" s="423" t="n">
        <f aca="false">SUM(E39:O39)</f>
        <v>100</v>
      </c>
      <c r="Q39" s="99" t="n">
        <f aca="false">IF($P39=0,"",$C39*E39/$P39)</f>
        <v>553.282052</v>
      </c>
      <c r="R39" s="100" t="n">
        <f aca="false">IF($P39=0,"",$C39*F39/$P39)</f>
        <v>2411.474604</v>
      </c>
      <c r="S39" s="100" t="n">
        <f aca="false">IF($P39=0,"",$C39*G39/$P39)</f>
        <v>208289.81401</v>
      </c>
      <c r="T39" s="100" t="n">
        <f aca="false">IF($P39=0,"",$C39*H39/$P39)</f>
        <v>27930.304342</v>
      </c>
      <c r="U39" s="100" t="n">
        <f aca="false">IF($P39=0,"",$C39*I39/$P39)</f>
        <v>12057.37302</v>
      </c>
      <c r="V39" s="100" t="n">
        <f aca="false">IF($P39=0,"",$C39*J39/$P39)</f>
        <v>1787.727385</v>
      </c>
      <c r="W39" s="100" t="n">
        <f aca="false">IF($P39=0,"",$C39*K39/$P39)</f>
        <v>3880.803827</v>
      </c>
      <c r="X39" s="100" t="n">
        <f aca="false">IF($P39=0,"",$C39*L39/$P39)</f>
        <v>994.341801</v>
      </c>
      <c r="Y39" s="100" t="n">
        <f aca="false">IF($P39=0,"",$C39*M39/$P39)</f>
        <v>1085.685536</v>
      </c>
      <c r="Z39" s="100" t="n">
        <f aca="false">IF($P39=0,"",$C39*N39/$P39)</f>
        <v>1991.293423</v>
      </c>
      <c r="AA39" s="100" t="n">
        <f aca="false">IF($P39=0,"",$C39*O39/$P39)</f>
        <v>0</v>
      </c>
      <c r="AB39" s="101" t="n">
        <f aca="false">SUM(Q39:AA39)</f>
        <v>260982.1</v>
      </c>
      <c r="AC39" s="424"/>
      <c r="AD39" s="425"/>
      <c r="AE39" s="100" t="n">
        <f aca="false">IF($P39=0,"",S39*AE$159/$BP39/1000)</f>
        <v>210458.623800417</v>
      </c>
      <c r="AF39" s="100" t="n">
        <f aca="false">IF($P39=0,"",T39*AF$159/$BP39/1000)</f>
        <v>49451.4434556613</v>
      </c>
      <c r="AG39" s="100" t="n">
        <f aca="false">IF($P39=0,"",U39*AG$159/$BP39/1000)</f>
        <v>30350.814304838</v>
      </c>
      <c r="AH39" s="100" t="n">
        <f aca="false">IF($P39=0,"",V39*AH$159/$BP39/1000)</f>
        <v>5816.06968031571</v>
      </c>
      <c r="AI39" s="100" t="n">
        <f aca="false">IF($P39=0,"",W39*AI$159/$BP39/1000)</f>
        <v>12666.0462185793</v>
      </c>
      <c r="AJ39" s="100" t="n">
        <f aca="false">IF($P39=0,"",X39*AJ$159/$BP39/1000)</f>
        <v>3980.06249818099</v>
      </c>
      <c r="AK39" s="100" t="n">
        <f aca="false">IF($P39=0,"",Y39*AK$159/$BP39/1000)</f>
        <v>4354.18376953009</v>
      </c>
      <c r="AL39" s="100" t="n">
        <f aca="false">IF($P39=0,"",Z39*AL$159/$BP39/1000)</f>
        <v>10218.4147654368</v>
      </c>
      <c r="AM39" s="100" t="n">
        <f aca="false">IF($P39=0,"",AA39*AM$159/$BP39/1000)</f>
        <v>0</v>
      </c>
      <c r="AN39" s="100" t="n">
        <f aca="false">SUM(AC39:AM39)</f>
        <v>327295.658492959</v>
      </c>
      <c r="AO39" s="100" t="n">
        <f aca="false">D39-AN39</f>
        <v>-24.1084929592907</v>
      </c>
      <c r="AP39" s="426" t="n">
        <f aca="false">IF(D39=0,0,AO39/D39)</f>
        <v>-7.36651045875841E-005</v>
      </c>
      <c r="AQ39" s="427" t="n">
        <f aca="false">IF(AB39=0,0,AN39/AB39)*1000</f>
        <v>1254.09236301248</v>
      </c>
      <c r="AR39" s="428" t="n">
        <f aca="false">IF(C39=0,0,D39/C39)*1000</f>
        <v>1253.99998697229</v>
      </c>
      <c r="AS39" s="429" t="n">
        <f aca="false">IF($P39=0,"",Q39*1000/AS$159*$AD$159/14.696/$BP39/42)</f>
        <v>224.343225408834</v>
      </c>
      <c r="AT39" s="100" t="n">
        <f aca="false">IF($P39=0,"",R39*1000/AT$159*$AD$159/14.696/$BP39/42)</f>
        <v>630.340964459149</v>
      </c>
      <c r="AU39" s="100" t="n">
        <f aca="false">IF($P39=0,"",S39*1000/AU$159*$AD$159/14.696/$BP39/42)</f>
        <v>83896.9315802929</v>
      </c>
      <c r="AV39" s="100" t="n">
        <f aca="false">IF($P39=0,"",T39*1000/AV$159*$AD$159/14.696/$BP39/42)</f>
        <v>17747.1277244971</v>
      </c>
      <c r="AW39" s="100" t="n">
        <f aca="false">IF($P39=0,"",U39*1000/AW$159*$AD$159/14.696/$BP39/42)</f>
        <v>7892.29636575435</v>
      </c>
      <c r="AX39" s="100" t="n">
        <f aca="false">IF($P39=0,"",V39*1000/AX$159*$AD$159/14.696/$BP39/42)</f>
        <v>1389.95178125185</v>
      </c>
      <c r="AY39" s="100" t="n">
        <f aca="false">IF($P39=0,"",W39*1000/AY$159*$AD$159/14.696/$BP39/42)</f>
        <v>2906.86987522684</v>
      </c>
      <c r="AZ39" s="100" t="n">
        <f aca="false">IF($P39=0,"",X39*1000/AZ$159*$AD$159/14.696/$BP39/42)</f>
        <v>863.988509635875</v>
      </c>
      <c r="BA39" s="100" t="n">
        <f aca="false">IF($P39=0,"",Y39*1000/BA$159*$AD$159/14.696/$BP39/42)</f>
        <v>935.035194338809</v>
      </c>
      <c r="BB39" s="100" t="n">
        <f aca="false">IF($P39=0,"",Z39*1000/BB$159*$AD$159/14.696/$BP39/42)</f>
        <v>2053.01802115022</v>
      </c>
      <c r="BC39" s="100" t="n">
        <f aca="false">IF($P39=0,"",AA39*1000/BC$159*$AD$159/14.696/$BP39/42)</f>
        <v>0</v>
      </c>
      <c r="BD39" s="430" t="n">
        <f aca="false">SUM(AS39:BC39)</f>
        <v>118539.903242016</v>
      </c>
      <c r="BE39" s="424" t="n">
        <f aca="false">IF($P39=0,"",E39/$P39*BE$159)</f>
        <v>4.134E-005</v>
      </c>
      <c r="BF39" s="425" t="n">
        <f aca="false">IF($P39=0,"",F39/$P39*BF$159)</f>
        <v>4.08408E-005</v>
      </c>
      <c r="BG39" s="425" t="n">
        <f aca="false">IF($P39=0,"",G39/$P39*BG$159)</f>
        <v>0.00925796</v>
      </c>
      <c r="BH39" s="425" t="n">
        <f aca="false">IF($P39=0,"",H39/$P39*BH$159)</f>
        <v>0.002547076</v>
      </c>
      <c r="BI39" s="425" t="n">
        <f aca="false">IF($P39=0,"",I39/$P39*BI$159)</f>
        <v>0.00160314</v>
      </c>
      <c r="BJ39" s="425" t="n">
        <f aca="false">IF($P39=0,"",J39/$P39*BJ$159)</f>
        <v>0.000302085</v>
      </c>
      <c r="BK39" s="425" t="n">
        <f aca="false">IF($P39=0,"",K39/$P39*BK$159)</f>
        <v>0.00069889</v>
      </c>
      <c r="BL39" s="425" t="n">
        <f aca="false">IF($P39=0,"",L39/$P39*BL$159)</f>
        <v>0.000219456</v>
      </c>
      <c r="BM39" s="425" t="n">
        <f aca="false">IF($P39=0,"",M39/$P39*BM$159)</f>
        <v>0.000252096</v>
      </c>
      <c r="BN39" s="425" t="n">
        <f aca="false">IF($P39=0,"",N39/$P39*BN$159)</f>
        <v>0.0006590031</v>
      </c>
      <c r="BO39" s="425" t="n">
        <f aca="false">IF($P39=0,"",O39/$P39*BO$159)</f>
        <v>0</v>
      </c>
      <c r="BP39" s="423" t="n">
        <f aca="false">1-AD$159*(SUM(BE39:BO39))^2</f>
        <v>0.996424764917865</v>
      </c>
    </row>
    <row r="40" customFormat="false" ht="15" hidden="false" customHeight="false" outlineLevel="0" collapsed="false">
      <c r="A40" s="413" t="s">
        <v>61</v>
      </c>
      <c r="B40" s="414" t="s">
        <v>248</v>
      </c>
      <c r="C40" s="415" t="n">
        <v>390995.13</v>
      </c>
      <c r="D40" s="416" t="n">
        <v>514119.49</v>
      </c>
      <c r="E40" s="417" t="n">
        <v>0.165</v>
      </c>
      <c r="F40" s="417" t="n">
        <v>0.866</v>
      </c>
      <c r="G40" s="417" t="n">
        <v>77.195</v>
      </c>
      <c r="H40" s="417" t="n">
        <v>11.392</v>
      </c>
      <c r="I40" s="417" t="n">
        <v>5.235</v>
      </c>
      <c r="J40" s="417" t="n">
        <v>0.841</v>
      </c>
      <c r="K40" s="417" t="n">
        <v>1.873</v>
      </c>
      <c r="L40" s="417" t="n">
        <v>0.515</v>
      </c>
      <c r="M40" s="417" t="n">
        <v>0.59</v>
      </c>
      <c r="N40" s="417" t="n">
        <v>1.328</v>
      </c>
      <c r="O40" s="76"/>
      <c r="P40" s="418" t="n">
        <f aca="false">SUM(E40:O40)</f>
        <v>100</v>
      </c>
      <c r="Q40" s="14" t="n">
        <f aca="false">IF($P40=0,"",$C40*E40/$P40)</f>
        <v>645.1419645</v>
      </c>
      <c r="R40" s="15" t="n">
        <f aca="false">IF($P40=0,"",$C40*F40/$P40)</f>
        <v>3386.0178258</v>
      </c>
      <c r="S40" s="15" t="n">
        <f aca="false">IF($P40=0,"",$C40*G40/$P40)</f>
        <v>301828.6906035</v>
      </c>
      <c r="T40" s="15" t="n">
        <f aca="false">IF($P40=0,"",$C40*H40/$P40)</f>
        <v>44542.1652096</v>
      </c>
      <c r="U40" s="15" t="n">
        <f aca="false">IF($P40=0,"",$C40*I40/$P40)</f>
        <v>20468.5950555</v>
      </c>
      <c r="V40" s="15" t="n">
        <f aca="false">IF($P40=0,"",$C40*J40/$P40)</f>
        <v>3288.2690433</v>
      </c>
      <c r="W40" s="15" t="n">
        <f aca="false">IF($P40=0,"",$C40*K40/$P40)</f>
        <v>7323.3387849</v>
      </c>
      <c r="X40" s="15" t="n">
        <f aca="false">IF($P40=0,"",$C40*L40/$P40)</f>
        <v>2013.6249195</v>
      </c>
      <c r="Y40" s="15" t="n">
        <f aca="false">IF($P40=0,"",$C40*M40/$P40)</f>
        <v>2306.871267</v>
      </c>
      <c r="Z40" s="15" t="n">
        <f aca="false">IF($P40=0,"",$C40*N40/$P40)</f>
        <v>5192.4153264</v>
      </c>
      <c r="AA40" s="15" t="n">
        <f aca="false">IF($P40=0,"",$C40*O40/$P40)</f>
        <v>0</v>
      </c>
      <c r="AB40" s="16" t="n">
        <f aca="false">SUM(Q40:AA40)</f>
        <v>390995.13</v>
      </c>
      <c r="AC40" s="419"/>
      <c r="AD40" s="420"/>
      <c r="AE40" s="15" t="n">
        <f aca="false">IF($P40=0,"",S40*AE$159/$BP40/1000)</f>
        <v>305113.638780347</v>
      </c>
      <c r="AF40" s="15" t="n">
        <f aca="false">IF($P40=0,"",T40*AF$159/$BP40/1000)</f>
        <v>78900.0061279187</v>
      </c>
      <c r="AG40" s="15" t="n">
        <f aca="false">IF($P40=0,"",U40*AG$159/$BP40/1000)</f>
        <v>51547.557581433</v>
      </c>
      <c r="AH40" s="15" t="n">
        <f aca="false">IF($P40=0,"",V40*AH$159/$BP40/1000)</f>
        <v>10702.816012249</v>
      </c>
      <c r="AI40" s="15" t="n">
        <f aca="false">IF($P40=0,"",W40*AI$159/$BP40/1000)</f>
        <v>23912.8264370849</v>
      </c>
      <c r="AJ40" s="15" t="n">
        <f aca="false">IF($P40=0,"",X40*AJ$159/$BP40/1000)</f>
        <v>8063.71517916062</v>
      </c>
      <c r="AK40" s="15" t="n">
        <f aca="false">IF($P40=0,"",Y40*AK$159/$BP40/1000)</f>
        <v>9256.10920864068</v>
      </c>
      <c r="AL40" s="15" t="n">
        <f aca="false">IF($P40=0,"",Z40*AL$159/$BP40/1000)</f>
        <v>26657.5417580029</v>
      </c>
      <c r="AM40" s="15" t="n">
        <f aca="false">IF($P40=0,"",AA40*AM$159/$BP40/1000)</f>
        <v>0</v>
      </c>
      <c r="AN40" s="15" t="n">
        <f aca="false">SUM(AC40:AM40)</f>
        <v>514154.211084836</v>
      </c>
      <c r="AO40" s="15" t="n">
        <f aca="false">D40-AN40</f>
        <v>-34.7210848361719</v>
      </c>
      <c r="AP40" s="421" t="n">
        <f aca="false">IF(D40=0,0,AO40/D40)</f>
        <v>-6.75350487805314E-005</v>
      </c>
      <c r="AQ40" s="75" t="n">
        <f aca="false">IF(AB40=0,0,AN40/AB40)*1000</f>
        <v>1314.98878537141</v>
      </c>
      <c r="AR40" s="340" t="n">
        <f aca="false">IF(C40=0,0,D40/C40)*1000</f>
        <v>1314.89998353688</v>
      </c>
      <c r="AS40" s="422" t="n">
        <f aca="false">IF($P40=0,"",Q40*1000/AS$159*$AD$159/14.696/$BP40/42)</f>
        <v>261.712265648289</v>
      </c>
      <c r="AT40" s="15" t="n">
        <f aca="false">IF($P40=0,"",R40*1000/AT$159*$AD$159/14.696/$BP40/42)</f>
        <v>885.491684306365</v>
      </c>
      <c r="AU40" s="15" t="n">
        <f aca="false">IF($P40=0,"",S40*1000/AU$159*$AD$159/14.696/$BP40/42)</f>
        <v>121630.074428521</v>
      </c>
      <c r="AV40" s="15" t="n">
        <f aca="false">IF($P40=0,"",T40*1000/AV$159*$AD$159/14.696/$BP40/42)</f>
        <v>28315.6241429283</v>
      </c>
      <c r="AW40" s="15" t="n">
        <f aca="false">IF($P40=0,"",U40*1000/AW$159*$AD$159/14.696/$BP40/42)</f>
        <v>13404.2071252964</v>
      </c>
      <c r="AX40" s="15" t="n">
        <f aca="false">IF($P40=0,"",V40*1000/AX$159*$AD$159/14.696/$BP40/42)</f>
        <v>2557.80948274828</v>
      </c>
      <c r="AY40" s="15" t="n">
        <f aca="false">IF($P40=0,"",W40*1000/AY$159*$AD$159/14.696/$BP40/42)</f>
        <v>5488.0168287659</v>
      </c>
      <c r="AZ40" s="15" t="n">
        <f aca="false">IF($P40=0,"",X40*1000/AZ$159*$AD$159/14.696/$BP40/42)</f>
        <v>1750.46428616518</v>
      </c>
      <c r="BA40" s="15" t="n">
        <f aca="false">IF($P40=0,"",Y40*1000/BA$159*$AD$159/14.696/$BP40/42)</f>
        <v>1987.69467041962</v>
      </c>
      <c r="BB40" s="15" t="n">
        <f aca="false">IF($P40=0,"",Z40*1000/BB$159*$AD$159/14.696/$BP40/42)</f>
        <v>5355.86144084309</v>
      </c>
      <c r="BC40" s="15" t="n">
        <f aca="false">IF($P40=0,"",AA40*1000/BC$159*$AD$159/14.696/$BP40/42)</f>
        <v>0</v>
      </c>
      <c r="BD40" s="55" t="n">
        <f aca="false">SUM(AS40:BC40)</f>
        <v>181636.956355643</v>
      </c>
      <c r="BE40" s="419" t="n">
        <f aca="false">IF($P40=0,"",E40/$P40*BE$159)</f>
        <v>3.2175E-005</v>
      </c>
      <c r="BF40" s="420" t="n">
        <f aca="false">IF($P40=0,"",F40/$P40*BF$159)</f>
        <v>3.82772E-005</v>
      </c>
      <c r="BG40" s="420" t="n">
        <f aca="false">IF($P40=0,"",G40/$P40*BG$159)</f>
        <v>0.00895462</v>
      </c>
      <c r="BH40" s="420" t="n">
        <f aca="false">IF($P40=0,"",H40/$P40*BH$159)</f>
        <v>0.002711296</v>
      </c>
      <c r="BI40" s="420" t="n">
        <f aca="false">IF($P40=0,"",I40/$P40*BI$159)</f>
        <v>0.001816545</v>
      </c>
      <c r="BJ40" s="420" t="n">
        <f aca="false">IF($P40=0,"",J40/$P40*BJ$159)</f>
        <v>0.000370881</v>
      </c>
      <c r="BK40" s="420" t="n">
        <f aca="false">IF($P40=0,"",K40/$P40*BK$159)</f>
        <v>0.00088031</v>
      </c>
      <c r="BL40" s="420" t="n">
        <f aca="false">IF($P40=0,"",L40/$P40*BL$159)</f>
        <v>0.00029664</v>
      </c>
      <c r="BM40" s="420" t="n">
        <f aca="false">IF($P40=0,"",M40/$P40*BM$159)</f>
        <v>0.00035754</v>
      </c>
      <c r="BN40" s="420" t="n">
        <f aca="false">IF($P40=0,"",N40/$P40*BN$159)</f>
        <v>0.0011469936</v>
      </c>
      <c r="BO40" s="420" t="n">
        <f aca="false">IF($P40=0,"",O40/$P40*BO$159)</f>
        <v>0</v>
      </c>
      <c r="BP40" s="418" t="n">
        <f aca="false">1-AD$159*(SUM(BE40:BO40))^2</f>
        <v>0.995960478575558</v>
      </c>
    </row>
    <row r="41" customFormat="false" ht="15" hidden="false" customHeight="false" outlineLevel="0" collapsed="false">
      <c r="A41" s="413" t="s">
        <v>62</v>
      </c>
      <c r="B41" s="414" t="s">
        <v>249</v>
      </c>
      <c r="C41" s="415" t="n">
        <v>475522.56</v>
      </c>
      <c r="D41" s="416" t="n">
        <v>625264.62</v>
      </c>
      <c r="E41" s="417" t="n">
        <v>0.165</v>
      </c>
      <c r="F41" s="417" t="n">
        <v>0.866</v>
      </c>
      <c r="G41" s="417" t="n">
        <v>77.195</v>
      </c>
      <c r="H41" s="417" t="n">
        <v>11.392</v>
      </c>
      <c r="I41" s="417" t="n">
        <v>5.235</v>
      </c>
      <c r="J41" s="417" t="n">
        <v>0.841</v>
      </c>
      <c r="K41" s="417" t="n">
        <v>1.873</v>
      </c>
      <c r="L41" s="417" t="n">
        <v>0.515</v>
      </c>
      <c r="M41" s="417" t="n">
        <v>0.59</v>
      </c>
      <c r="N41" s="417" t="n">
        <v>1.328</v>
      </c>
      <c r="O41" s="76"/>
      <c r="P41" s="423" t="n">
        <f aca="false">SUM(E41:O41)</f>
        <v>100</v>
      </c>
      <c r="Q41" s="99" t="n">
        <f aca="false">IF($P41=0,"",$C41*E41/$P41)</f>
        <v>784.612224</v>
      </c>
      <c r="R41" s="100" t="n">
        <f aca="false">IF($P41=0,"",$C41*F41/$P41)</f>
        <v>4118.0253696</v>
      </c>
      <c r="S41" s="100" t="n">
        <f aca="false">IF($P41=0,"",$C41*G41/$P41)</f>
        <v>367079.640192</v>
      </c>
      <c r="T41" s="100" t="n">
        <f aca="false">IF($P41=0,"",$C41*H41/$P41)</f>
        <v>54171.5300352</v>
      </c>
      <c r="U41" s="100" t="n">
        <f aca="false">IF($P41=0,"",$C41*I41/$P41)</f>
        <v>24893.606016</v>
      </c>
      <c r="V41" s="100" t="n">
        <f aca="false">IF($P41=0,"",$C41*J41/$P41)</f>
        <v>3999.1447296</v>
      </c>
      <c r="W41" s="100" t="n">
        <f aca="false">IF($P41=0,"",$C41*K41/$P41)</f>
        <v>8906.5375488</v>
      </c>
      <c r="X41" s="100" t="n">
        <f aca="false">IF($P41=0,"",$C41*L41/$P41)</f>
        <v>2448.941184</v>
      </c>
      <c r="Y41" s="100" t="n">
        <f aca="false">IF($P41=0,"",$C41*M41/$P41)</f>
        <v>2805.583104</v>
      </c>
      <c r="Z41" s="100" t="n">
        <f aca="false">IF($P41=0,"",$C41*N41/$P41)</f>
        <v>6314.9395968</v>
      </c>
      <c r="AA41" s="100" t="n">
        <f aca="false">IF($P41=0,"",$C41*O41/$P41)</f>
        <v>0</v>
      </c>
      <c r="AB41" s="101" t="n">
        <f aca="false">SUM(Q41:AA41)</f>
        <v>475522.56</v>
      </c>
      <c r="AC41" s="424"/>
      <c r="AD41" s="425"/>
      <c r="AE41" s="100" t="n">
        <f aca="false">IF($P41=0,"",S41*AE$159/$BP41/1000)</f>
        <v>371074.746132377</v>
      </c>
      <c r="AF41" s="100" t="n">
        <f aca="false">IF($P41=0,"",T41*AF$159/$BP41/1000)</f>
        <v>95957.0337818877</v>
      </c>
      <c r="AG41" s="100" t="n">
        <f aca="false">IF($P41=0,"",U41*AG$159/$BP41/1000)</f>
        <v>62691.3858054202</v>
      </c>
      <c r="AH41" s="100" t="n">
        <f aca="false">IF($P41=0,"",V41*AH$159/$BP41/1000)</f>
        <v>13016.6083382001</v>
      </c>
      <c r="AI41" s="100" t="n">
        <f aca="false">IF($P41=0,"",W41*AI$159/$BP41/1000)</f>
        <v>29082.4298609506</v>
      </c>
      <c r="AJ41" s="100" t="n">
        <f aca="false">IF($P41=0,"",X41*AJ$159/$BP41/1000)</f>
        <v>9806.97249376308</v>
      </c>
      <c r="AK41" s="100" t="n">
        <f aca="false">IF($P41=0,"",Y41*AK$159/$BP41/1000)</f>
        <v>11257.1446773068</v>
      </c>
      <c r="AL41" s="100" t="n">
        <f aca="false">IF($P41=0,"",Z41*AL$159/$BP41/1000)</f>
        <v>32420.5125011978</v>
      </c>
      <c r="AM41" s="100" t="n">
        <f aca="false">IF($P41=0,"",AA41*AM$159/$BP41/1000)</f>
        <v>0</v>
      </c>
      <c r="AN41" s="100" t="n">
        <f aca="false">SUM(AC41:AM41)</f>
        <v>625306.833591103</v>
      </c>
      <c r="AO41" s="100" t="n">
        <f aca="false">D41-AN41</f>
        <v>-42.2135911029764</v>
      </c>
      <c r="AP41" s="426" t="n">
        <f aca="false">IF(D41=0,0,AO41/D41)</f>
        <v>-6.75131612324017E-005</v>
      </c>
      <c r="AQ41" s="427" t="n">
        <f aca="false">IF(AB41=0,0,AN41/AB41)*1000</f>
        <v>1314.98878537141</v>
      </c>
      <c r="AR41" s="428" t="n">
        <f aca="false">IF(C41=0,0,D41/C41)*1000</f>
        <v>1314.90001231487</v>
      </c>
      <c r="AS41" s="429" t="n">
        <f aca="false">IF($P41=0,"",Q41*1000/AS$159*$AD$159/14.696/$BP41/42)</f>
        <v>318.290630741294</v>
      </c>
      <c r="AT41" s="100" t="n">
        <f aca="false">IF($P41=0,"",R41*1000/AT$159*$AD$159/14.696/$BP41/42)</f>
        <v>1076.92203885014</v>
      </c>
      <c r="AU41" s="100" t="n">
        <f aca="false">IF($P41=0,"",S41*1000/AU$159*$AD$159/14.696/$BP41/42)</f>
        <v>147924.718052731</v>
      </c>
      <c r="AV41" s="100" t="n">
        <f aca="false">IF($P41=0,"",T41*1000/AV$159*$AD$159/14.696/$BP41/42)</f>
        <v>34437.0480533685</v>
      </c>
      <c r="AW41" s="100" t="n">
        <f aca="false">IF($P41=0,"",U41*1000/AW$159*$AD$159/14.696/$BP41/42)</f>
        <v>16302.0007103187</v>
      </c>
      <c r="AX41" s="100" t="n">
        <f aca="false">IF($P41=0,"",V41*1000/AX$159*$AD$159/14.696/$BP41/42)</f>
        <v>3110.77049279038</v>
      </c>
      <c r="AY41" s="100" t="n">
        <f aca="false">IF($P41=0,"",W41*1000/AY$159*$AD$159/14.696/$BP41/42)</f>
        <v>6674.44582171098</v>
      </c>
      <c r="AZ41" s="100" t="n">
        <f aca="false">IF($P41=0,"",X41*1000/AZ$159*$AD$159/14.696/$BP41/42)</f>
        <v>2128.88906965628</v>
      </c>
      <c r="BA41" s="100" t="n">
        <f aca="false">IF($P41=0,"",Y41*1000/BA$159*$AD$159/14.696/$BP41/42)</f>
        <v>2417.4051942189</v>
      </c>
      <c r="BB41" s="100" t="n">
        <f aca="false">IF($P41=0,"",Z41*1000/BB$159*$AD$159/14.696/$BP41/42)</f>
        <v>6513.72037128696</v>
      </c>
      <c r="BC41" s="100" t="n">
        <f aca="false">IF($P41=0,"",AA41*1000/BC$159*$AD$159/14.696/$BP41/42)</f>
        <v>0</v>
      </c>
      <c r="BD41" s="430" t="n">
        <f aca="false">SUM(AS41:BC41)</f>
        <v>220904.210435674</v>
      </c>
      <c r="BE41" s="424" t="n">
        <f aca="false">IF($P41=0,"",E41/$P41*BE$159)</f>
        <v>3.2175E-005</v>
      </c>
      <c r="BF41" s="425" t="n">
        <f aca="false">IF($P41=0,"",F41/$P41*BF$159)</f>
        <v>3.82772E-005</v>
      </c>
      <c r="BG41" s="425" t="n">
        <f aca="false">IF($P41=0,"",G41/$P41*BG$159)</f>
        <v>0.00895462</v>
      </c>
      <c r="BH41" s="425" t="n">
        <f aca="false">IF($P41=0,"",H41/$P41*BH$159)</f>
        <v>0.002711296</v>
      </c>
      <c r="BI41" s="425" t="n">
        <f aca="false">IF($P41=0,"",I41/$P41*BI$159)</f>
        <v>0.001816545</v>
      </c>
      <c r="BJ41" s="425" t="n">
        <f aca="false">IF($P41=0,"",J41/$P41*BJ$159)</f>
        <v>0.000370881</v>
      </c>
      <c r="BK41" s="425" t="n">
        <f aca="false">IF($P41=0,"",K41/$P41*BK$159)</f>
        <v>0.00088031</v>
      </c>
      <c r="BL41" s="425" t="n">
        <f aca="false">IF($P41=0,"",L41/$P41*BL$159)</f>
        <v>0.00029664</v>
      </c>
      <c r="BM41" s="425" t="n">
        <f aca="false">IF($P41=0,"",M41/$P41*BM$159)</f>
        <v>0.00035754</v>
      </c>
      <c r="BN41" s="425" t="n">
        <f aca="false">IF($P41=0,"",N41/$P41*BN$159)</f>
        <v>0.0011469936</v>
      </c>
      <c r="BO41" s="425" t="n">
        <f aca="false">IF($P41=0,"",O41/$P41*BO$159)</f>
        <v>0</v>
      </c>
      <c r="BP41" s="423" t="n">
        <f aca="false">1-AD$159*(SUM(BE41:BO41))^2</f>
        <v>0.995960478575558</v>
      </c>
    </row>
    <row r="42" customFormat="false" ht="15" hidden="false" customHeight="false" outlineLevel="0" collapsed="false">
      <c r="A42" s="413" t="s">
        <v>63</v>
      </c>
      <c r="B42" s="414" t="s">
        <v>250</v>
      </c>
      <c r="C42" s="415" t="n">
        <v>131921.42</v>
      </c>
      <c r="D42" s="416" t="n">
        <v>167935.97</v>
      </c>
      <c r="E42" s="417" t="n">
        <v>0.109</v>
      </c>
      <c r="F42" s="417" t="n">
        <v>1.045</v>
      </c>
      <c r="G42" s="417" t="n">
        <v>78.009</v>
      </c>
      <c r="H42" s="417" t="n">
        <v>11.578</v>
      </c>
      <c r="I42" s="417" t="n">
        <v>5.413</v>
      </c>
      <c r="J42" s="417" t="n">
        <v>0.759</v>
      </c>
      <c r="K42" s="417" t="n">
        <v>1.676</v>
      </c>
      <c r="L42" s="417" t="n">
        <v>0.371</v>
      </c>
      <c r="M42" s="417" t="n">
        <v>0.399</v>
      </c>
      <c r="N42" s="417" t="n">
        <v>0.641</v>
      </c>
      <c r="O42" s="76"/>
      <c r="P42" s="418" t="n">
        <f aca="false">SUM(E42:O42)</f>
        <v>100</v>
      </c>
      <c r="Q42" s="14" t="n">
        <f aca="false">IF($P42=0,"",$C42*E42/$P42)</f>
        <v>143.7943478</v>
      </c>
      <c r="R42" s="15" t="n">
        <f aca="false">IF($P42=0,"",$C42*F42/$P42)</f>
        <v>1378.578839</v>
      </c>
      <c r="S42" s="15" t="n">
        <f aca="false">IF($P42=0,"",$C42*G42/$P42)</f>
        <v>102910.5805278</v>
      </c>
      <c r="T42" s="15" t="n">
        <f aca="false">IF($P42=0,"",$C42*H42/$P42)</f>
        <v>15273.8620076</v>
      </c>
      <c r="U42" s="15" t="n">
        <f aca="false">IF($P42=0,"",$C42*I42/$P42)</f>
        <v>7140.9064646</v>
      </c>
      <c r="V42" s="15" t="n">
        <f aca="false">IF($P42=0,"",$C42*J42/$P42)</f>
        <v>1001.2835778</v>
      </c>
      <c r="W42" s="15" t="n">
        <f aca="false">IF($P42=0,"",$C42*K42/$P42)</f>
        <v>2211.0029992</v>
      </c>
      <c r="X42" s="15" t="n">
        <f aca="false">IF($P42=0,"",$C42*L42/$P42)</f>
        <v>489.4284682</v>
      </c>
      <c r="Y42" s="15" t="n">
        <f aca="false">IF($P42=0,"",$C42*M42/$P42)</f>
        <v>526.3664658</v>
      </c>
      <c r="Z42" s="15" t="n">
        <f aca="false">IF($P42=0,"",$C42*N42/$P42)</f>
        <v>845.6163022</v>
      </c>
      <c r="AA42" s="15" t="n">
        <f aca="false">IF($P42=0,"",$C42*O42/$P42)</f>
        <v>0</v>
      </c>
      <c r="AB42" s="16" t="n">
        <f aca="false">SUM(Q42:AA42)</f>
        <v>131921.42</v>
      </c>
      <c r="AC42" s="419"/>
      <c r="AD42" s="420"/>
      <c r="AE42" s="15" t="n">
        <f aca="false">IF($P42=0,"",S42*AE$159/$BP42/1000)</f>
        <v>103994.65874655</v>
      </c>
      <c r="AF42" s="15" t="n">
        <f aca="false">IF($P42=0,"",T42*AF$159/$BP42/1000)</f>
        <v>27046.0894179214</v>
      </c>
      <c r="AG42" s="15" t="n">
        <f aca="false">IF($P42=0,"",U42*AG$159/$BP42/1000)</f>
        <v>17977.2520365548</v>
      </c>
      <c r="AH42" s="15" t="n">
        <f aca="false">IF($P42=0,"",V42*AH$159/$BP42/1000)</f>
        <v>3257.89972838963</v>
      </c>
      <c r="AI42" s="15" t="n">
        <f aca="false">IF($P42=0,"",W42*AI$159/$BP42/1000)</f>
        <v>7217.07173862538</v>
      </c>
      <c r="AJ42" s="15" t="n">
        <f aca="false">IF($P42=0,"",X42*AJ$159/$BP42/1000)</f>
        <v>1959.27651928556</v>
      </c>
      <c r="AK42" s="15" t="n">
        <f aca="false">IF($P42=0,"",Y42*AK$159/$BP42/1000)</f>
        <v>2111.26733140745</v>
      </c>
      <c r="AL42" s="15" t="n">
        <f aca="false">IF($P42=0,"",Z42*AL$159/$BP42/1000)</f>
        <v>4339.84207820023</v>
      </c>
      <c r="AM42" s="15" t="n">
        <f aca="false">IF($P42=0,"",AA42*AM$159/$BP42/1000)</f>
        <v>0</v>
      </c>
      <c r="AN42" s="15" t="n">
        <f aca="false">SUM(AC42:AM42)</f>
        <v>167903.357596935</v>
      </c>
      <c r="AO42" s="15" t="n">
        <f aca="false">D42-AN42</f>
        <v>32.6124030650826</v>
      </c>
      <c r="AP42" s="421" t="n">
        <f aca="false">IF(D42=0,0,AO42/D42)</f>
        <v>0.000194195460716859</v>
      </c>
      <c r="AQ42" s="75" t="n">
        <f aca="false">IF(AB42=0,0,AN42/AB42)*1000</f>
        <v>1272.75280691289</v>
      </c>
      <c r="AR42" s="340" t="n">
        <f aca="false">IF(C42=0,0,D42/C42)*1000</f>
        <v>1273.00001773783</v>
      </c>
      <c r="AS42" s="422" t="n">
        <f aca="false">IF($P42=0,"",Q42*1000/AS$159*$AD$159/14.696/$BP42/42)</f>
        <v>58.3123447116375</v>
      </c>
      <c r="AT42" s="15" t="n">
        <f aca="false">IF($P42=0,"",R42*1000/AT$159*$AD$159/14.696/$BP42/42)</f>
        <v>360.393342033587</v>
      </c>
      <c r="AU42" s="15" t="n">
        <f aca="false">IF($P42=0,"",S42*1000/AU$159*$AD$159/14.696/$BP42/42)</f>
        <v>41456.2853829607</v>
      </c>
      <c r="AV42" s="15" t="n">
        <f aca="false">IF($P42=0,"",T42*1000/AV$159*$AD$159/14.696/$BP42/42)</f>
        <v>9706.29712312413</v>
      </c>
      <c r="AW42" s="15" t="n">
        <f aca="false">IF($P42=0,"",U42*1000/AW$159*$AD$159/14.696/$BP42/42)</f>
        <v>4674.72798223192</v>
      </c>
      <c r="AX42" s="15" t="n">
        <f aca="false">IF($P42=0,"",V42*1000/AX$159*$AD$159/14.696/$BP42/42)</f>
        <v>778.588252809462</v>
      </c>
      <c r="AY42" s="15" t="n">
        <f aca="false">IF($P42=0,"",W42*1000/AY$159*$AD$159/14.696/$BP42/42)</f>
        <v>1656.32495431666</v>
      </c>
      <c r="AZ42" s="15" t="n">
        <f aca="false">IF($P42=0,"",X42*1000/AZ$159*$AD$159/14.696/$BP42/42)</f>
        <v>425.318044788431</v>
      </c>
      <c r="BA42" s="15" t="n">
        <f aca="false">IF($P42=0,"",Y42*1000/BA$159*$AD$159/14.696/$BP42/42)</f>
        <v>453.38216391744</v>
      </c>
      <c r="BB42" s="15" t="n">
        <f aca="false">IF($P42=0,"",Z42*1000/BB$159*$AD$159/14.696/$BP42/42)</f>
        <v>871.933093343198</v>
      </c>
      <c r="BC42" s="15" t="n">
        <f aca="false">IF($P42=0,"",AA42*1000/BC$159*$AD$159/14.696/$BP42/42)</f>
        <v>0</v>
      </c>
      <c r="BD42" s="55" t="n">
        <f aca="false">SUM(AS42:BC42)</f>
        <v>60441.5626842371</v>
      </c>
      <c r="BE42" s="419" t="n">
        <f aca="false">IF($P42=0,"",E42/$P42*BE$159)</f>
        <v>2.1255E-005</v>
      </c>
      <c r="BF42" s="420" t="n">
        <f aca="false">IF($P42=0,"",F42/$P42*BF$159)</f>
        <v>4.6189E-005</v>
      </c>
      <c r="BG42" s="420" t="n">
        <f aca="false">IF($P42=0,"",G42/$P42*BG$159)</f>
        <v>0.009049044</v>
      </c>
      <c r="BH42" s="420" t="n">
        <f aca="false">IF($P42=0,"",H42/$P42*BH$159)</f>
        <v>0.002755564</v>
      </c>
      <c r="BI42" s="420" t="n">
        <f aca="false">IF($P42=0,"",I42/$P42*BI$159)</f>
        <v>0.001878311</v>
      </c>
      <c r="BJ42" s="420" t="n">
        <f aca="false">IF($P42=0,"",J42/$P42*BJ$159)</f>
        <v>0.000334719</v>
      </c>
      <c r="BK42" s="420" t="n">
        <f aca="false">IF($P42=0,"",K42/$P42*BK$159)</f>
        <v>0.00078772</v>
      </c>
      <c r="BL42" s="420" t="n">
        <f aca="false">IF($P42=0,"",L42/$P42*BL$159)</f>
        <v>0.000213696</v>
      </c>
      <c r="BM42" s="420" t="n">
        <f aca="false">IF($P42=0,"",M42/$P42*BM$159)</f>
        <v>0.000241794</v>
      </c>
      <c r="BN42" s="420" t="n">
        <f aca="false">IF($P42=0,"",N42/$P42*BN$159)</f>
        <v>0.0005536317</v>
      </c>
      <c r="BO42" s="420" t="n">
        <f aca="false">IF($P42=0,"",O42/$P42*BO$159)</f>
        <v>0</v>
      </c>
      <c r="BP42" s="418" t="n">
        <f aca="false">1-AD$159*(SUM(BE42:BO42))^2</f>
        <v>0.996304749918955</v>
      </c>
    </row>
    <row r="43" customFormat="false" ht="15" hidden="false" customHeight="false" outlineLevel="0" collapsed="false">
      <c r="A43" s="413" t="s">
        <v>64</v>
      </c>
      <c r="B43" s="414" t="s">
        <v>251</v>
      </c>
      <c r="C43" s="415" t="n">
        <v>522485.52</v>
      </c>
      <c r="D43" s="416" t="n">
        <v>668258.98</v>
      </c>
      <c r="E43" s="417" t="n">
        <v>0.179</v>
      </c>
      <c r="F43" s="417" t="n">
        <v>0.802</v>
      </c>
      <c r="G43" s="417" t="n">
        <v>78.54</v>
      </c>
      <c r="H43" s="417" t="n">
        <v>11.158</v>
      </c>
      <c r="I43" s="417" t="n">
        <v>5.019</v>
      </c>
      <c r="J43" s="417" t="n">
        <v>0.807</v>
      </c>
      <c r="K43" s="417" t="n">
        <v>1.755</v>
      </c>
      <c r="L43" s="417" t="n">
        <v>0.475</v>
      </c>
      <c r="M43" s="417" t="n">
        <v>0.539</v>
      </c>
      <c r="N43" s="417" t="n">
        <v>0.726</v>
      </c>
      <c r="O43" s="76"/>
      <c r="P43" s="423" t="n">
        <f aca="false">SUM(E43:O43)</f>
        <v>100</v>
      </c>
      <c r="Q43" s="99" t="n">
        <f aca="false">IF($P43=0,"",$C43*E43/$P43)</f>
        <v>935.2490808</v>
      </c>
      <c r="R43" s="100" t="n">
        <f aca="false">IF($P43=0,"",$C43*F43/$P43)</f>
        <v>4190.3338704</v>
      </c>
      <c r="S43" s="100" t="n">
        <f aca="false">IF($P43=0,"",$C43*G43/$P43)</f>
        <v>410360.127408</v>
      </c>
      <c r="T43" s="100" t="n">
        <f aca="false">IF($P43=0,"",$C43*H43/$P43)</f>
        <v>58298.9343216</v>
      </c>
      <c r="U43" s="100" t="n">
        <f aca="false">IF($P43=0,"",$C43*I43/$P43)</f>
        <v>26223.5482488</v>
      </c>
      <c r="V43" s="100" t="n">
        <f aca="false">IF($P43=0,"",$C43*J43/$P43)</f>
        <v>4216.4581464</v>
      </c>
      <c r="W43" s="100" t="n">
        <f aca="false">IF($P43=0,"",$C43*K43/$P43)</f>
        <v>9169.620876</v>
      </c>
      <c r="X43" s="100" t="n">
        <f aca="false">IF($P43=0,"",$C43*L43/$P43)</f>
        <v>2481.80622</v>
      </c>
      <c r="Y43" s="100" t="n">
        <f aca="false">IF($P43=0,"",$C43*M43/$P43)</f>
        <v>2816.1969528</v>
      </c>
      <c r="Z43" s="100" t="n">
        <f aca="false">IF($P43=0,"",$C43*N43/$P43)</f>
        <v>3793.2448752</v>
      </c>
      <c r="AA43" s="100" t="n">
        <f aca="false">IF($P43=0,"",$C43*O43/$P43)</f>
        <v>0</v>
      </c>
      <c r="AB43" s="101" t="n">
        <f aca="false">SUM(Q43:AA43)</f>
        <v>522485.52</v>
      </c>
      <c r="AC43" s="424"/>
      <c r="AD43" s="425"/>
      <c r="AE43" s="100" t="n">
        <f aca="false">IF($P43=0,"",S43*AE$159/$BP43/1000)</f>
        <v>414703.198887281</v>
      </c>
      <c r="AF43" s="100" t="n">
        <f aca="false">IF($P43=0,"",T43*AF$159/$BP43/1000)</f>
        <v>103237.494596658</v>
      </c>
      <c r="AG43" s="100" t="n">
        <f aca="false">IF($P43=0,"",U43*AG$159/$BP43/1000)</f>
        <v>66021.0824851783</v>
      </c>
      <c r="AH43" s="100" t="n">
        <f aca="false">IF($P43=0,"",V43*AH$159/$BP43/1000)</f>
        <v>13719.8586584127</v>
      </c>
      <c r="AI43" s="100" t="n">
        <f aca="false">IF($P43=0,"",W43*AI$159/$BP43/1000)</f>
        <v>29932.5897785159</v>
      </c>
      <c r="AJ43" s="100" t="n">
        <f aca="false">IF($P43=0,"",X43*AJ$159/$BP43/1000)</f>
        <v>9935.63431588506</v>
      </c>
      <c r="AK43" s="100" t="n">
        <f aca="false">IF($P43=0,"",Y43*AK$159/$BP43/1000)</f>
        <v>11296.3791937896</v>
      </c>
      <c r="AL43" s="100" t="n">
        <f aca="false">IF($P43=0,"",Z43*AL$159/$BP43/1000)</f>
        <v>19468.508563662</v>
      </c>
      <c r="AM43" s="100" t="n">
        <f aca="false">IF($P43=0,"",AA43*AM$159/$BP43/1000)</f>
        <v>0</v>
      </c>
      <c r="AN43" s="100" t="n">
        <f aca="false">SUM(AC43:AM43)</f>
        <v>668314.746479383</v>
      </c>
      <c r="AO43" s="100" t="n">
        <f aca="false">D43-AN43</f>
        <v>-55.7664793825243</v>
      </c>
      <c r="AP43" s="426" t="n">
        <f aca="false">IF(D43=0,0,AO43/D43)</f>
        <v>-8.3450400296191E-005</v>
      </c>
      <c r="AQ43" s="427" t="n">
        <f aca="false">IF(AB43=0,0,AN43/AB43)*1000</f>
        <v>1279.10673290885</v>
      </c>
      <c r="AR43" s="428" t="n">
        <f aca="false">IF(C43=0,0,D43/C43)*1000</f>
        <v>1278.99999984689</v>
      </c>
      <c r="AS43" s="429" t="n">
        <f aca="false">IF($P43=0,"",Q43*1000/AS$159*$AD$159/14.696/$BP43/42)</f>
        <v>379.286340639069</v>
      </c>
      <c r="AT43" s="100" t="n">
        <f aca="false">IF($P43=0,"",R43*1000/AT$159*$AD$159/14.696/$BP43/42)</f>
        <v>1095.50660918723</v>
      </c>
      <c r="AU43" s="100" t="n">
        <f aca="false">IF($P43=0,"",S43*1000/AU$159*$AD$159/14.696/$BP43/42)</f>
        <v>165316.70346837</v>
      </c>
      <c r="AV43" s="100" t="n">
        <f aca="false">IF($P43=0,"",T43*1000/AV$159*$AD$159/14.696/$BP43/42)</f>
        <v>37049.8589026366</v>
      </c>
      <c r="AW43" s="100" t="n">
        <f aca="false">IF($P43=0,"",U43*1000/AW$159*$AD$159/14.696/$BP43/42)</f>
        <v>17167.8408403653</v>
      </c>
      <c r="AX43" s="100" t="n">
        <f aca="false">IF($P43=0,"",V43*1000/AX$159*$AD$159/14.696/$BP43/42)</f>
        <v>3278.83657331789</v>
      </c>
      <c r="AY43" s="100" t="n">
        <f aca="false">IF($P43=0,"",W43*1000/AY$159*$AD$159/14.696/$BP43/42)</f>
        <v>6869.55834623902</v>
      </c>
      <c r="AZ43" s="100" t="n">
        <f aca="false">IF($P43=0,"",X43*1000/AZ$159*$AD$159/14.696/$BP43/42)</f>
        <v>2156.81886623436</v>
      </c>
      <c r="BA43" s="100" t="n">
        <f aca="false">IF($P43=0,"",Y43*1000/BA$159*$AD$159/14.696/$BP43/42)</f>
        <v>2425.83057442471</v>
      </c>
      <c r="BB43" s="100" t="n">
        <f aca="false">IF($P43=0,"",Z43*1000/BB$159*$AD$159/14.696/$BP43/42)</f>
        <v>3911.48723589779</v>
      </c>
      <c r="BC43" s="100" t="n">
        <f aca="false">IF($P43=0,"",AA43*1000/BC$159*$AD$159/14.696/$BP43/42)</f>
        <v>0</v>
      </c>
      <c r="BD43" s="430" t="n">
        <f aca="false">SUM(AS43:BC43)</f>
        <v>239651.727757312</v>
      </c>
      <c r="BE43" s="424" t="n">
        <f aca="false">IF($P43=0,"",E43/$P43*BE$159)</f>
        <v>3.4905E-005</v>
      </c>
      <c r="BF43" s="425" t="n">
        <f aca="false">IF($P43=0,"",F43/$P43*BF$159)</f>
        <v>3.54484E-005</v>
      </c>
      <c r="BG43" s="425" t="n">
        <f aca="false">IF($P43=0,"",G43/$P43*BG$159)</f>
        <v>0.00911064</v>
      </c>
      <c r="BH43" s="425" t="n">
        <f aca="false">IF($P43=0,"",H43/$P43*BH$159)</f>
        <v>0.002655604</v>
      </c>
      <c r="BI43" s="425" t="n">
        <f aca="false">IF($P43=0,"",I43/$P43*BI$159)</f>
        <v>0.001741593</v>
      </c>
      <c r="BJ43" s="425" t="n">
        <f aca="false">IF($P43=0,"",J43/$P43*BJ$159)</f>
        <v>0.000355887</v>
      </c>
      <c r="BK43" s="425" t="n">
        <f aca="false">IF($P43=0,"",K43/$P43*BK$159)</f>
        <v>0.00082485</v>
      </c>
      <c r="BL43" s="425" t="n">
        <f aca="false">IF($P43=0,"",L43/$P43*BL$159)</f>
        <v>0.0002736</v>
      </c>
      <c r="BM43" s="425" t="n">
        <f aca="false">IF($P43=0,"",M43/$P43*BM$159)</f>
        <v>0.000326634</v>
      </c>
      <c r="BN43" s="425" t="n">
        <f aca="false">IF($P43=0,"",N43/$P43*BN$159)</f>
        <v>0.0006270462</v>
      </c>
      <c r="BO43" s="425" t="n">
        <f aca="false">IF($P43=0,"",O43/$P43*BO$159)</f>
        <v>0</v>
      </c>
      <c r="BP43" s="423" t="n">
        <f aca="false">1-AD$159*(SUM(BE43:BO43))^2</f>
        <v>0.996256063090246</v>
      </c>
    </row>
    <row r="44" customFormat="false" ht="15" hidden="false" customHeight="false" outlineLevel="0" collapsed="false">
      <c r="A44" s="413" t="s">
        <v>65</v>
      </c>
      <c r="B44" s="414" t="s">
        <v>252</v>
      </c>
      <c r="C44" s="415" t="n">
        <v>84015.9</v>
      </c>
      <c r="D44" s="416" t="n">
        <v>103843.65</v>
      </c>
      <c r="E44" s="417" t="n">
        <v>0.096</v>
      </c>
      <c r="F44" s="417" t="n">
        <v>0.736</v>
      </c>
      <c r="G44" s="417" t="n">
        <v>81.238</v>
      </c>
      <c r="H44" s="417" t="n">
        <v>10.675</v>
      </c>
      <c r="I44" s="417" t="n">
        <v>3.984</v>
      </c>
      <c r="J44" s="417" t="n">
        <v>0.643</v>
      </c>
      <c r="K44" s="417" t="n">
        <v>1.174</v>
      </c>
      <c r="L44" s="417" t="n">
        <v>0.34</v>
      </c>
      <c r="M44" s="417" t="n">
        <v>0.357</v>
      </c>
      <c r="N44" s="417" t="n">
        <v>0.757</v>
      </c>
      <c r="O44" s="76"/>
      <c r="P44" s="418" t="n">
        <f aca="false">SUM(E44:O44)</f>
        <v>100</v>
      </c>
      <c r="Q44" s="14" t="n">
        <f aca="false">IF($P44=0,"",$C44*E44/$P44)</f>
        <v>80.655264</v>
      </c>
      <c r="R44" s="15" t="n">
        <f aca="false">IF($P44=0,"",$C44*F44/$P44)</f>
        <v>618.357024</v>
      </c>
      <c r="S44" s="15" t="n">
        <f aca="false">IF($P44=0,"",$C44*G44/$P44)</f>
        <v>68252.836842</v>
      </c>
      <c r="T44" s="15" t="n">
        <f aca="false">IF($P44=0,"",$C44*H44/$P44)</f>
        <v>8968.697325</v>
      </c>
      <c r="U44" s="15" t="n">
        <f aca="false">IF($P44=0,"",$C44*I44/$P44)</f>
        <v>3347.193456</v>
      </c>
      <c r="V44" s="15" t="n">
        <f aca="false">IF($P44=0,"",$C44*J44/$P44)</f>
        <v>540.222237</v>
      </c>
      <c r="W44" s="15" t="n">
        <f aca="false">IF($P44=0,"",$C44*K44/$P44)</f>
        <v>986.346666</v>
      </c>
      <c r="X44" s="15" t="n">
        <f aca="false">IF($P44=0,"",$C44*L44/$P44)</f>
        <v>285.65406</v>
      </c>
      <c r="Y44" s="15" t="n">
        <f aca="false">IF($P44=0,"",$C44*M44/$P44)</f>
        <v>299.936763</v>
      </c>
      <c r="Z44" s="15" t="n">
        <f aca="false">IF($P44=0,"",$C44*N44/$P44)</f>
        <v>636.000363</v>
      </c>
      <c r="AA44" s="15" t="n">
        <f aca="false">IF($P44=0,"",$C44*O44/$P44)</f>
        <v>0</v>
      </c>
      <c r="AB44" s="16" t="n">
        <f aca="false">SUM(Q44:AA44)</f>
        <v>84015.9</v>
      </c>
      <c r="AC44" s="419"/>
      <c r="AD44" s="420"/>
      <c r="AE44" s="15" t="n">
        <f aca="false">IF($P44=0,"",S44*AE$159/$BP44/1000)</f>
        <v>68953.4046726779</v>
      </c>
      <c r="AF44" s="15" t="n">
        <f aca="false">IF($P44=0,"",T44*AF$159/$BP44/1000)</f>
        <v>15877.0198061338</v>
      </c>
      <c r="AG44" s="15" t="n">
        <f aca="false">IF($P44=0,"",U44*AG$159/$BP44/1000)</f>
        <v>8424.31850827214</v>
      </c>
      <c r="AH44" s="15" t="n">
        <f aca="false">IF($P44=0,"",V44*AH$159/$BP44/1000)</f>
        <v>1757.26427130407</v>
      </c>
      <c r="AI44" s="15" t="n">
        <f aca="false">IF($P44=0,"",W44*AI$159/$BP44/1000)</f>
        <v>3218.73537759629</v>
      </c>
      <c r="AJ44" s="15" t="n">
        <f aca="false">IF($P44=0,"",X44*AJ$159/$BP44/1000)</f>
        <v>1143.22288546714</v>
      </c>
      <c r="AK44" s="15" t="n">
        <f aca="false">IF($P44=0,"",Y44*AK$159/$BP44/1000)</f>
        <v>1202.73158651313</v>
      </c>
      <c r="AL44" s="15" t="n">
        <f aca="false">IF($P44=0,"",Z44*AL$159/$BP44/1000)</f>
        <v>3263.18687007302</v>
      </c>
      <c r="AM44" s="15" t="n">
        <f aca="false">IF($P44=0,"",AA44*AM$159/$BP44/1000)</f>
        <v>0</v>
      </c>
      <c r="AN44" s="15" t="n">
        <f aca="false">SUM(AC44:AM44)</f>
        <v>103839.883978038</v>
      </c>
      <c r="AO44" s="15" t="n">
        <f aca="false">D44-AN44</f>
        <v>3.76602196248132</v>
      </c>
      <c r="AP44" s="421" t="n">
        <f aca="false">IF(D44=0,0,AO44/D44)</f>
        <v>3.6266271095838E-005</v>
      </c>
      <c r="AQ44" s="75" t="n">
        <f aca="false">IF(AB44=0,0,AN44/AB44)*1000</f>
        <v>1235.95514632394</v>
      </c>
      <c r="AR44" s="340" t="n">
        <f aca="false">IF(C44=0,0,D44/C44)*1000</f>
        <v>1235.99997143398</v>
      </c>
      <c r="AS44" s="422" t="n">
        <f aca="false">IF($P44=0,"",Q44*1000/AS$159*$AD$159/14.696/$BP44/42)</f>
        <v>32.6990705426659</v>
      </c>
      <c r="AT44" s="15" t="n">
        <f aca="false">IF($P44=0,"",R44*1000/AT$159*$AD$159/14.696/$BP44/42)</f>
        <v>161.610082361394</v>
      </c>
      <c r="AU44" s="15" t="n">
        <f aca="false">IF($P44=0,"",S44*1000/AU$159*$AD$159/14.696/$BP44/42)</f>
        <v>27487.4888450185</v>
      </c>
      <c r="AV44" s="15" t="n">
        <f aca="false">IF($P44=0,"",T44*1000/AV$159*$AD$159/14.696/$BP44/42)</f>
        <v>5697.9428444079</v>
      </c>
      <c r="AW44" s="15" t="n">
        <f aca="false">IF($P44=0,"",U44*1000/AW$159*$AD$159/14.696/$BP44/42)</f>
        <v>2190.62387186742</v>
      </c>
      <c r="AX44" s="15" t="n">
        <f aca="false">IF($P44=0,"",V44*1000/AX$159*$AD$159/14.696/$BP44/42)</f>
        <v>419.959308997953</v>
      </c>
      <c r="AY44" s="15" t="n">
        <f aca="false">IF($P44=0,"",W44*1000/AY$159*$AD$159/14.696/$BP44/42)</f>
        <v>738.702886756954</v>
      </c>
      <c r="AZ44" s="15" t="n">
        <f aca="false">IF($P44=0,"",X44*1000/AZ$159*$AD$159/14.696/$BP44/42)</f>
        <v>248.169830862658</v>
      </c>
      <c r="BA44" s="15" t="n">
        <f aca="false">IF($P44=0,"",Y44*1000/BA$159*$AD$159/14.696/$BP44/42)</f>
        <v>258.279489855823</v>
      </c>
      <c r="BB44" s="15" t="n">
        <f aca="false">IF($P44=0,"",Z44*1000/BB$159*$AD$159/14.696/$BP44/42)</f>
        <v>655.618469637872</v>
      </c>
      <c r="BC44" s="15" t="n">
        <f aca="false">IF($P44=0,"",AA44*1000/BC$159*$AD$159/14.696/$BP44/42)</f>
        <v>0</v>
      </c>
      <c r="BD44" s="55" t="n">
        <f aca="false">SUM(AS44:BC44)</f>
        <v>37891.0947003091</v>
      </c>
      <c r="BE44" s="419" t="n">
        <f aca="false">IF($P44=0,"",E44/$P44*BE$159)</f>
        <v>1.872E-005</v>
      </c>
      <c r="BF44" s="420" t="n">
        <f aca="false">IF($P44=0,"",F44/$P44*BF$159)</f>
        <v>3.25312E-005</v>
      </c>
      <c r="BG44" s="420" t="n">
        <f aca="false">IF($P44=0,"",G44/$P44*BG$159)</f>
        <v>0.009423608</v>
      </c>
      <c r="BH44" s="420" t="n">
        <f aca="false">IF($P44=0,"",H44/$P44*BH$159)</f>
        <v>0.00254065</v>
      </c>
      <c r="BI44" s="420" t="n">
        <f aca="false">IF($P44=0,"",I44/$P44*BI$159)</f>
        <v>0.001382448</v>
      </c>
      <c r="BJ44" s="420" t="n">
        <f aca="false">IF($P44=0,"",J44/$P44*BJ$159)</f>
        <v>0.000283563</v>
      </c>
      <c r="BK44" s="420" t="n">
        <f aca="false">IF($P44=0,"",K44/$P44*BK$159)</f>
        <v>0.00055178</v>
      </c>
      <c r="BL44" s="420" t="n">
        <f aca="false">IF($P44=0,"",L44/$P44*BL$159)</f>
        <v>0.00019584</v>
      </c>
      <c r="BM44" s="420" t="n">
        <f aca="false">IF($P44=0,"",M44/$P44*BM$159)</f>
        <v>0.000216342</v>
      </c>
      <c r="BN44" s="420" t="n">
        <f aca="false">IF($P44=0,"",N44/$P44*BN$159)</f>
        <v>0.0006538209</v>
      </c>
      <c r="BO44" s="420" t="n">
        <f aca="false">IF($P44=0,"",O44/$P44*BO$159)</f>
        <v>0</v>
      </c>
      <c r="BP44" s="418" t="n">
        <f aca="false">1-AD$159*(SUM(BE44:BO44))^2</f>
        <v>0.996570893906186</v>
      </c>
    </row>
    <row r="45" customFormat="false" ht="15" hidden="false" customHeight="false" outlineLevel="0" collapsed="false">
      <c r="A45" s="413" t="s">
        <v>66</v>
      </c>
      <c r="B45" s="414" t="s">
        <v>253</v>
      </c>
      <c r="C45" s="415" t="n">
        <v>0</v>
      </c>
      <c r="D45" s="416" t="n">
        <v>0</v>
      </c>
      <c r="E45" s="417" t="n">
        <v>0.132</v>
      </c>
      <c r="F45" s="417" t="n">
        <v>0.923000000000001</v>
      </c>
      <c r="G45" s="417" t="n">
        <v>81.04</v>
      </c>
      <c r="H45" s="417" t="n">
        <v>10.067</v>
      </c>
      <c r="I45" s="417" t="n">
        <v>3.911</v>
      </c>
      <c r="J45" s="417" t="n">
        <v>0.559</v>
      </c>
      <c r="K45" s="417" t="n">
        <v>1.238</v>
      </c>
      <c r="L45" s="417" t="n">
        <v>0.338</v>
      </c>
      <c r="M45" s="417" t="n">
        <v>0.403</v>
      </c>
      <c r="N45" s="417" t="n">
        <v>1.389</v>
      </c>
      <c r="O45" s="76"/>
      <c r="P45" s="423" t="n">
        <f aca="false">SUM(E45:O45)</f>
        <v>100</v>
      </c>
      <c r="Q45" s="99" t="n">
        <f aca="false">IF($P45=0,"",$C45*E45/$P45)</f>
        <v>0</v>
      </c>
      <c r="R45" s="100" t="n">
        <f aca="false">IF($P45=0,"",$C45*F45/$P45)</f>
        <v>0</v>
      </c>
      <c r="S45" s="100" t="n">
        <f aca="false">IF($P45=0,"",$C45*G45/$P45)</f>
        <v>0</v>
      </c>
      <c r="T45" s="100" t="n">
        <f aca="false">IF($P45=0,"",$C45*H45/$P45)</f>
        <v>0</v>
      </c>
      <c r="U45" s="100" t="n">
        <f aca="false">IF($P45=0,"",$C45*I45/$P45)</f>
        <v>0</v>
      </c>
      <c r="V45" s="100" t="n">
        <f aca="false">IF($P45=0,"",$C45*J45/$P45)</f>
        <v>0</v>
      </c>
      <c r="W45" s="100" t="n">
        <f aca="false">IF($P45=0,"",$C45*K45/$P45)</f>
        <v>0</v>
      </c>
      <c r="X45" s="100" t="n">
        <f aca="false">IF($P45=0,"",$C45*L45/$P45)</f>
        <v>0</v>
      </c>
      <c r="Y45" s="100" t="n">
        <f aca="false">IF($P45=0,"",$C45*M45/$P45)</f>
        <v>0</v>
      </c>
      <c r="Z45" s="100" t="n">
        <f aca="false">IF($P45=0,"",$C45*N45/$P45)</f>
        <v>0</v>
      </c>
      <c r="AA45" s="100" t="n">
        <f aca="false">IF($P45=0,"",$C45*O45/$P45)</f>
        <v>0</v>
      </c>
      <c r="AB45" s="101" t="n">
        <f aca="false">SUM(Q45:AA45)</f>
        <v>0</v>
      </c>
      <c r="AC45" s="424"/>
      <c r="AD45" s="425"/>
      <c r="AE45" s="100" t="n">
        <f aca="false">IF($P45=0,"",S45*AE$159/$BP45/1000)</f>
        <v>0</v>
      </c>
      <c r="AF45" s="100" t="n">
        <f aca="false">IF($P45=0,"",T45*AF$159/$BP45/1000)</f>
        <v>0</v>
      </c>
      <c r="AG45" s="100" t="n">
        <f aca="false">IF($P45=0,"",U45*AG$159/$BP45/1000)</f>
        <v>0</v>
      </c>
      <c r="AH45" s="100" t="n">
        <f aca="false">IF($P45=0,"",V45*AH$159/$BP45/1000)</f>
        <v>0</v>
      </c>
      <c r="AI45" s="100" t="n">
        <f aca="false">IF($P45=0,"",W45*AI$159/$BP45/1000)</f>
        <v>0</v>
      </c>
      <c r="AJ45" s="100" t="n">
        <f aca="false">IF($P45=0,"",X45*AJ$159/$BP45/1000)</f>
        <v>0</v>
      </c>
      <c r="AK45" s="100" t="n">
        <f aca="false">IF($P45=0,"",Y45*AK$159/$BP45/1000)</f>
        <v>0</v>
      </c>
      <c r="AL45" s="100" t="n">
        <f aca="false">IF($P45=0,"",Z45*AL$159/$BP45/1000)</f>
        <v>0</v>
      </c>
      <c r="AM45" s="100" t="n">
        <f aca="false">IF($P45=0,"",AA45*AM$159/$BP45/1000)</f>
        <v>0</v>
      </c>
      <c r="AN45" s="100" t="n">
        <f aca="false">SUM(AC45:AM45)</f>
        <v>0</v>
      </c>
      <c r="AO45" s="100" t="n">
        <f aca="false">D45-AN45</f>
        <v>0</v>
      </c>
      <c r="AP45" s="426" t="n">
        <f aca="false">IF(D45=0,0,AO45/D45)</f>
        <v>0</v>
      </c>
      <c r="AQ45" s="427" t="n">
        <f aca="false">IF(AB45=0,0,AN45/AB45)*1000</f>
        <v>0</v>
      </c>
      <c r="AR45" s="428" t="n">
        <f aca="false">IF(C45=0,0,D45/C45)*1000</f>
        <v>0</v>
      </c>
      <c r="AS45" s="429" t="n">
        <f aca="false">IF($P45=0,"",Q45*1000/AS$159*$AD$159/14.696/$BP45/42)</f>
        <v>0</v>
      </c>
      <c r="AT45" s="100" t="n">
        <f aca="false">IF($P45=0,"",R45*1000/AT$159*$AD$159/14.696/$BP45/42)</f>
        <v>0</v>
      </c>
      <c r="AU45" s="100" t="n">
        <f aca="false">IF($P45=0,"",S45*1000/AU$159*$AD$159/14.696/$BP45/42)</f>
        <v>0</v>
      </c>
      <c r="AV45" s="100" t="n">
        <f aca="false">IF($P45=0,"",T45*1000/AV$159*$AD$159/14.696/$BP45/42)</f>
        <v>0</v>
      </c>
      <c r="AW45" s="100" t="n">
        <f aca="false">IF($P45=0,"",U45*1000/AW$159*$AD$159/14.696/$BP45/42)</f>
        <v>0</v>
      </c>
      <c r="AX45" s="100" t="n">
        <f aca="false">IF($P45=0,"",V45*1000/AX$159*$AD$159/14.696/$BP45/42)</f>
        <v>0</v>
      </c>
      <c r="AY45" s="100" t="n">
        <f aca="false">IF($P45=0,"",W45*1000/AY$159*$AD$159/14.696/$BP45/42)</f>
        <v>0</v>
      </c>
      <c r="AZ45" s="100" t="n">
        <f aca="false">IF($P45=0,"",X45*1000/AZ$159*$AD$159/14.696/$BP45/42)</f>
        <v>0</v>
      </c>
      <c r="BA45" s="100" t="n">
        <f aca="false">IF($P45=0,"",Y45*1000/BA$159*$AD$159/14.696/$BP45/42)</f>
        <v>0</v>
      </c>
      <c r="BB45" s="100" t="n">
        <f aca="false">IF($P45=0,"",Z45*1000/BB$159*$AD$159/14.696/$BP45/42)</f>
        <v>0</v>
      </c>
      <c r="BC45" s="100" t="n">
        <f aca="false">IF($P45=0,"",AA45*1000/BC$159*$AD$159/14.696/$BP45/42)</f>
        <v>0</v>
      </c>
      <c r="BD45" s="430" t="n">
        <f aca="false">SUM(AS45:BC45)</f>
        <v>0</v>
      </c>
      <c r="BE45" s="424" t="n">
        <f aca="false">IF($P45=0,"",E45/$P45*BE$159)</f>
        <v>2.574E-005</v>
      </c>
      <c r="BF45" s="425" t="n">
        <f aca="false">IF($P45=0,"",F45/$P45*BF$159)</f>
        <v>4.07966000000001E-005</v>
      </c>
      <c r="BG45" s="425" t="n">
        <f aca="false">IF($P45=0,"",G45/$P45*BG$159)</f>
        <v>0.00940064</v>
      </c>
      <c r="BH45" s="425" t="n">
        <f aca="false">IF($P45=0,"",H45/$P45*BH$159)</f>
        <v>0.002395946</v>
      </c>
      <c r="BI45" s="425" t="n">
        <f aca="false">IF($P45=0,"",I45/$P45*BI$159)</f>
        <v>0.001357117</v>
      </c>
      <c r="BJ45" s="425" t="n">
        <f aca="false">IF($P45=0,"",J45/$P45*BJ$159)</f>
        <v>0.000246519</v>
      </c>
      <c r="BK45" s="425" t="n">
        <f aca="false">IF($P45=0,"",K45/$P45*BK$159)</f>
        <v>0.00058186</v>
      </c>
      <c r="BL45" s="425" t="n">
        <f aca="false">IF($P45=0,"",L45/$P45*BL$159)</f>
        <v>0.000194688</v>
      </c>
      <c r="BM45" s="425" t="n">
        <f aca="false">IF($P45=0,"",M45/$P45*BM$159)</f>
        <v>0.000244218</v>
      </c>
      <c r="BN45" s="425" t="n">
        <f aca="false">IF($P45=0,"",N45/$P45*BN$159)</f>
        <v>0.0011996793</v>
      </c>
      <c r="BO45" s="425" t="n">
        <f aca="false">IF($P45=0,"",O45/$P45*BO$159)</f>
        <v>0</v>
      </c>
      <c r="BP45" s="423" t="n">
        <f aca="false">1-AD$159*(SUM(BE45:BO45))^2</f>
        <v>0.996394805435167</v>
      </c>
    </row>
    <row r="46" customFormat="false" ht="15" hidden="false" customHeight="false" outlineLevel="0" collapsed="false">
      <c r="A46" s="413" t="s">
        <v>67</v>
      </c>
      <c r="B46" s="414" t="s">
        <v>254</v>
      </c>
      <c r="C46" s="415" t="n">
        <v>0</v>
      </c>
      <c r="D46" s="416" t="n">
        <v>0</v>
      </c>
      <c r="E46" s="417" t="n">
        <v>0.18</v>
      </c>
      <c r="F46" s="417" t="n">
        <v>0.631</v>
      </c>
      <c r="G46" s="417" t="n">
        <v>85.971</v>
      </c>
      <c r="H46" s="417" t="n">
        <v>7.221</v>
      </c>
      <c r="I46" s="417" t="n">
        <v>3.24</v>
      </c>
      <c r="J46" s="417" t="n">
        <v>0.432</v>
      </c>
      <c r="K46" s="417" t="n">
        <v>1.094</v>
      </c>
      <c r="L46" s="417" t="n">
        <v>0.289</v>
      </c>
      <c r="M46" s="417" t="n">
        <v>0.353</v>
      </c>
      <c r="N46" s="417" t="n">
        <v>0.589</v>
      </c>
      <c r="O46" s="76"/>
      <c r="P46" s="418" t="n">
        <f aca="false">SUM(E46:O46)</f>
        <v>100</v>
      </c>
      <c r="Q46" s="14" t="n">
        <f aca="false">IF($P46=0,"",$C46*E46/$P46)</f>
        <v>0</v>
      </c>
      <c r="R46" s="15" t="n">
        <f aca="false">IF($P46=0,"",$C46*F46/$P46)</f>
        <v>0</v>
      </c>
      <c r="S46" s="15" t="n">
        <f aca="false">IF($P46=0,"",$C46*G46/$P46)</f>
        <v>0</v>
      </c>
      <c r="T46" s="15" t="n">
        <f aca="false">IF($P46=0,"",$C46*H46/$P46)</f>
        <v>0</v>
      </c>
      <c r="U46" s="15" t="n">
        <f aca="false">IF($P46=0,"",$C46*I46/$P46)</f>
        <v>0</v>
      </c>
      <c r="V46" s="15" t="n">
        <f aca="false">IF($P46=0,"",$C46*J46/$P46)</f>
        <v>0</v>
      </c>
      <c r="W46" s="15" t="n">
        <f aca="false">IF($P46=0,"",$C46*K46/$P46)</f>
        <v>0</v>
      </c>
      <c r="X46" s="15" t="n">
        <f aca="false">IF($P46=0,"",$C46*L46/$P46)</f>
        <v>0</v>
      </c>
      <c r="Y46" s="15" t="n">
        <f aca="false">IF($P46=0,"",$C46*M46/$P46)</f>
        <v>0</v>
      </c>
      <c r="Z46" s="15" t="n">
        <f aca="false">IF($P46=0,"",$C46*N46/$P46)</f>
        <v>0</v>
      </c>
      <c r="AA46" s="15" t="n">
        <f aca="false">IF($P46=0,"",$C46*O46/$P46)</f>
        <v>0</v>
      </c>
      <c r="AB46" s="16" t="n">
        <f aca="false">SUM(Q46:AA46)</f>
        <v>0</v>
      </c>
      <c r="AC46" s="419"/>
      <c r="AD46" s="420"/>
      <c r="AE46" s="15" t="n">
        <f aca="false">IF($P46=0,"",S46*AE$159/$BP46/1000)</f>
        <v>0</v>
      </c>
      <c r="AF46" s="15" t="n">
        <f aca="false">IF($P46=0,"",T46*AF$159/$BP46/1000)</f>
        <v>0</v>
      </c>
      <c r="AG46" s="15" t="n">
        <f aca="false">IF($P46=0,"",U46*AG$159/$BP46/1000)</f>
        <v>0</v>
      </c>
      <c r="AH46" s="15" t="n">
        <f aca="false">IF($P46=0,"",V46*AH$159/$BP46/1000)</f>
        <v>0</v>
      </c>
      <c r="AI46" s="15" t="n">
        <f aca="false">IF($P46=0,"",W46*AI$159/$BP46/1000)</f>
        <v>0</v>
      </c>
      <c r="AJ46" s="15" t="n">
        <f aca="false">IF($P46=0,"",X46*AJ$159/$BP46/1000)</f>
        <v>0</v>
      </c>
      <c r="AK46" s="15" t="n">
        <f aca="false">IF($P46=0,"",Y46*AK$159/$BP46/1000)</f>
        <v>0</v>
      </c>
      <c r="AL46" s="15" t="n">
        <f aca="false">IF($P46=0,"",Z46*AL$159/$BP46/1000)</f>
        <v>0</v>
      </c>
      <c r="AM46" s="15" t="n">
        <f aca="false">IF($P46=0,"",AA46*AM$159/$BP46/1000)</f>
        <v>0</v>
      </c>
      <c r="AN46" s="15" t="n">
        <f aca="false">SUM(AC46:AM46)</f>
        <v>0</v>
      </c>
      <c r="AO46" s="15" t="n">
        <f aca="false">D46-AN46</f>
        <v>0</v>
      </c>
      <c r="AP46" s="421" t="n">
        <f aca="false">IF(D46=0,0,AO46/D46)</f>
        <v>0</v>
      </c>
      <c r="AQ46" s="75" t="n">
        <f aca="false">IF(AB46=0,0,AN46/AB46)*1000</f>
        <v>0</v>
      </c>
      <c r="AR46" s="340" t="n">
        <f aca="false">IF(C46=0,0,D46/C46)*1000</f>
        <v>0</v>
      </c>
      <c r="AS46" s="422" t="n">
        <f aca="false">IF($P46=0,"",Q46*1000/AS$159*$AD$159/14.696/$BP46/42)</f>
        <v>0</v>
      </c>
      <c r="AT46" s="15" t="n">
        <f aca="false">IF($P46=0,"",R46*1000/AT$159*$AD$159/14.696/$BP46/42)</f>
        <v>0</v>
      </c>
      <c r="AU46" s="15" t="n">
        <f aca="false">IF($P46=0,"",S46*1000/AU$159*$AD$159/14.696/$BP46/42)</f>
        <v>0</v>
      </c>
      <c r="AV46" s="15" t="n">
        <f aca="false">IF($P46=0,"",T46*1000/AV$159*$AD$159/14.696/$BP46/42)</f>
        <v>0</v>
      </c>
      <c r="AW46" s="15" t="n">
        <f aca="false">IF($P46=0,"",U46*1000/AW$159*$AD$159/14.696/$BP46/42)</f>
        <v>0</v>
      </c>
      <c r="AX46" s="15" t="n">
        <f aca="false">IF($P46=0,"",V46*1000/AX$159*$AD$159/14.696/$BP46/42)</f>
        <v>0</v>
      </c>
      <c r="AY46" s="15" t="n">
        <f aca="false">IF($P46=0,"",W46*1000/AY$159*$AD$159/14.696/$BP46/42)</f>
        <v>0</v>
      </c>
      <c r="AZ46" s="15" t="n">
        <f aca="false">IF($P46=0,"",X46*1000/AZ$159*$AD$159/14.696/$BP46/42)</f>
        <v>0</v>
      </c>
      <c r="BA46" s="15" t="n">
        <f aca="false">IF($P46=0,"",Y46*1000/BA$159*$AD$159/14.696/$BP46/42)</f>
        <v>0</v>
      </c>
      <c r="BB46" s="15" t="n">
        <f aca="false">IF($P46=0,"",Z46*1000/BB$159*$AD$159/14.696/$BP46/42)</f>
        <v>0</v>
      </c>
      <c r="BC46" s="15" t="n">
        <f aca="false">IF($P46=0,"",AA46*1000/BC$159*$AD$159/14.696/$BP46/42)</f>
        <v>0</v>
      </c>
      <c r="BD46" s="55" t="n">
        <f aca="false">SUM(AS46:BC46)</f>
        <v>0</v>
      </c>
      <c r="BE46" s="419" t="n">
        <f aca="false">IF($P46=0,"",E46/$P46*BE$159)</f>
        <v>3.51E-005</v>
      </c>
      <c r="BF46" s="420" t="n">
        <f aca="false">IF($P46=0,"",F46/$P46*BF$159)</f>
        <v>2.78902E-005</v>
      </c>
      <c r="BG46" s="420" t="n">
        <f aca="false">IF($P46=0,"",G46/$P46*BG$159)</f>
        <v>0.009972636</v>
      </c>
      <c r="BH46" s="420" t="n">
        <f aca="false">IF($P46=0,"",H46/$P46*BH$159)</f>
        <v>0.001718598</v>
      </c>
      <c r="BI46" s="420" t="n">
        <f aca="false">IF($P46=0,"",I46/$P46*BI$159)</f>
        <v>0.00112428</v>
      </c>
      <c r="BJ46" s="420" t="n">
        <f aca="false">IF($P46=0,"",J46/$P46*BJ$159)</f>
        <v>0.000190512</v>
      </c>
      <c r="BK46" s="420" t="n">
        <f aca="false">IF($P46=0,"",K46/$P46*BK$159)</f>
        <v>0.00051418</v>
      </c>
      <c r="BL46" s="420" t="n">
        <f aca="false">IF($P46=0,"",L46/$P46*BL$159)</f>
        <v>0.000166464</v>
      </c>
      <c r="BM46" s="420" t="n">
        <f aca="false">IF($P46=0,"",M46/$P46*BM$159)</f>
        <v>0.000213918</v>
      </c>
      <c r="BN46" s="420" t="n">
        <f aca="false">IF($P46=0,"",N46/$P46*BN$159)</f>
        <v>0.0005087193</v>
      </c>
      <c r="BO46" s="420" t="n">
        <f aca="false">IF($P46=0,"",O46/$P46*BO$159)</f>
        <v>0</v>
      </c>
      <c r="BP46" s="418" t="n">
        <f aca="false">1-AD$159*(SUM(BE46:BO46))^2</f>
        <v>0.996931595664297</v>
      </c>
    </row>
    <row r="47" customFormat="false" ht="15" hidden="false" customHeight="false" outlineLevel="0" collapsed="false">
      <c r="A47" s="413" t="s">
        <v>68</v>
      </c>
      <c r="B47" s="414" t="s">
        <v>255</v>
      </c>
      <c r="C47" s="415" t="n">
        <v>374548.34</v>
      </c>
      <c r="D47" s="416" t="n">
        <v>443090.69</v>
      </c>
      <c r="E47" s="417" t="n">
        <v>0.18</v>
      </c>
      <c r="F47" s="417" t="n">
        <v>0.631</v>
      </c>
      <c r="G47" s="417" t="n">
        <v>85.971</v>
      </c>
      <c r="H47" s="417" t="n">
        <v>7.221</v>
      </c>
      <c r="I47" s="417" t="n">
        <v>3.24</v>
      </c>
      <c r="J47" s="417" t="n">
        <v>0.432</v>
      </c>
      <c r="K47" s="417" t="n">
        <v>1.094</v>
      </c>
      <c r="L47" s="417" t="n">
        <v>0.289</v>
      </c>
      <c r="M47" s="417" t="n">
        <v>0.353</v>
      </c>
      <c r="N47" s="417" t="n">
        <v>0.589</v>
      </c>
      <c r="O47" s="76"/>
      <c r="P47" s="423" t="n">
        <f aca="false">SUM(E47:O47)</f>
        <v>100</v>
      </c>
      <c r="Q47" s="99" t="n">
        <f aca="false">IF($P47=0,"",$C47*E47/$P47)</f>
        <v>674.187012</v>
      </c>
      <c r="R47" s="100" t="n">
        <f aca="false">IF($P47=0,"",$C47*F47/$P47)</f>
        <v>2363.4000254</v>
      </c>
      <c r="S47" s="100" t="n">
        <f aca="false">IF($P47=0,"",$C47*G47/$P47)</f>
        <v>322002.9533814</v>
      </c>
      <c r="T47" s="100" t="n">
        <f aca="false">IF($P47=0,"",$C47*H47/$P47)</f>
        <v>27046.1356314</v>
      </c>
      <c r="U47" s="100" t="n">
        <f aca="false">IF($P47=0,"",$C47*I47/$P47)</f>
        <v>12135.366216</v>
      </c>
      <c r="V47" s="100" t="n">
        <f aca="false">IF($P47=0,"",$C47*J47/$P47)</f>
        <v>1618.0488288</v>
      </c>
      <c r="W47" s="100" t="n">
        <f aca="false">IF($P47=0,"",$C47*K47/$P47)</f>
        <v>4097.5588396</v>
      </c>
      <c r="X47" s="100" t="n">
        <f aca="false">IF($P47=0,"",$C47*L47/$P47)</f>
        <v>1082.4447026</v>
      </c>
      <c r="Y47" s="100" t="n">
        <f aca="false">IF($P47=0,"",$C47*M47/$P47)</f>
        <v>1322.1556402</v>
      </c>
      <c r="Z47" s="100" t="n">
        <f aca="false">IF($P47=0,"",$C47*N47/$P47)</f>
        <v>2206.0897226</v>
      </c>
      <c r="AA47" s="100" t="n">
        <f aca="false">IF($P47=0,"",$C47*O47/$P47)</f>
        <v>0</v>
      </c>
      <c r="AB47" s="101" t="n">
        <f aca="false">SUM(Q47:AA47)</f>
        <v>374548.34</v>
      </c>
      <c r="AC47" s="424"/>
      <c r="AD47" s="425"/>
      <c r="AE47" s="100" t="n">
        <f aca="false">IF($P47=0,"",S47*AE$159/$BP47/1000)</f>
        <v>325190.389064127</v>
      </c>
      <c r="AF47" s="100" t="n">
        <f aca="false">IF($P47=0,"",T47*AF$159/$BP47/1000)</f>
        <v>47861.6513795227</v>
      </c>
      <c r="AG47" s="100" t="n">
        <f aca="false">IF($P47=0,"",U47*AG$159/$BP47/1000)</f>
        <v>30531.6088639854</v>
      </c>
      <c r="AH47" s="100" t="n">
        <f aca="false">IF($P47=0,"",V47*AH$159/$BP47/1000)</f>
        <v>5261.37290776289</v>
      </c>
      <c r="AI47" s="100" t="n">
        <f aca="false">IF($P47=0,"",W47*AI$159/$BP47/1000)</f>
        <v>13366.6854979992</v>
      </c>
      <c r="AJ47" s="100" t="n">
        <f aca="false">IF($P47=0,"",X47*AJ$159/$BP47/1000)</f>
        <v>4330.51020814833</v>
      </c>
      <c r="AK47" s="100" t="n">
        <f aca="false">IF($P47=0,"",Y47*AK$159/$BP47/1000)</f>
        <v>5299.86048425575</v>
      </c>
      <c r="AL47" s="100" t="n">
        <f aca="false">IF($P47=0,"",Z47*AL$159/$BP47/1000)</f>
        <v>11314.8966475296</v>
      </c>
      <c r="AM47" s="100" t="n">
        <f aca="false">IF($P47=0,"",AA47*AM$159/$BP47/1000)</f>
        <v>0</v>
      </c>
      <c r="AN47" s="100" t="n">
        <f aca="false">SUM(AC47:AM47)</f>
        <v>443156.975053331</v>
      </c>
      <c r="AO47" s="100" t="n">
        <f aca="false">D47-AN47</f>
        <v>-66.2850533306482</v>
      </c>
      <c r="AP47" s="426" t="n">
        <f aca="false">IF(D47=0,0,AO47/D47)</f>
        <v>-0.000149597034707834</v>
      </c>
      <c r="AQ47" s="427" t="n">
        <f aca="false">IF(AB47=0,0,AN47/AB47)*1000</f>
        <v>1183.17698338572</v>
      </c>
      <c r="AR47" s="428" t="n">
        <f aca="false">IF(C47=0,0,D47/C47)*1000</f>
        <v>1183.00001009216</v>
      </c>
      <c r="AS47" s="429" t="n">
        <f aca="false">IF($P47=0,"",Q47*1000/AS$159*$AD$159/14.696/$BP47/42)</f>
        <v>273.228445642453</v>
      </c>
      <c r="AT47" s="100" t="n">
        <f aca="false">IF($P47=0,"",R47*1000/AT$159*$AD$159/14.696/$BP47/42)</f>
        <v>617.460567487854</v>
      </c>
      <c r="AU47" s="100" t="n">
        <f aca="false">IF($P47=0,"",S47*1000/AU$159*$AD$159/14.696/$BP47/42)</f>
        <v>129633.442095271</v>
      </c>
      <c r="AV47" s="100" t="n">
        <f aca="false">IF($P47=0,"",T47*1000/AV$159*$AD$159/14.696/$BP47/42)</f>
        <v>17176.5833468406</v>
      </c>
      <c r="AW47" s="100" t="n">
        <f aca="false">IF($P47=0,"",U47*1000/AW$159*$AD$159/14.696/$BP47/42)</f>
        <v>7939.30941218454</v>
      </c>
      <c r="AX47" s="100" t="n">
        <f aca="false">IF($P47=0,"",V47*1000/AX$159*$AD$159/14.696/$BP47/42)</f>
        <v>1257.38772864535</v>
      </c>
      <c r="AY47" s="100" t="n">
        <f aca="false">IF($P47=0,"",W47*1000/AY$159*$AD$159/14.696/$BP47/42)</f>
        <v>3067.667268478</v>
      </c>
      <c r="AZ47" s="100" t="n">
        <f aca="false">IF($P47=0,"",X47*1000/AZ$159*$AD$159/14.696/$BP47/42)</f>
        <v>940.063394082632</v>
      </c>
      <c r="BA47" s="100" t="n">
        <f aca="false">IF($P47=0,"",Y47*1000/BA$159*$AD$159/14.696/$BP47/42)</f>
        <v>1138.11367185347</v>
      </c>
      <c r="BB47" s="100" t="n">
        <f aca="false">IF($P47=0,"",Z47*1000/BB$159*$AD$159/14.696/$BP47/42)</f>
        <v>2273.31609237508</v>
      </c>
      <c r="BC47" s="100" t="n">
        <f aca="false">IF($P47=0,"",AA47*1000/BC$159*$AD$159/14.696/$BP47/42)</f>
        <v>0</v>
      </c>
      <c r="BD47" s="430" t="n">
        <f aca="false">SUM(AS47:BC47)</f>
        <v>164316.572022861</v>
      </c>
      <c r="BE47" s="424" t="n">
        <f aca="false">IF($P47=0,"",E47/$P47*BE$159)</f>
        <v>3.51E-005</v>
      </c>
      <c r="BF47" s="425" t="n">
        <f aca="false">IF($P47=0,"",F47/$P47*BF$159)</f>
        <v>2.78902E-005</v>
      </c>
      <c r="BG47" s="425" t="n">
        <f aca="false">IF($P47=0,"",G47/$P47*BG$159)</f>
        <v>0.009972636</v>
      </c>
      <c r="BH47" s="425" t="n">
        <f aca="false">IF($P47=0,"",H47/$P47*BH$159)</f>
        <v>0.001718598</v>
      </c>
      <c r="BI47" s="425" t="n">
        <f aca="false">IF($P47=0,"",I47/$P47*BI$159)</f>
        <v>0.00112428</v>
      </c>
      <c r="BJ47" s="425" t="n">
        <f aca="false">IF($P47=0,"",J47/$P47*BJ$159)</f>
        <v>0.000190512</v>
      </c>
      <c r="BK47" s="425" t="n">
        <f aca="false">IF($P47=0,"",K47/$P47*BK$159)</f>
        <v>0.00051418</v>
      </c>
      <c r="BL47" s="425" t="n">
        <f aca="false">IF($P47=0,"",L47/$P47*BL$159)</f>
        <v>0.000166464</v>
      </c>
      <c r="BM47" s="425" t="n">
        <f aca="false">IF($P47=0,"",M47/$P47*BM$159)</f>
        <v>0.000213918</v>
      </c>
      <c r="BN47" s="425" t="n">
        <f aca="false">IF($P47=0,"",N47/$P47*BN$159)</f>
        <v>0.0005087193</v>
      </c>
      <c r="BO47" s="425" t="n">
        <f aca="false">IF($P47=0,"",O47/$P47*BO$159)</f>
        <v>0</v>
      </c>
      <c r="BP47" s="423" t="n">
        <f aca="false">1-AD$159*(SUM(BE47:BO47))^2</f>
        <v>0.996931595664297</v>
      </c>
    </row>
    <row r="48" customFormat="false" ht="15" hidden="false" customHeight="false" outlineLevel="0" collapsed="false">
      <c r="A48" s="413" t="s">
        <v>69</v>
      </c>
      <c r="B48" s="414" t="s">
        <v>256</v>
      </c>
      <c r="C48" s="415" t="n">
        <v>70367.31</v>
      </c>
      <c r="D48" s="416" t="n">
        <v>85355.54</v>
      </c>
      <c r="E48" s="417" t="n">
        <v>0.419</v>
      </c>
      <c r="F48" s="417" t="n">
        <v>0.77</v>
      </c>
      <c r="G48" s="417" t="n">
        <v>82.547</v>
      </c>
      <c r="H48" s="417" t="n">
        <v>8.933</v>
      </c>
      <c r="I48" s="417" t="n">
        <v>4.244</v>
      </c>
      <c r="J48" s="417" t="n">
        <v>0.497</v>
      </c>
      <c r="K48" s="417" t="n">
        <v>1.429</v>
      </c>
      <c r="L48" s="417" t="n">
        <v>0.306</v>
      </c>
      <c r="M48" s="417" t="n">
        <v>0.393</v>
      </c>
      <c r="N48" s="417" t="n">
        <v>0.462</v>
      </c>
      <c r="O48" s="76"/>
      <c r="P48" s="418" t="n">
        <f aca="false">SUM(E48:O48)</f>
        <v>100</v>
      </c>
      <c r="Q48" s="14" t="n">
        <f aca="false">IF($P48=0,"",$C48*E48/$P48)</f>
        <v>294.8390289</v>
      </c>
      <c r="R48" s="15" t="n">
        <f aca="false">IF($P48=0,"",$C48*F48/$P48)</f>
        <v>541.828287</v>
      </c>
      <c r="S48" s="15" t="n">
        <f aca="false">IF($P48=0,"",$C48*G48/$P48)</f>
        <v>58086.1033857</v>
      </c>
      <c r="T48" s="15" t="n">
        <f aca="false">IF($P48=0,"",$C48*H48/$P48)</f>
        <v>6285.9118023</v>
      </c>
      <c r="U48" s="15" t="n">
        <f aca="false">IF($P48=0,"",$C48*I48/$P48)</f>
        <v>2986.3886364</v>
      </c>
      <c r="V48" s="15" t="n">
        <f aca="false">IF($P48=0,"",$C48*J48/$P48)</f>
        <v>349.7255307</v>
      </c>
      <c r="W48" s="15" t="n">
        <f aca="false">IF($P48=0,"",$C48*K48/$P48)</f>
        <v>1005.5488599</v>
      </c>
      <c r="X48" s="15" t="n">
        <f aca="false">IF($P48=0,"",$C48*L48/$P48)</f>
        <v>215.3239686</v>
      </c>
      <c r="Y48" s="15" t="n">
        <f aca="false">IF($P48=0,"",$C48*M48/$P48)</f>
        <v>276.5435283</v>
      </c>
      <c r="Z48" s="15" t="n">
        <f aca="false">IF($P48=0,"",$C48*N48/$P48)</f>
        <v>325.0969722</v>
      </c>
      <c r="AA48" s="15" t="n">
        <f aca="false">IF($P48=0,"",$C48*O48/$P48)</f>
        <v>0</v>
      </c>
      <c r="AB48" s="16" t="n">
        <f aca="false">SUM(Q48:AA48)</f>
        <v>70367.31</v>
      </c>
      <c r="AC48" s="419"/>
      <c r="AD48" s="420"/>
      <c r="AE48" s="15" t="n">
        <f aca="false">IF($P48=0,"",S48*AE$159/$BP48/1000)</f>
        <v>58674.3437128812</v>
      </c>
      <c r="AF48" s="15" t="n">
        <f aca="false">IF($P48=0,"",T48*AF$159/$BP48/1000)</f>
        <v>11126.2519743383</v>
      </c>
      <c r="AG48" s="15" t="n">
        <f aca="false">IF($P48=0,"",U48*AG$159/$BP48/1000)</f>
        <v>7515.21272359299</v>
      </c>
      <c r="AH48" s="15" t="n">
        <f aca="false">IF($P48=0,"",V48*AH$159/$BP48/1000)</f>
        <v>1137.4516606997</v>
      </c>
      <c r="AI48" s="15" t="n">
        <f aca="false">IF($P48=0,"",W48*AI$159/$BP48/1000)</f>
        <v>3280.95187026976</v>
      </c>
      <c r="AJ48" s="15" t="n">
        <f aca="false">IF($P48=0,"",X48*AJ$159/$BP48/1000)</f>
        <v>861.636074448116</v>
      </c>
      <c r="AK48" s="15" t="n">
        <f aca="false">IF($P48=0,"",Y48*AK$159/$BP48/1000)</f>
        <v>1108.77520439901</v>
      </c>
      <c r="AL48" s="15" t="n">
        <f aca="false">IF($P48=0,"",Z48*AL$159/$BP48/1000)</f>
        <v>1667.77897737677</v>
      </c>
      <c r="AM48" s="15" t="n">
        <f aca="false">IF($P48=0,"",AA48*AM$159/$BP48/1000)</f>
        <v>0</v>
      </c>
      <c r="AN48" s="15" t="n">
        <f aca="false">SUM(AC48:AM48)</f>
        <v>85372.4021980059</v>
      </c>
      <c r="AO48" s="15" t="n">
        <f aca="false">D48-AN48</f>
        <v>-16.8621980059106</v>
      </c>
      <c r="AP48" s="421" t="n">
        <f aca="false">IF(D48=0,0,AO48/D48)</f>
        <v>-0.00019755247293744</v>
      </c>
      <c r="AQ48" s="75" t="n">
        <f aca="false">IF(AB48=0,0,AN48/AB48)*1000</f>
        <v>1213.23953122559</v>
      </c>
      <c r="AR48" s="340" t="n">
        <f aca="false">IF(C48=0,0,D48/C48)*1000</f>
        <v>1212.99990009566</v>
      </c>
      <c r="AS48" s="422" t="n">
        <f aca="false">IF($P48=0,"",Q48*1000/AS$159*$AD$159/14.696/$BP48/42)</f>
        <v>119.516716276626</v>
      </c>
      <c r="AT48" s="15" t="n">
        <f aca="false">IF($P48=0,"",R48*1000/AT$159*$AD$159/14.696/$BP48/42)</f>
        <v>141.5897505724</v>
      </c>
      <c r="AU48" s="15" t="n">
        <f aca="false">IF($P48=0,"",S48*1000/AU$159*$AD$159/14.696/$BP48/42)</f>
        <v>23389.858353661</v>
      </c>
      <c r="AV48" s="15" t="n">
        <f aca="false">IF($P48=0,"",T48*1000/AV$159*$AD$159/14.696/$BP48/42)</f>
        <v>3992.98789044579</v>
      </c>
      <c r="AW48" s="15" t="n">
        <f aca="false">IF($P48=0,"",U48*1000/AW$159*$AD$159/14.696/$BP48/42)</f>
        <v>1954.22387915402</v>
      </c>
      <c r="AX48" s="15" t="n">
        <f aca="false">IF($P48=0,"",V48*1000/AX$159*$AD$159/14.696/$BP48/42)</f>
        <v>271.833566098473</v>
      </c>
      <c r="AY48" s="15" t="n">
        <f aca="false">IF($P48=0,"",W48*1000/AY$159*$AD$159/14.696/$BP48/42)</f>
        <v>752.981632087086</v>
      </c>
      <c r="AZ48" s="15" t="n">
        <f aca="false">IF($P48=0,"",X48*1000/AZ$159*$AD$159/14.696/$BP48/42)</f>
        <v>187.043210540329</v>
      </c>
      <c r="BA48" s="15" t="n">
        <f aca="false">IF($P48=0,"",Y48*1000/BA$159*$AD$159/14.696/$BP48/42)</f>
        <v>238.102912876176</v>
      </c>
      <c r="BB48" s="15" t="n">
        <f aca="false">IF($P48=0,"",Z48*1000/BB$159*$AD$159/14.696/$BP48/42)</f>
        <v>335.079400714033</v>
      </c>
      <c r="BC48" s="15" t="n">
        <f aca="false">IF($P48=0,"",AA48*1000/BC$159*$AD$159/14.696/$BP48/42)</f>
        <v>0</v>
      </c>
      <c r="BD48" s="55" t="n">
        <f aca="false">SUM(AS48:BC48)</f>
        <v>31383.2173124259</v>
      </c>
      <c r="BE48" s="419" t="n">
        <f aca="false">IF($P48=0,"",E48/$P48*BE$159)</f>
        <v>8.1705E-005</v>
      </c>
      <c r="BF48" s="420" t="n">
        <f aca="false">IF($P48=0,"",F48/$P48*BF$159)</f>
        <v>3.4034E-005</v>
      </c>
      <c r="BG48" s="420" t="n">
        <f aca="false">IF($P48=0,"",G48/$P48*BG$159)</f>
        <v>0.009575452</v>
      </c>
      <c r="BH48" s="420" t="n">
        <f aca="false">IF($P48=0,"",H48/$P48*BH$159)</f>
        <v>0.002126054</v>
      </c>
      <c r="BI48" s="420" t="n">
        <f aca="false">IF($P48=0,"",I48/$P48*BI$159)</f>
        <v>0.001472668</v>
      </c>
      <c r="BJ48" s="420" t="n">
        <f aca="false">IF($P48=0,"",J48/$P48*BJ$159)</f>
        <v>0.000219177</v>
      </c>
      <c r="BK48" s="420" t="n">
        <f aca="false">IF($P48=0,"",K48/$P48*BK$159)</f>
        <v>0.00067163</v>
      </c>
      <c r="BL48" s="420" t="n">
        <f aca="false">IF($P48=0,"",L48/$P48*BL$159)</f>
        <v>0.000176256</v>
      </c>
      <c r="BM48" s="420" t="n">
        <f aca="false">IF($P48=0,"",M48/$P48*BM$159)</f>
        <v>0.000238158</v>
      </c>
      <c r="BN48" s="420" t="n">
        <f aca="false">IF($P48=0,"",N48/$P48*BN$159)</f>
        <v>0.0003990294</v>
      </c>
      <c r="BO48" s="420" t="n">
        <f aca="false">IF($P48=0,"",O48/$P48*BO$159)</f>
        <v>0</v>
      </c>
      <c r="BP48" s="418" t="n">
        <f aca="false">1-AD$159*(SUM(BE48:BO48))^2</f>
        <v>0.996706314686635</v>
      </c>
    </row>
    <row r="49" customFormat="false" ht="15" hidden="false" customHeight="false" outlineLevel="0" collapsed="false">
      <c r="A49" s="413" t="s">
        <v>70</v>
      </c>
      <c r="B49" s="414" t="s">
        <v>257</v>
      </c>
      <c r="C49" s="415" t="n">
        <v>24409.81</v>
      </c>
      <c r="D49" s="416" t="n">
        <v>29755.56</v>
      </c>
      <c r="E49" s="417" t="n">
        <v>0.226</v>
      </c>
      <c r="F49" s="417" t="n">
        <v>0.596</v>
      </c>
      <c r="G49" s="417" t="n">
        <v>84.175</v>
      </c>
      <c r="H49" s="417" t="n">
        <v>7.74</v>
      </c>
      <c r="I49" s="417" t="n">
        <v>3.77</v>
      </c>
      <c r="J49" s="417" t="n">
        <v>0.51</v>
      </c>
      <c r="K49" s="417" t="n">
        <v>1.289</v>
      </c>
      <c r="L49" s="417" t="n">
        <v>0.342</v>
      </c>
      <c r="M49" s="417" t="n">
        <v>0.414</v>
      </c>
      <c r="N49" s="417" t="n">
        <v>0.938</v>
      </c>
      <c r="O49" s="76"/>
      <c r="P49" s="423" t="n">
        <f aca="false">SUM(E49:O49)</f>
        <v>100</v>
      </c>
      <c r="Q49" s="99" t="n">
        <f aca="false">IF($P49=0,"",$C49*E49/$P49)</f>
        <v>55.1661706</v>
      </c>
      <c r="R49" s="100" t="n">
        <f aca="false">IF($P49=0,"",$C49*F49/$P49)</f>
        <v>145.4824676</v>
      </c>
      <c r="S49" s="100" t="n">
        <f aca="false">IF($P49=0,"",$C49*G49/$P49)</f>
        <v>20546.9575675</v>
      </c>
      <c r="T49" s="100" t="n">
        <f aca="false">IF($P49=0,"",$C49*H49/$P49)</f>
        <v>1889.319294</v>
      </c>
      <c r="U49" s="100" t="n">
        <f aca="false">IF($P49=0,"",$C49*I49/$P49)</f>
        <v>920.249837</v>
      </c>
      <c r="V49" s="100" t="n">
        <f aca="false">IF($P49=0,"",$C49*J49/$P49)</f>
        <v>124.490031</v>
      </c>
      <c r="W49" s="100" t="n">
        <f aca="false">IF($P49=0,"",$C49*K49/$P49)</f>
        <v>314.6424509</v>
      </c>
      <c r="X49" s="100" t="n">
        <f aca="false">IF($P49=0,"",$C49*L49/$P49)</f>
        <v>83.4815502</v>
      </c>
      <c r="Y49" s="100" t="n">
        <f aca="false">IF($P49=0,"",$C49*M49/$P49)</f>
        <v>101.0566134</v>
      </c>
      <c r="Z49" s="100" t="n">
        <f aca="false">IF($P49=0,"",$C49*N49/$P49)</f>
        <v>228.9640178</v>
      </c>
      <c r="AA49" s="100" t="n">
        <f aca="false">IF($P49=0,"",$C49*O49/$P49)</f>
        <v>0</v>
      </c>
      <c r="AB49" s="101" t="n">
        <f aca="false">SUM(Q49:AA49)</f>
        <v>24409.81</v>
      </c>
      <c r="AC49" s="424"/>
      <c r="AD49" s="425"/>
      <c r="AE49" s="100" t="n">
        <f aca="false">IF($P49=0,"",S49*AE$159/$BP49/1000)</f>
        <v>20755.767856769</v>
      </c>
      <c r="AF49" s="100" t="n">
        <f aca="false">IF($P49=0,"",T49*AF$159/$BP49/1000)</f>
        <v>3344.26936987131</v>
      </c>
      <c r="AG49" s="100" t="n">
        <f aca="false">IF($P49=0,"",U49*AG$159/$BP49/1000)</f>
        <v>2315.87964959832</v>
      </c>
      <c r="AH49" s="100" t="n">
        <f aca="false">IF($P49=0,"",V49*AH$159/$BP49/1000)</f>
        <v>404.907172448106</v>
      </c>
      <c r="AI49" s="100" t="n">
        <f aca="false">IF($P49=0,"",W49*AI$159/$BP49/1000)</f>
        <v>1026.66624048223</v>
      </c>
      <c r="AJ49" s="100" t="n">
        <f aca="false">IF($P49=0,"",X49*AJ$159/$BP49/1000)</f>
        <v>334.069853311336</v>
      </c>
      <c r="AK49" s="100" t="n">
        <f aca="false">IF($P49=0,"",Y49*AK$159/$BP49/1000)</f>
        <v>405.19122296058</v>
      </c>
      <c r="AL49" s="100" t="n">
        <f aca="false">IF($P49=0,"",Z49*AL$159/$BP49/1000)</f>
        <v>1174.64894067542</v>
      </c>
      <c r="AM49" s="100" t="n">
        <f aca="false">IF($P49=0,"",AA49*AM$159/$BP49/1000)</f>
        <v>0</v>
      </c>
      <c r="AN49" s="100" t="n">
        <f aca="false">SUM(AC49:AM49)</f>
        <v>29761.4003061163</v>
      </c>
      <c r="AO49" s="100" t="n">
        <f aca="false">D49-AN49</f>
        <v>-5.84030611628623</v>
      </c>
      <c r="AP49" s="426" t="n">
        <f aca="false">IF(D49=0,0,AO49/D49)</f>
        <v>-0.000196276128437382</v>
      </c>
      <c r="AQ49" s="427" t="n">
        <f aca="false">IF(AB49=0,0,AN49/AB49)*1000</f>
        <v>1219.2393265706</v>
      </c>
      <c r="AR49" s="428" t="n">
        <f aca="false">IF(C49=0,0,D49/C49)*1000</f>
        <v>1219.00006595709</v>
      </c>
      <c r="AS49" s="429" t="n">
        <f aca="false">IF($P49=0,"",Q49*1000/AS$159*$AD$159/14.696/$BP49/42)</f>
        <v>22.3630895014218</v>
      </c>
      <c r="AT49" s="100" t="n">
        <f aca="false">IF($P49=0,"",R49*1000/AT$159*$AD$159/14.696/$BP49/42)</f>
        <v>38.0185968742845</v>
      </c>
      <c r="AU49" s="100" t="n">
        <f aca="false">IF($P49=0,"",S49*1000/AU$159*$AD$159/14.696/$BP49/42)</f>
        <v>8274.05028281069</v>
      </c>
      <c r="AV49" s="100" t="n">
        <f aca="false">IF($P49=0,"",T49*1000/AV$159*$AD$159/14.696/$BP49/42)</f>
        <v>1200.19096521307</v>
      </c>
      <c r="AW49" s="100" t="n">
        <f aca="false">IF($P49=0,"",U49*1000/AW$159*$AD$159/14.696/$BP49/42)</f>
        <v>602.211471444302</v>
      </c>
      <c r="AX49" s="100" t="n">
        <f aca="false">IF($P49=0,"",V49*1000/AX$159*$AD$159/14.696/$BP49/42)</f>
        <v>96.7666270386476</v>
      </c>
      <c r="AY49" s="100" t="n">
        <f aca="false">IF($P49=0,"",W49*1000/AY$159*$AD$159/14.696/$BP49/42)</f>
        <v>235.620896597748</v>
      </c>
      <c r="AZ49" s="100" t="n">
        <f aca="false">IF($P49=0,"",X49*1000/AZ$159*$AD$159/14.696/$BP49/42)</f>
        <v>72.5195935512699</v>
      </c>
      <c r="BA49" s="100" t="n">
        <f aca="false">IF($P49=0,"",Y49*1000/BA$159*$AD$159/14.696/$BP49/42)</f>
        <v>87.0124170129396</v>
      </c>
      <c r="BB49" s="100" t="n">
        <f aca="false">IF($P49=0,"",Z49*1000/BB$159*$AD$159/14.696/$BP49/42)</f>
        <v>236.00289272742</v>
      </c>
      <c r="BC49" s="100" t="n">
        <f aca="false">IF($P49=0,"",AA49*1000/BC$159*$AD$159/14.696/$BP49/42)</f>
        <v>0</v>
      </c>
      <c r="BD49" s="430" t="n">
        <f aca="false">SUM(AS49:BC49)</f>
        <v>10864.7568327718</v>
      </c>
      <c r="BE49" s="424" t="n">
        <f aca="false">IF($P49=0,"",E49/$P49*BE$159)</f>
        <v>4.407E-005</v>
      </c>
      <c r="BF49" s="425" t="n">
        <f aca="false">IF($P49=0,"",F49/$P49*BF$159)</f>
        <v>2.63432E-005</v>
      </c>
      <c r="BG49" s="425" t="n">
        <f aca="false">IF($P49=0,"",G49/$P49*BG$159)</f>
        <v>0.0097643</v>
      </c>
      <c r="BH49" s="425" t="n">
        <f aca="false">IF($P49=0,"",H49/$P49*BH$159)</f>
        <v>0.00184212</v>
      </c>
      <c r="BI49" s="425" t="n">
        <f aca="false">IF($P49=0,"",I49/$P49*BI$159)</f>
        <v>0.00130819</v>
      </c>
      <c r="BJ49" s="425" t="n">
        <f aca="false">IF($P49=0,"",J49/$P49*BJ$159)</f>
        <v>0.00022491</v>
      </c>
      <c r="BK49" s="425" t="n">
        <f aca="false">IF($P49=0,"",K49/$P49*BK$159)</f>
        <v>0.00060583</v>
      </c>
      <c r="BL49" s="425" t="n">
        <f aca="false">IF($P49=0,"",L49/$P49*BL$159)</f>
        <v>0.000196992</v>
      </c>
      <c r="BM49" s="425" t="n">
        <f aca="false">IF($P49=0,"",M49/$P49*BM$159)</f>
        <v>0.000250884</v>
      </c>
      <c r="BN49" s="425" t="n">
        <f aca="false">IF($P49=0,"",N49/$P49*BN$159)</f>
        <v>0.0008101506</v>
      </c>
      <c r="BO49" s="425" t="n">
        <f aca="false">IF($P49=0,"",O49/$P49*BO$159)</f>
        <v>0</v>
      </c>
      <c r="BP49" s="423" t="n">
        <f aca="false">1-AD$159*(SUM(BE49:BO49))^2</f>
        <v>0.996671239614608</v>
      </c>
    </row>
    <row r="50" customFormat="false" ht="15" hidden="false" customHeight="false" outlineLevel="0" collapsed="false">
      <c r="A50" s="413" t="s">
        <v>71</v>
      </c>
      <c r="B50" s="414" t="s">
        <v>258</v>
      </c>
      <c r="C50" s="415" t="n">
        <v>45054.18</v>
      </c>
      <c r="D50" s="416" t="n">
        <v>55281.48</v>
      </c>
      <c r="E50" s="417" t="n">
        <v>0.121</v>
      </c>
      <c r="F50" s="417" t="n">
        <v>0.673</v>
      </c>
      <c r="G50" s="417" t="n">
        <v>84.205</v>
      </c>
      <c r="H50" s="417" t="n">
        <v>7.615</v>
      </c>
      <c r="I50" s="417" t="n">
        <v>3.665</v>
      </c>
      <c r="J50" s="417" t="n">
        <v>0.5</v>
      </c>
      <c r="K50" s="417" t="n">
        <v>1.279</v>
      </c>
      <c r="L50" s="417" t="n">
        <v>0.353</v>
      </c>
      <c r="M50" s="417" t="n">
        <v>0.431</v>
      </c>
      <c r="N50" s="417" t="n">
        <v>1.158</v>
      </c>
      <c r="O50" s="76"/>
      <c r="P50" s="418" t="n">
        <f aca="false">SUM(E50:O50)</f>
        <v>100</v>
      </c>
      <c r="Q50" s="14" t="n">
        <f aca="false">IF($P50=0,"",$C50*E50/$P50)</f>
        <v>54.5155578</v>
      </c>
      <c r="R50" s="15" t="n">
        <f aca="false">IF($P50=0,"",$C50*F50/$P50)</f>
        <v>303.2146314</v>
      </c>
      <c r="S50" s="15" t="n">
        <f aca="false">IF($P50=0,"",$C50*G50/$P50)</f>
        <v>37937.872269</v>
      </c>
      <c r="T50" s="15" t="n">
        <f aca="false">IF($P50=0,"",$C50*H50/$P50)</f>
        <v>3430.875807</v>
      </c>
      <c r="U50" s="15" t="n">
        <f aca="false">IF($P50=0,"",$C50*I50/$P50)</f>
        <v>1651.235697</v>
      </c>
      <c r="V50" s="15" t="n">
        <f aca="false">IF($P50=0,"",$C50*J50/$P50)</f>
        <v>225.2709</v>
      </c>
      <c r="W50" s="15" t="n">
        <f aca="false">IF($P50=0,"",$C50*K50/$P50)</f>
        <v>576.2429622</v>
      </c>
      <c r="X50" s="15" t="n">
        <f aca="false">IF($P50=0,"",$C50*L50/$P50)</f>
        <v>159.0412554</v>
      </c>
      <c r="Y50" s="15" t="n">
        <f aca="false">IF($P50=0,"",$C50*M50/$P50)</f>
        <v>194.1835158</v>
      </c>
      <c r="Z50" s="15" t="n">
        <f aca="false">IF($P50=0,"",$C50*N50/$P50)</f>
        <v>521.7274044</v>
      </c>
      <c r="AA50" s="15" t="n">
        <f aca="false">IF($P50=0,"",$C50*O50/$P50)</f>
        <v>0</v>
      </c>
      <c r="AB50" s="16" t="n">
        <f aca="false">SUM(Q50:AA50)</f>
        <v>45054.18</v>
      </c>
      <c r="AC50" s="419"/>
      <c r="AD50" s="420"/>
      <c r="AE50" s="15" t="n">
        <f aca="false">IF($P50=0,"",S50*AE$159/$BP50/1000)</f>
        <v>38325.4271524517</v>
      </c>
      <c r="AF50" s="15" t="n">
        <f aca="false">IF($P50=0,"",T50*AF$159/$BP50/1000)</f>
        <v>6073.28472903626</v>
      </c>
      <c r="AG50" s="15" t="n">
        <f aca="false">IF($P50=0,"",U50*AG$159/$BP50/1000)</f>
        <v>4155.67962858856</v>
      </c>
      <c r="AH50" s="15" t="n">
        <f aca="false">IF($P50=0,"",V50*AH$159/$BP50/1000)</f>
        <v>732.738046329215</v>
      </c>
      <c r="AI50" s="15" t="n">
        <f aca="false">IF($P50=0,"",W50*AI$159/$BP50/1000)</f>
        <v>1880.35717999667</v>
      </c>
      <c r="AJ50" s="15" t="n">
        <f aca="false">IF($P50=0,"",X50*AJ$159/$BP50/1000)</f>
        <v>636.472039772183</v>
      </c>
      <c r="AK50" s="15" t="n">
        <f aca="false">IF($P50=0,"",Y50*AK$159/$BP50/1000)</f>
        <v>778.628690809938</v>
      </c>
      <c r="AL50" s="15" t="n">
        <f aca="false">IF($P50=0,"",Z50*AL$159/$BP50/1000)</f>
        <v>2676.74658030789</v>
      </c>
      <c r="AM50" s="15" t="n">
        <f aca="false">IF($P50=0,"",AA50*AM$159/$BP50/1000)</f>
        <v>0</v>
      </c>
      <c r="AN50" s="15" t="n">
        <f aca="false">SUM(AC50:AM50)</f>
        <v>55259.3340472924</v>
      </c>
      <c r="AO50" s="15" t="n">
        <f aca="false">D50-AN50</f>
        <v>22.145952707564</v>
      </c>
      <c r="AP50" s="421" t="n">
        <f aca="false">IF(D50=0,0,AO50/D50)</f>
        <v>0.000400603469870271</v>
      </c>
      <c r="AQ50" s="75" t="n">
        <f aca="false">IF(AB50=0,0,AN50/AB50)*1000</f>
        <v>1226.5084848352</v>
      </c>
      <c r="AR50" s="340" t="n">
        <f aca="false">IF(C50=0,0,D50/C50)*1000</f>
        <v>1227.00002530287</v>
      </c>
      <c r="AS50" s="422" t="n">
        <f aca="false">IF($P50=0,"",Q50*1000/AS$159*$AD$159/14.696/$BP50/42)</f>
        <v>22.100503968868</v>
      </c>
      <c r="AT50" s="15" t="n">
        <f aca="false">IF($P50=0,"",R50*1000/AT$159*$AD$159/14.696/$BP50/42)</f>
        <v>79.2425300551178</v>
      </c>
      <c r="AU50" s="15" t="n">
        <f aca="false">IF($P50=0,"",S50*1000/AU$159*$AD$159/14.696/$BP50/42)</f>
        <v>15277.9947028636</v>
      </c>
      <c r="AV50" s="15" t="n">
        <f aca="false">IF($P50=0,"",T50*1000/AV$159*$AD$159/14.696/$BP50/42)</f>
        <v>2179.57964948149</v>
      </c>
      <c r="AW50" s="15" t="n">
        <f aca="false">IF($P50=0,"",U50*1000/AW$159*$AD$159/14.696/$BP50/42)</f>
        <v>1080.62521488001</v>
      </c>
      <c r="AX50" s="15" t="n">
        <f aca="false">IF($P50=0,"",V50*1000/AX$159*$AD$159/14.696/$BP50/42)</f>
        <v>175.113196482717</v>
      </c>
      <c r="AY50" s="15" t="n">
        <f aca="false">IF($P50=0,"",W50*1000/AY$159*$AD$159/14.696/$BP50/42)</f>
        <v>431.543794083194</v>
      </c>
      <c r="AZ50" s="15" t="n">
        <f aca="false">IF($P50=0,"",X50*1000/AZ$159*$AD$159/14.696/$BP50/42)</f>
        <v>138.16479749225</v>
      </c>
      <c r="BA50" s="15" t="n">
        <f aca="false">IF($P50=0,"",Y50*1000/BA$159*$AD$159/14.696/$BP50/42)</f>
        <v>167.205903049842</v>
      </c>
      <c r="BB50" s="15" t="n">
        <f aca="false">IF($P50=0,"",Z50*1000/BB$159*$AD$159/14.696/$BP50/42)</f>
        <v>537.794667134891</v>
      </c>
      <c r="BC50" s="15" t="n">
        <f aca="false">IF($P50=0,"",AA50*1000/BC$159*$AD$159/14.696/$BP50/42)</f>
        <v>0</v>
      </c>
      <c r="BD50" s="55" t="n">
        <f aca="false">SUM(AS50:BC50)</f>
        <v>20089.364959492</v>
      </c>
      <c r="BE50" s="419" t="n">
        <f aca="false">IF($P50=0,"",E50/$P50*BE$159)</f>
        <v>2.3595E-005</v>
      </c>
      <c r="BF50" s="420" t="n">
        <f aca="false">IF($P50=0,"",F50/$P50*BF$159)</f>
        <v>2.97466E-005</v>
      </c>
      <c r="BG50" s="420" t="n">
        <f aca="false">IF($P50=0,"",G50/$P50*BG$159)</f>
        <v>0.00976778</v>
      </c>
      <c r="BH50" s="420" t="n">
        <f aca="false">IF($P50=0,"",H50/$P50*BH$159)</f>
        <v>0.00181237</v>
      </c>
      <c r="BI50" s="420" t="n">
        <f aca="false">IF($P50=0,"",I50/$P50*BI$159)</f>
        <v>0.001271755</v>
      </c>
      <c r="BJ50" s="420" t="n">
        <f aca="false">IF($P50=0,"",J50/$P50*BJ$159)</f>
        <v>0.0002205</v>
      </c>
      <c r="BK50" s="420" t="n">
        <f aca="false">IF($P50=0,"",K50/$P50*BK$159)</f>
        <v>0.00060113</v>
      </c>
      <c r="BL50" s="420" t="n">
        <f aca="false">IF($P50=0,"",L50/$P50*BL$159)</f>
        <v>0.000203328</v>
      </c>
      <c r="BM50" s="420" t="n">
        <f aca="false">IF($P50=0,"",M50/$P50*BM$159)</f>
        <v>0.000261186</v>
      </c>
      <c r="BN50" s="420" t="n">
        <f aca="false">IF($P50=0,"",N50/$P50*BN$159)</f>
        <v>0.0010001646</v>
      </c>
      <c r="BO50" s="420" t="n">
        <f aca="false">IF($P50=0,"",O50/$P50*BO$159)</f>
        <v>0</v>
      </c>
      <c r="BP50" s="418" t="n">
        <f aca="false">1-AD$159*(SUM(BE50:BO50))^2</f>
        <v>0.996619023931368</v>
      </c>
    </row>
    <row r="51" customFormat="false" ht="15" hidden="false" customHeight="false" outlineLevel="0" collapsed="false">
      <c r="A51" s="413" t="s">
        <v>72</v>
      </c>
      <c r="B51" s="414" t="s">
        <v>259</v>
      </c>
      <c r="C51" s="415" t="n">
        <v>300611.73</v>
      </c>
      <c r="D51" s="416" t="n">
        <v>365543.87</v>
      </c>
      <c r="E51" s="417" t="n">
        <v>0.182</v>
      </c>
      <c r="F51" s="417" t="n">
        <v>0.667</v>
      </c>
      <c r="G51" s="417" t="n">
        <v>84.115</v>
      </c>
      <c r="H51" s="417" t="n">
        <v>7.703</v>
      </c>
      <c r="I51" s="417" t="n">
        <v>3.801</v>
      </c>
      <c r="J51" s="417" t="n">
        <v>0.53</v>
      </c>
      <c r="K51" s="417" t="n">
        <v>1.449</v>
      </c>
      <c r="L51" s="417" t="n">
        <v>0.406</v>
      </c>
      <c r="M51" s="417" t="n">
        <v>0.511</v>
      </c>
      <c r="N51" s="417" t="n">
        <v>0.636</v>
      </c>
      <c r="O51" s="76"/>
      <c r="P51" s="423" t="n">
        <f aca="false">SUM(E51:O51)</f>
        <v>100</v>
      </c>
      <c r="Q51" s="99" t="n">
        <f aca="false">IF($P51=0,"",$C51*E51/$P51)</f>
        <v>547.1133486</v>
      </c>
      <c r="R51" s="100" t="n">
        <f aca="false">IF($P51=0,"",$C51*F51/$P51)</f>
        <v>2005.0802391</v>
      </c>
      <c r="S51" s="100" t="n">
        <f aca="false">IF($P51=0,"",$C51*G51/$P51)</f>
        <v>252859.5566895</v>
      </c>
      <c r="T51" s="100" t="n">
        <f aca="false">IF($P51=0,"",$C51*H51/$P51)</f>
        <v>23156.1215619</v>
      </c>
      <c r="U51" s="100" t="n">
        <f aca="false">IF($P51=0,"",$C51*I51/$P51)</f>
        <v>11426.2518573</v>
      </c>
      <c r="V51" s="100" t="n">
        <f aca="false">IF($P51=0,"",$C51*J51/$P51)</f>
        <v>1593.242169</v>
      </c>
      <c r="W51" s="100" t="n">
        <f aca="false">IF($P51=0,"",$C51*K51/$P51)</f>
        <v>4355.8639677</v>
      </c>
      <c r="X51" s="100" t="n">
        <f aca="false">IF($P51=0,"",$C51*L51/$P51)</f>
        <v>1220.4836238</v>
      </c>
      <c r="Y51" s="100" t="n">
        <f aca="false">IF($P51=0,"",$C51*M51/$P51)</f>
        <v>1536.1259403</v>
      </c>
      <c r="Z51" s="100" t="n">
        <f aca="false">IF($P51=0,"",$C51*N51/$P51)</f>
        <v>1911.8906028</v>
      </c>
      <c r="AA51" s="100" t="n">
        <f aca="false">IF($P51=0,"",$C51*O51/$P51)</f>
        <v>0</v>
      </c>
      <c r="AB51" s="101" t="n">
        <f aca="false">SUM(Q51:AA51)</f>
        <v>300611.73</v>
      </c>
      <c r="AC51" s="424"/>
      <c r="AD51" s="425"/>
      <c r="AE51" s="100" t="n">
        <f aca="false">IF($P51=0,"",S51*AE$159/$BP51/1000)</f>
        <v>255418.925693794</v>
      </c>
      <c r="AF51" s="100" t="n">
        <f aca="false">IF($P51=0,"",T51*AF$159/$BP51/1000)</f>
        <v>40986.8113999548</v>
      </c>
      <c r="AG51" s="100" t="n">
        <f aca="false">IF($P51=0,"",U51*AG$159/$BP51/1000)</f>
        <v>28753.8796643514</v>
      </c>
      <c r="AH51" s="100" t="n">
        <f aca="false">IF($P51=0,"",V51*AH$159/$BP51/1000)</f>
        <v>5181.85323516941</v>
      </c>
      <c r="AI51" s="100" t="n">
        <f aca="false">IF($P51=0,"",W51*AI$159/$BP51/1000)</f>
        <v>14212.4416486172</v>
      </c>
      <c r="AJ51" s="100" t="n">
        <f aca="false">IF($P51=0,"",X51*AJ$159/$BP51/1000)</f>
        <v>4883.83697926884</v>
      </c>
      <c r="AK51" s="100" t="n">
        <f aca="false">IF($P51=0,"",Y51*AK$159/$BP51/1000)</f>
        <v>6158.9195804404</v>
      </c>
      <c r="AL51" s="100" t="n">
        <f aca="false">IF($P51=0,"",Z51*AL$159/$BP51/1000)</f>
        <v>9808.13226223336</v>
      </c>
      <c r="AM51" s="100" t="n">
        <f aca="false">IF($P51=0,"",AA51*AM$159/$BP51/1000)</f>
        <v>0</v>
      </c>
      <c r="AN51" s="100" t="n">
        <f aca="false">SUM(AC51:AM51)</f>
        <v>365404.80046383</v>
      </c>
      <c r="AO51" s="100" t="n">
        <f aca="false">D51-AN51</f>
        <v>139.069536170457</v>
      </c>
      <c r="AP51" s="426" t="n">
        <f aca="false">IF(D51=0,0,AO51/D51)</f>
        <v>0.000380445543158627</v>
      </c>
      <c r="AQ51" s="427" t="n">
        <f aca="false">IF(AB51=0,0,AN51/AB51)*1000</f>
        <v>1215.53739923532</v>
      </c>
      <c r="AR51" s="428" t="n">
        <f aca="false">IF(C51=0,0,D51/C51)*1000</f>
        <v>1216.0000210238</v>
      </c>
      <c r="AS51" s="429" t="n">
        <f aca="false">IF($P51=0,"",Q51*1000/AS$159*$AD$159/14.696/$BP51/42)</f>
        <v>221.778119041222</v>
      </c>
      <c r="AT51" s="100" t="n">
        <f aca="false">IF($P51=0,"",R51*1000/AT$159*$AD$159/14.696/$BP51/42)</f>
        <v>523.961773926583</v>
      </c>
      <c r="AU51" s="100" t="n">
        <f aca="false">IF($P51=0,"",S51*1000/AU$159*$AD$159/14.696/$BP51/42)</f>
        <v>101819.843474628</v>
      </c>
      <c r="AV51" s="100" t="n">
        <f aca="false">IF($P51=0,"",T51*1000/AV$159*$AD$159/14.696/$BP51/42)</f>
        <v>14709.3416512111</v>
      </c>
      <c r="AW51" s="100" t="n">
        <f aca="false">IF($P51=0,"",U51*1000/AW$159*$AD$159/14.696/$BP51/42)</f>
        <v>7477.03628960374</v>
      </c>
      <c r="AX51" s="100" t="n">
        <f aca="false">IF($P51=0,"",V51*1000/AX$159*$AD$159/14.696/$BP51/42)</f>
        <v>1238.38374199438</v>
      </c>
      <c r="AY51" s="100" t="n">
        <f aca="false">IF($P51=0,"",W51*1000/AY$159*$AD$159/14.696/$BP51/42)</f>
        <v>3261.76912422624</v>
      </c>
      <c r="AZ51" s="100" t="n">
        <f aca="false">IF($P51=0,"",X51*1000/AZ$159*$AD$159/14.696/$BP51/42)</f>
        <v>1060.17908888404</v>
      </c>
      <c r="BA51" s="100" t="n">
        <f aca="false">IF($P51=0,"",Y51*1000/BA$159*$AD$159/14.696/$BP51/42)</f>
        <v>1322.59152843144</v>
      </c>
      <c r="BB51" s="100" t="n">
        <f aca="false">IF($P51=0,"",Z51*1000/BB$159*$AD$159/14.696/$BP51/42)</f>
        <v>1970.58670551325</v>
      </c>
      <c r="BC51" s="100" t="n">
        <f aca="false">IF($P51=0,"",AA51*1000/BC$159*$AD$159/14.696/$BP51/42)</f>
        <v>0</v>
      </c>
      <c r="BD51" s="430" t="n">
        <f aca="false">SUM(AS51:BC51)</f>
        <v>133605.47149746</v>
      </c>
      <c r="BE51" s="424" t="n">
        <f aca="false">IF($P51=0,"",E51/$P51*BE$159)</f>
        <v>3.549E-005</v>
      </c>
      <c r="BF51" s="425" t="n">
        <f aca="false">IF($P51=0,"",F51/$P51*BF$159)</f>
        <v>2.94814E-005</v>
      </c>
      <c r="BG51" s="425" t="n">
        <f aca="false">IF($P51=0,"",G51/$P51*BG$159)</f>
        <v>0.00975734</v>
      </c>
      <c r="BH51" s="425" t="n">
        <f aca="false">IF($P51=0,"",H51/$P51*BH$159)</f>
        <v>0.001833314</v>
      </c>
      <c r="BI51" s="425" t="n">
        <f aca="false">IF($P51=0,"",I51/$P51*BI$159)</f>
        <v>0.001318947</v>
      </c>
      <c r="BJ51" s="425" t="n">
        <f aca="false">IF($P51=0,"",J51/$P51*BJ$159)</f>
        <v>0.00023373</v>
      </c>
      <c r="BK51" s="425" t="n">
        <f aca="false">IF($P51=0,"",K51/$P51*BK$159)</f>
        <v>0.00068103</v>
      </c>
      <c r="BL51" s="425" t="n">
        <f aca="false">IF($P51=0,"",L51/$P51*BL$159)</f>
        <v>0.000233856</v>
      </c>
      <c r="BM51" s="425" t="n">
        <f aca="false">IF($P51=0,"",M51/$P51*BM$159)</f>
        <v>0.000309666</v>
      </c>
      <c r="BN51" s="425" t="n">
        <f aca="false">IF($P51=0,"",N51/$P51*BN$159)</f>
        <v>0.0005493132</v>
      </c>
      <c r="BO51" s="425" t="n">
        <f aca="false">IF($P51=0,"",O51/$P51*BO$159)</f>
        <v>0</v>
      </c>
      <c r="BP51" s="423" t="n">
        <f aca="false">1-AD$159*(SUM(BE51:BO51))^2</f>
        <v>0.996711582681181</v>
      </c>
    </row>
    <row r="52" customFormat="false" ht="15" hidden="false" customHeight="false" outlineLevel="0" collapsed="false">
      <c r="A52" s="413" t="s">
        <v>73</v>
      </c>
      <c r="B52" s="414" t="s">
        <v>260</v>
      </c>
      <c r="C52" s="415" t="n">
        <v>187564.33</v>
      </c>
      <c r="D52" s="416" t="n">
        <v>235768.36</v>
      </c>
      <c r="E52" s="417" t="n">
        <v>0.412</v>
      </c>
      <c r="F52" s="417" t="n">
        <v>1.991</v>
      </c>
      <c r="G52" s="417" t="n">
        <v>79.423</v>
      </c>
      <c r="H52" s="417" t="n">
        <v>8.872</v>
      </c>
      <c r="I52" s="417" t="n">
        <v>4.711</v>
      </c>
      <c r="J52" s="417" t="n">
        <v>0.606</v>
      </c>
      <c r="K52" s="417" t="n">
        <v>1.747</v>
      </c>
      <c r="L52" s="417" t="n">
        <v>0.53</v>
      </c>
      <c r="M52" s="417" t="n">
        <v>0.577</v>
      </c>
      <c r="N52" s="417" t="n">
        <v>1.131</v>
      </c>
      <c r="O52" s="76"/>
      <c r="P52" s="418" t="n">
        <f aca="false">SUM(E52:O52)</f>
        <v>100</v>
      </c>
      <c r="Q52" s="14" t="n">
        <f aca="false">IF($P52=0,"",$C52*E52/$P52)</f>
        <v>772.7650396</v>
      </c>
      <c r="R52" s="15" t="n">
        <f aca="false">IF($P52=0,"",$C52*F52/$P52)</f>
        <v>3734.4058103</v>
      </c>
      <c r="S52" s="15" t="n">
        <f aca="false">IF($P52=0,"",$C52*G52/$P52)</f>
        <v>148969.2178159</v>
      </c>
      <c r="T52" s="15" t="n">
        <f aca="false">IF($P52=0,"",$C52*H52/$P52)</f>
        <v>16640.7073576</v>
      </c>
      <c r="U52" s="15" t="n">
        <f aca="false">IF($P52=0,"",$C52*I52/$P52)</f>
        <v>8836.1555863</v>
      </c>
      <c r="V52" s="15" t="n">
        <f aca="false">IF($P52=0,"",$C52*J52/$P52)</f>
        <v>1136.6398398</v>
      </c>
      <c r="W52" s="15" t="n">
        <f aca="false">IF($P52=0,"",$C52*K52/$P52)</f>
        <v>3276.7488451</v>
      </c>
      <c r="X52" s="15" t="n">
        <f aca="false">IF($P52=0,"",$C52*L52/$P52)</f>
        <v>994.090949</v>
      </c>
      <c r="Y52" s="15" t="n">
        <f aca="false">IF($P52=0,"",$C52*M52/$P52)</f>
        <v>1082.2461841</v>
      </c>
      <c r="Z52" s="15" t="n">
        <f aca="false">IF($P52=0,"",$C52*N52/$P52)</f>
        <v>2121.3525723</v>
      </c>
      <c r="AA52" s="15" t="n">
        <f aca="false">IF($P52=0,"",$C52*O52/$P52)</f>
        <v>0</v>
      </c>
      <c r="AB52" s="16" t="n">
        <f aca="false">SUM(Q52:AA52)</f>
        <v>187564.33</v>
      </c>
      <c r="AC52" s="419"/>
      <c r="AD52" s="420"/>
      <c r="AE52" s="15" t="n">
        <f aca="false">IF($P52=0,"",S52*AE$159/$BP52/1000)</f>
        <v>150536.088188645</v>
      </c>
      <c r="AF52" s="15" t="n">
        <f aca="false">IF($P52=0,"",T52*AF$159/$BP52/1000)</f>
        <v>29465.9523991691</v>
      </c>
      <c r="AG52" s="15" t="n">
        <f aca="false">IF($P52=0,"",U52*AG$159/$BP52/1000)</f>
        <v>22244.6921493845</v>
      </c>
      <c r="AH52" s="15" t="n">
        <f aca="false">IF($P52=0,"",V52*AH$159/$BP52/1000)</f>
        <v>3698.25265090933</v>
      </c>
      <c r="AI52" s="15" t="n">
        <f aca="false">IF($P52=0,"",W52*AI$159/$BP52/1000)</f>
        <v>10695.6683630023</v>
      </c>
      <c r="AJ52" s="15" t="n">
        <f aca="false">IF($P52=0,"",X52*AJ$159/$BP52/1000)</f>
        <v>3979.47434510841</v>
      </c>
      <c r="AK52" s="15" t="n">
        <f aca="false">IF($P52=0,"",Y52*AK$159/$BP52/1000)</f>
        <v>4340.84382116682</v>
      </c>
      <c r="AL52" s="15" t="n">
        <f aca="false">IF($P52=0,"",Z52*AL$159/$BP52/1000)</f>
        <v>10886.9572412888</v>
      </c>
      <c r="AM52" s="15" t="n">
        <f aca="false">IF($P52=0,"",AA52*AM$159/$BP52/1000)</f>
        <v>0</v>
      </c>
      <c r="AN52" s="15" t="n">
        <f aca="false">SUM(AC52:AM52)</f>
        <v>235847.929158675</v>
      </c>
      <c r="AO52" s="15" t="n">
        <f aca="false">D52-AN52</f>
        <v>-79.569158674567</v>
      </c>
      <c r="AP52" s="421" t="n">
        <f aca="false">IF(D52=0,0,AO52/D52)</f>
        <v>-0.000337488705755798</v>
      </c>
      <c r="AQ52" s="75" t="n">
        <f aca="false">IF(AB52=0,0,AN52/AB52)*1000</f>
        <v>1257.42420831655</v>
      </c>
      <c r="AR52" s="340" t="n">
        <f aca="false">IF(C52=0,0,D52/C52)*1000</f>
        <v>1256.99998501847</v>
      </c>
      <c r="AS52" s="422" t="n">
        <f aca="false">IF($P52=0,"",Q52*1000/AS$159*$AD$159/14.696/$BP52/42)</f>
        <v>313.371313623589</v>
      </c>
      <c r="AT52" s="15" t="n">
        <f aca="false">IF($P52=0,"",R52*1000/AT$159*$AD$159/14.696/$BP52/42)</f>
        <v>976.247071747994</v>
      </c>
      <c r="AU52" s="15" t="n">
        <f aca="false">IF($P52=0,"",S52*1000/AU$159*$AD$159/14.696/$BP52/42)</f>
        <v>60009.4957529731</v>
      </c>
      <c r="AV52" s="15" t="n">
        <f aca="false">IF($P52=0,"",T52*1000/AV$159*$AD$159/14.696/$BP52/42)</f>
        <v>10574.7372414089</v>
      </c>
      <c r="AW52" s="15" t="n">
        <f aca="false">IF($P52=0,"",U52*1000/AW$159*$AD$159/14.696/$BP52/42)</f>
        <v>5784.41491699702</v>
      </c>
      <c r="AX52" s="15" t="n">
        <f aca="false">IF($P52=0,"",V52*1000/AX$159*$AD$159/14.696/$BP52/42)</f>
        <v>883.825872487102</v>
      </c>
      <c r="AY52" s="15" t="n">
        <f aca="false">IF($P52=0,"",W52*1000/AY$159*$AD$159/14.696/$BP52/42)</f>
        <v>2454.66624890585</v>
      </c>
      <c r="AZ52" s="15" t="n">
        <f aca="false">IF($P52=0,"",X52*1000/AZ$159*$AD$159/14.696/$BP52/42)</f>
        <v>863.860833877808</v>
      </c>
      <c r="BA52" s="15" t="n">
        <f aca="false">IF($P52=0,"",Y52*1000/BA$159*$AD$159/14.696/$BP52/42)</f>
        <v>932.170519380072</v>
      </c>
      <c r="BB52" s="15" t="n">
        <f aca="false">IF($P52=0,"",Z52*1000/BB$159*$AD$159/14.696/$BP52/42)</f>
        <v>2187.33726560594</v>
      </c>
      <c r="BC52" s="15" t="n">
        <f aca="false">IF($P52=0,"",AA52*1000/BC$159*$AD$159/14.696/$BP52/42)</f>
        <v>0</v>
      </c>
      <c r="BD52" s="55" t="n">
        <f aca="false">SUM(AS52:BC52)</f>
        <v>84980.1270370073</v>
      </c>
      <c r="BE52" s="419" t="n">
        <f aca="false">IF($P52=0,"",E52/$P52*BE$159)</f>
        <v>8.034E-005</v>
      </c>
      <c r="BF52" s="420" t="n">
        <f aca="false">IF($P52=0,"",F52/$P52*BF$159)</f>
        <v>8.80022E-005</v>
      </c>
      <c r="BG52" s="420" t="n">
        <f aca="false">IF($P52=0,"",G52/$P52*BG$159)</f>
        <v>0.009213068</v>
      </c>
      <c r="BH52" s="420" t="n">
        <f aca="false">IF($P52=0,"",H52/$P52*BH$159)</f>
        <v>0.002111536</v>
      </c>
      <c r="BI52" s="420" t="n">
        <f aca="false">IF($P52=0,"",I52/$P52*BI$159)</f>
        <v>0.001634717</v>
      </c>
      <c r="BJ52" s="420" t="n">
        <f aca="false">IF($P52=0,"",J52/$P52*BJ$159)</f>
        <v>0.000267246</v>
      </c>
      <c r="BK52" s="420" t="n">
        <f aca="false">IF($P52=0,"",K52/$P52*BK$159)</f>
        <v>0.00082109</v>
      </c>
      <c r="BL52" s="420" t="n">
        <f aca="false">IF($P52=0,"",L52/$P52*BL$159)</f>
        <v>0.00030528</v>
      </c>
      <c r="BM52" s="420" t="n">
        <f aca="false">IF($P52=0,"",M52/$P52*BM$159)</f>
        <v>0.000349662</v>
      </c>
      <c r="BN52" s="420" t="n">
        <f aca="false">IF($P52=0,"",N52/$P52*BN$159)</f>
        <v>0.0009768447</v>
      </c>
      <c r="BO52" s="420" t="n">
        <f aca="false">IF($P52=0,"",O52/$P52*BO$159)</f>
        <v>0</v>
      </c>
      <c r="BP52" s="418" t="n">
        <f aca="false">1-AD$159*(SUM(BE52:BO52))^2</f>
        <v>0.996320618542293</v>
      </c>
    </row>
    <row r="53" customFormat="false" ht="15" hidden="false" customHeight="false" outlineLevel="0" collapsed="false">
      <c r="A53" s="413" t="s">
        <v>74</v>
      </c>
      <c r="B53" s="414" t="s">
        <v>261</v>
      </c>
      <c r="C53" s="415" t="n">
        <v>425503.15</v>
      </c>
      <c r="D53" s="416" t="n">
        <v>574003.75</v>
      </c>
      <c r="E53" s="417" t="n">
        <v>0.714</v>
      </c>
      <c r="F53" s="417" t="n">
        <v>1.323</v>
      </c>
      <c r="G53" s="417" t="n">
        <v>71.66</v>
      </c>
      <c r="H53" s="417" t="n">
        <v>12.662</v>
      </c>
      <c r="I53" s="417" t="n">
        <v>8.253</v>
      </c>
      <c r="J53" s="417" t="n">
        <v>0.986</v>
      </c>
      <c r="K53" s="417" t="n">
        <v>2.889</v>
      </c>
      <c r="L53" s="417" t="n">
        <v>0.538</v>
      </c>
      <c r="M53" s="417" t="n">
        <v>0.574</v>
      </c>
      <c r="N53" s="417" t="n">
        <v>0.401</v>
      </c>
      <c r="O53" s="76"/>
      <c r="P53" s="423" t="n">
        <f aca="false">SUM(E53:O53)</f>
        <v>100</v>
      </c>
      <c r="Q53" s="99" t="n">
        <f aca="false">IF($P53=0,"",$C53*E53/$P53)</f>
        <v>3038.092491</v>
      </c>
      <c r="R53" s="100" t="n">
        <f aca="false">IF($P53=0,"",$C53*F53/$P53)</f>
        <v>5629.4066745</v>
      </c>
      <c r="S53" s="100" t="n">
        <f aca="false">IF($P53=0,"",$C53*G53/$P53)</f>
        <v>304915.55729</v>
      </c>
      <c r="T53" s="100" t="n">
        <f aca="false">IF($P53=0,"",$C53*H53/$P53)</f>
        <v>53877.208853</v>
      </c>
      <c r="U53" s="100" t="n">
        <f aca="false">IF($P53=0,"",$C53*I53/$P53)</f>
        <v>35116.7749695</v>
      </c>
      <c r="V53" s="100" t="n">
        <f aca="false">IF($P53=0,"",$C53*J53/$P53)</f>
        <v>4195.461059</v>
      </c>
      <c r="W53" s="100" t="n">
        <f aca="false">IF($P53=0,"",$C53*K53/$P53)</f>
        <v>12292.7860035</v>
      </c>
      <c r="X53" s="100" t="n">
        <f aca="false">IF($P53=0,"",$C53*L53/$P53)</f>
        <v>2289.206947</v>
      </c>
      <c r="Y53" s="100" t="n">
        <f aca="false">IF($P53=0,"",$C53*M53/$P53)</f>
        <v>2442.388081</v>
      </c>
      <c r="Z53" s="100" t="n">
        <f aca="false">IF($P53=0,"",$C53*N53/$P53)</f>
        <v>1706.2676315</v>
      </c>
      <c r="AA53" s="100" t="n">
        <f aca="false">IF($P53=0,"",$C53*O53/$P53)</f>
        <v>0</v>
      </c>
      <c r="AB53" s="101" t="n">
        <f aca="false">SUM(Q53:AA53)</f>
        <v>425503.15</v>
      </c>
      <c r="AC53" s="424"/>
      <c r="AD53" s="425"/>
      <c r="AE53" s="100" t="n">
        <f aca="false">IF($P53=0,"",S53*AE$159/$BP53/1000)</f>
        <v>308322.840177421</v>
      </c>
      <c r="AF53" s="100" t="n">
        <f aca="false">IF($P53=0,"",T53*AF$159/$BP53/1000)</f>
        <v>95463.1617485666</v>
      </c>
      <c r="AG53" s="100" t="n">
        <f aca="false">IF($P53=0,"",U53*AG$159/$BP53/1000)</f>
        <v>88462.5992433771</v>
      </c>
      <c r="AH53" s="100" t="n">
        <f aca="false">IF($P53=0,"",V53*AH$159/$BP53/1000)</f>
        <v>13659.5195219133</v>
      </c>
      <c r="AI53" s="100" t="n">
        <f aca="false">IF($P53=0,"",W53*AI$159/$BP53/1000)</f>
        <v>40151.0697252393</v>
      </c>
      <c r="AJ53" s="100" t="n">
        <f aca="false">IF($P53=0,"",X53*AJ$159/$BP53/1000)</f>
        <v>9169.94372513116</v>
      </c>
      <c r="AK53" s="100" t="n">
        <f aca="false">IF($P53=0,"",Y53*AK$159/$BP53/1000)</f>
        <v>9802.67930886555</v>
      </c>
      <c r="AL53" s="100" t="n">
        <f aca="false">IF($P53=0,"",Z53*AL$159/$BP53/1000)</f>
        <v>8762.3952670885</v>
      </c>
      <c r="AM53" s="100" t="n">
        <f aca="false">IF($P53=0,"",AA53*AM$159/$BP53/1000)</f>
        <v>0</v>
      </c>
      <c r="AN53" s="100" t="n">
        <f aca="false">SUM(AC53:AM53)</f>
        <v>573794.208717603</v>
      </c>
      <c r="AO53" s="100" t="n">
        <f aca="false">D53-AN53</f>
        <v>209.541282397346</v>
      </c>
      <c r="AP53" s="426" t="n">
        <f aca="false">IF(D53=0,0,AO53/D53)</f>
        <v>0.000365052114027732</v>
      </c>
      <c r="AQ53" s="427" t="n">
        <f aca="false">IF(AB53=0,0,AN53/AB53)*1000</f>
        <v>1348.50754622522</v>
      </c>
      <c r="AR53" s="428" t="n">
        <f aca="false">IF(C53=0,0,D53/C53)*1000</f>
        <v>1349.0000015276</v>
      </c>
      <c r="AS53" s="429" t="n">
        <f aca="false">IF($P53=0,"",Q53*1000/AS$159*$AD$159/14.696/$BP53/42)</f>
        <v>1232.80614088191</v>
      </c>
      <c r="AT53" s="100" t="n">
        <f aca="false">IF($P53=0,"",R53*1000/AT$159*$AD$159/14.696/$BP53/42)</f>
        <v>1472.59351480776</v>
      </c>
      <c r="AU53" s="100" t="n">
        <f aca="false">IF($P53=0,"",S53*1000/AU$159*$AD$159/14.696/$BP53/42)</f>
        <v>122909.385987135</v>
      </c>
      <c r="AV53" s="100" t="n">
        <f aca="false">IF($P53=0,"",T53*1000/AV$159*$AD$159/14.696/$BP53/42)</f>
        <v>34259.8073209971</v>
      </c>
      <c r="AW53" s="100" t="n">
        <f aca="false">IF($P53=0,"",U53*1000/AW$159*$AD$159/14.696/$BP53/42)</f>
        <v>23003.4371895715</v>
      </c>
      <c r="AX53" s="100" t="n">
        <f aca="false">IF($P53=0,"",V53*1000/AX$159*$AD$159/14.696/$BP53/42)</f>
        <v>3264.41644170557</v>
      </c>
      <c r="AY53" s="100" t="n">
        <f aca="false">IF($P53=0,"",W53*1000/AY$159*$AD$159/14.696/$BP53/42)</f>
        <v>9214.70939141432</v>
      </c>
      <c r="AZ53" s="100" t="n">
        <f aca="false">IF($P53=0,"",X53*1000/AZ$159*$AD$159/14.696/$BP53/42)</f>
        <v>1990.60341794679</v>
      </c>
      <c r="BA53" s="100" t="n">
        <f aca="false">IF($P53=0,"",Y53*1000/BA$159*$AD$159/14.696/$BP53/42)</f>
        <v>2105.06736457642</v>
      </c>
      <c r="BB53" s="100" t="n">
        <f aca="false">IF($P53=0,"",Z53*1000/BB$159*$AD$159/14.696/$BP53/42)</f>
        <v>1760.48396984453</v>
      </c>
      <c r="BC53" s="100" t="n">
        <f aca="false">IF($P53=0,"",AA53*1000/BC$159*$AD$159/14.696/$BP53/42)</f>
        <v>0</v>
      </c>
      <c r="BD53" s="430" t="n">
        <f aca="false">SUM(AS53:BC53)</f>
        <v>201213.310738881</v>
      </c>
      <c r="BE53" s="424" t="n">
        <f aca="false">IF($P53=0,"",E53/$P53*BE$159)</f>
        <v>0.00013923</v>
      </c>
      <c r="BF53" s="425" t="n">
        <f aca="false">IF($P53=0,"",F53/$P53*BF$159)</f>
        <v>5.84766E-005</v>
      </c>
      <c r="BG53" s="425" t="n">
        <f aca="false">IF($P53=0,"",G53/$P53*BG$159)</f>
        <v>0.00831256</v>
      </c>
      <c r="BH53" s="425" t="n">
        <f aca="false">IF($P53=0,"",H53/$P53*BH$159)</f>
        <v>0.003013556</v>
      </c>
      <c r="BI53" s="425" t="n">
        <f aca="false">IF($P53=0,"",I53/$P53*BI$159)</f>
        <v>0.002863791</v>
      </c>
      <c r="BJ53" s="425" t="n">
        <f aca="false">IF($P53=0,"",J53/$P53*BJ$159)</f>
        <v>0.000434826</v>
      </c>
      <c r="BK53" s="425" t="n">
        <f aca="false">IF($P53=0,"",K53/$P53*BK$159)</f>
        <v>0.00135783</v>
      </c>
      <c r="BL53" s="425" t="n">
        <f aca="false">IF($P53=0,"",L53/$P53*BL$159)</f>
        <v>0.000309888</v>
      </c>
      <c r="BM53" s="425" t="n">
        <f aca="false">IF($P53=0,"",M53/$P53*BM$159)</f>
        <v>0.000347844</v>
      </c>
      <c r="BN53" s="425" t="n">
        <f aca="false">IF($P53=0,"",N53/$P53*BN$159)</f>
        <v>0.0003463437</v>
      </c>
      <c r="BO53" s="425" t="n">
        <f aca="false">IF($P53=0,"",O53/$P53*BO$159)</f>
        <v>0</v>
      </c>
      <c r="BP53" s="423" t="n">
        <f aca="false">1-AD$159*(SUM(BE53:BO53))^2</f>
        <v>0.995673829752342</v>
      </c>
    </row>
    <row r="54" customFormat="false" ht="15" hidden="false" customHeight="false" outlineLevel="0" collapsed="false">
      <c r="A54" s="413" t="s">
        <v>75</v>
      </c>
      <c r="B54" s="414" t="s">
        <v>262</v>
      </c>
      <c r="C54" s="415" t="n">
        <v>0</v>
      </c>
      <c r="D54" s="416" t="n">
        <v>0</v>
      </c>
      <c r="E54" s="417" t="n">
        <v>0</v>
      </c>
      <c r="F54" s="417" t="n">
        <v>0</v>
      </c>
      <c r="G54" s="417" t="n">
        <v>100</v>
      </c>
      <c r="H54" s="417" t="n">
        <v>0</v>
      </c>
      <c r="I54" s="417" t="n">
        <v>0</v>
      </c>
      <c r="J54" s="417" t="n">
        <v>0</v>
      </c>
      <c r="K54" s="417" t="n">
        <v>0</v>
      </c>
      <c r="L54" s="417" t="n">
        <v>0</v>
      </c>
      <c r="M54" s="417" t="n">
        <v>0</v>
      </c>
      <c r="N54" s="417" t="n">
        <v>0</v>
      </c>
      <c r="O54" s="76"/>
      <c r="P54" s="418" t="n">
        <f aca="false">SUM(E54:O54)</f>
        <v>100</v>
      </c>
      <c r="Q54" s="14" t="n">
        <f aca="false">IF($P54=0,"",$C54*E54/$P54)</f>
        <v>0</v>
      </c>
      <c r="R54" s="15" t="n">
        <f aca="false">IF($P54=0,"",$C54*F54/$P54)</f>
        <v>0</v>
      </c>
      <c r="S54" s="15" t="n">
        <f aca="false">IF($P54=0,"",$C54*G54/$P54)</f>
        <v>0</v>
      </c>
      <c r="T54" s="15" t="n">
        <f aca="false">IF($P54=0,"",$C54*H54/$P54)</f>
        <v>0</v>
      </c>
      <c r="U54" s="15" t="n">
        <f aca="false">IF($P54=0,"",$C54*I54/$P54)</f>
        <v>0</v>
      </c>
      <c r="V54" s="15" t="n">
        <f aca="false">IF($P54=0,"",$C54*J54/$P54)</f>
        <v>0</v>
      </c>
      <c r="W54" s="15" t="n">
        <f aca="false">IF($P54=0,"",$C54*K54/$P54)</f>
        <v>0</v>
      </c>
      <c r="X54" s="15" t="n">
        <f aca="false">IF($P54=0,"",$C54*L54/$P54)</f>
        <v>0</v>
      </c>
      <c r="Y54" s="15" t="n">
        <f aca="false">IF($P54=0,"",$C54*M54/$P54)</f>
        <v>0</v>
      </c>
      <c r="Z54" s="15" t="n">
        <f aca="false">IF($P54=0,"",$C54*N54/$P54)</f>
        <v>0</v>
      </c>
      <c r="AA54" s="15" t="n">
        <f aca="false">IF($P54=0,"",$C54*O54/$P54)</f>
        <v>0</v>
      </c>
      <c r="AB54" s="16" t="n">
        <f aca="false">SUM(Q54:AA54)</f>
        <v>0</v>
      </c>
      <c r="AC54" s="419"/>
      <c r="AD54" s="420"/>
      <c r="AE54" s="15" t="n">
        <f aca="false">IF($P54=0,"",S54*AE$159/$BP54/1000)</f>
        <v>0</v>
      </c>
      <c r="AF54" s="15" t="n">
        <f aca="false">IF($P54=0,"",T54*AF$159/$BP54/1000)</f>
        <v>0</v>
      </c>
      <c r="AG54" s="15" t="n">
        <f aca="false">IF($P54=0,"",U54*AG$159/$BP54/1000)</f>
        <v>0</v>
      </c>
      <c r="AH54" s="15" t="n">
        <f aca="false">IF($P54=0,"",V54*AH$159/$BP54/1000)</f>
        <v>0</v>
      </c>
      <c r="AI54" s="15" t="n">
        <f aca="false">IF($P54=0,"",W54*AI$159/$BP54/1000)</f>
        <v>0</v>
      </c>
      <c r="AJ54" s="15" t="n">
        <f aca="false">IF($P54=0,"",X54*AJ$159/$BP54/1000)</f>
        <v>0</v>
      </c>
      <c r="AK54" s="15" t="n">
        <f aca="false">IF($P54=0,"",Y54*AK$159/$BP54/1000)</f>
        <v>0</v>
      </c>
      <c r="AL54" s="15" t="n">
        <f aca="false">IF($P54=0,"",Z54*AL$159/$BP54/1000)</f>
        <v>0</v>
      </c>
      <c r="AM54" s="15" t="n">
        <f aca="false">IF($P54=0,"",AA54*AM$159/$BP54/1000)</f>
        <v>0</v>
      </c>
      <c r="AN54" s="15" t="n">
        <f aca="false">SUM(AC54:AM54)</f>
        <v>0</v>
      </c>
      <c r="AO54" s="15" t="n">
        <f aca="false">D54-AN54</f>
        <v>0</v>
      </c>
      <c r="AP54" s="421" t="n">
        <f aca="false">IF(D54=0,0,AO54/D54)</f>
        <v>0</v>
      </c>
      <c r="AQ54" s="75" t="n">
        <f aca="false">IF(AB54=0,0,AN54/AB54)*1000</f>
        <v>0</v>
      </c>
      <c r="AR54" s="340" t="n">
        <f aca="false">IF(C54=0,0,D54/C54)*1000</f>
        <v>0</v>
      </c>
      <c r="AS54" s="422" t="n">
        <f aca="false">IF($P54=0,"",Q54*1000/AS$159*$AD$159/14.696/$BP54/42)</f>
        <v>0</v>
      </c>
      <c r="AT54" s="15" t="n">
        <f aca="false">IF($P54=0,"",R54*1000/AT$159*$AD$159/14.696/$BP54/42)</f>
        <v>0</v>
      </c>
      <c r="AU54" s="15" t="n">
        <f aca="false">IF($P54=0,"",S54*1000/AU$159*$AD$159/14.696/$BP54/42)</f>
        <v>0</v>
      </c>
      <c r="AV54" s="15" t="n">
        <f aca="false">IF($P54=0,"",T54*1000/AV$159*$AD$159/14.696/$BP54/42)</f>
        <v>0</v>
      </c>
      <c r="AW54" s="15" t="n">
        <f aca="false">IF($P54=0,"",U54*1000/AW$159*$AD$159/14.696/$BP54/42)</f>
        <v>0</v>
      </c>
      <c r="AX54" s="15" t="n">
        <f aca="false">IF($P54=0,"",V54*1000/AX$159*$AD$159/14.696/$BP54/42)</f>
        <v>0</v>
      </c>
      <c r="AY54" s="15" t="n">
        <f aca="false">IF($P54=0,"",W54*1000/AY$159*$AD$159/14.696/$BP54/42)</f>
        <v>0</v>
      </c>
      <c r="AZ54" s="15" t="n">
        <f aca="false">IF($P54=0,"",X54*1000/AZ$159*$AD$159/14.696/$BP54/42)</f>
        <v>0</v>
      </c>
      <c r="BA54" s="15" t="n">
        <f aca="false">IF($P54=0,"",Y54*1000/BA$159*$AD$159/14.696/$BP54/42)</f>
        <v>0</v>
      </c>
      <c r="BB54" s="15" t="n">
        <f aca="false">IF($P54=0,"",Z54*1000/BB$159*$AD$159/14.696/$BP54/42)</f>
        <v>0</v>
      </c>
      <c r="BC54" s="15" t="n">
        <f aca="false">IF($P54=0,"",AA54*1000/BC$159*$AD$159/14.696/$BP54/42)</f>
        <v>0</v>
      </c>
      <c r="BD54" s="55" t="n">
        <f aca="false">SUM(AS54:BC54)</f>
        <v>0</v>
      </c>
      <c r="BE54" s="419" t="n">
        <f aca="false">IF($P54=0,"",E54/$P54*BE$159)</f>
        <v>0</v>
      </c>
      <c r="BF54" s="420" t="n">
        <f aca="false">IF($P54=0,"",F54/$P54*BF$159)</f>
        <v>0</v>
      </c>
      <c r="BG54" s="420" t="n">
        <f aca="false">IF($P54=0,"",G54/$P54*BG$159)</f>
        <v>0.0116</v>
      </c>
      <c r="BH54" s="420" t="n">
        <f aca="false">IF($P54=0,"",H54/$P54*BH$159)</f>
        <v>0</v>
      </c>
      <c r="BI54" s="420" t="n">
        <f aca="false">IF($P54=0,"",I54/$P54*BI$159)</f>
        <v>0</v>
      </c>
      <c r="BJ54" s="420" t="n">
        <f aca="false">IF($P54=0,"",J54/$P54*BJ$159)</f>
        <v>0</v>
      </c>
      <c r="BK54" s="420" t="n">
        <f aca="false">IF($P54=0,"",K54/$P54*BK$159)</f>
        <v>0</v>
      </c>
      <c r="BL54" s="420" t="n">
        <f aca="false">IF($P54=0,"",L54/$P54*BL$159)</f>
        <v>0</v>
      </c>
      <c r="BM54" s="420" t="n">
        <f aca="false">IF($P54=0,"",M54/$P54*BM$159)</f>
        <v>0</v>
      </c>
      <c r="BN54" s="420" t="n">
        <f aca="false">IF($P54=0,"",N54/$P54*BN$159)</f>
        <v>0</v>
      </c>
      <c r="BO54" s="420" t="n">
        <f aca="false">IF($P54=0,"",O54/$P54*BO$159)</f>
        <v>0</v>
      </c>
      <c r="BP54" s="418" t="n">
        <f aca="false">1-AD$159*(SUM(BE54:BO54))^2</f>
        <v>0.998028696</v>
      </c>
    </row>
    <row r="55" customFormat="false" ht="15" hidden="false" customHeight="false" outlineLevel="0" collapsed="false">
      <c r="A55" s="413" t="s">
        <v>76</v>
      </c>
      <c r="B55" s="414" t="s">
        <v>263</v>
      </c>
      <c r="C55" s="415" t="n">
        <v>226763.72</v>
      </c>
      <c r="D55" s="416" t="n">
        <v>279599.66</v>
      </c>
      <c r="E55" s="417" t="n">
        <v>1.455</v>
      </c>
      <c r="F55" s="417" t="n">
        <v>1.173</v>
      </c>
      <c r="G55" s="417" t="n">
        <v>78.171</v>
      </c>
      <c r="H55" s="417" t="n">
        <v>10.944</v>
      </c>
      <c r="I55" s="417" t="n">
        <v>4.824</v>
      </c>
      <c r="J55" s="417" t="n">
        <v>0.675</v>
      </c>
      <c r="K55" s="417" t="n">
        <v>1.477</v>
      </c>
      <c r="L55" s="417" t="n">
        <v>0.355</v>
      </c>
      <c r="M55" s="417" t="n">
        <v>0.375</v>
      </c>
      <c r="N55" s="417" t="n">
        <v>0.551</v>
      </c>
      <c r="O55" s="76"/>
      <c r="P55" s="423" t="n">
        <f aca="false">SUM(E55:O55)</f>
        <v>100</v>
      </c>
      <c r="Q55" s="99" t="n">
        <f aca="false">IF($P55=0,"",$C55*E55/$P55)</f>
        <v>3299.412126</v>
      </c>
      <c r="R55" s="100" t="n">
        <f aca="false">IF($P55=0,"",$C55*F55/$P55)</f>
        <v>2659.9384356</v>
      </c>
      <c r="S55" s="100" t="n">
        <f aca="false">IF($P55=0,"",$C55*G55/$P55)</f>
        <v>177263.4675612</v>
      </c>
      <c r="T55" s="100" t="n">
        <f aca="false">IF($P55=0,"",$C55*H55/$P55)</f>
        <v>24817.0215168</v>
      </c>
      <c r="U55" s="100" t="n">
        <f aca="false">IF($P55=0,"",$C55*I55/$P55)</f>
        <v>10939.0818528</v>
      </c>
      <c r="V55" s="100" t="n">
        <f aca="false">IF($P55=0,"",$C55*J55/$P55)</f>
        <v>1530.65511</v>
      </c>
      <c r="W55" s="100" t="n">
        <f aca="false">IF($P55=0,"",$C55*K55/$P55)</f>
        <v>3349.3001444</v>
      </c>
      <c r="X55" s="100" t="n">
        <f aca="false">IF($P55=0,"",$C55*L55/$P55)</f>
        <v>805.011206</v>
      </c>
      <c r="Y55" s="100" t="n">
        <f aca="false">IF($P55=0,"",$C55*M55/$P55)</f>
        <v>850.36395</v>
      </c>
      <c r="Z55" s="100" t="n">
        <f aca="false">IF($P55=0,"",$C55*N55/$P55)</f>
        <v>1249.4680972</v>
      </c>
      <c r="AA55" s="100" t="n">
        <f aca="false">IF($P55=0,"",$C55*O55/$P55)</f>
        <v>0</v>
      </c>
      <c r="AB55" s="101" t="n">
        <f aca="false">SUM(Q55:AA55)</f>
        <v>226763.72</v>
      </c>
      <c r="AC55" s="424"/>
      <c r="AD55" s="425"/>
      <c r="AE55" s="100" t="n">
        <f aca="false">IF($P55=0,"",S55*AE$159/$BP55/1000)</f>
        <v>179105.898276128</v>
      </c>
      <c r="AF55" s="100" t="n">
        <f aca="false">IF($P55=0,"",T55*AF$159/$BP55/1000)</f>
        <v>43938.4685460944</v>
      </c>
      <c r="AG55" s="100" t="n">
        <f aca="false">IF($P55=0,"",U55*AG$159/$BP55/1000)</f>
        <v>27535.3420817324</v>
      </c>
      <c r="AH55" s="100" t="n">
        <f aca="false">IF($P55=0,"",V55*AH$159/$BP55/1000)</f>
        <v>4979.63610847197</v>
      </c>
      <c r="AI55" s="100" t="n">
        <f aca="false">IF($P55=0,"",W55*AI$159/$BP55/1000)</f>
        <v>10931.1385850406</v>
      </c>
      <c r="AJ55" s="100" t="n">
        <f aca="false">IF($P55=0,"",X55*AJ$159/$BP55/1000)</f>
        <v>3222.16721337822</v>
      </c>
      <c r="AK55" s="100" t="n">
        <f aca="false">IF($P55=0,"",Y55*AK$159/$BP55/1000)</f>
        <v>3410.3542751361</v>
      </c>
      <c r="AL55" s="100" t="n">
        <f aca="false">IF($P55=0,"",Z55*AL$159/$BP55/1000)</f>
        <v>6411.58483043818</v>
      </c>
      <c r="AM55" s="100" t="n">
        <f aca="false">IF($P55=0,"",AA55*AM$159/$BP55/1000)</f>
        <v>0</v>
      </c>
      <c r="AN55" s="100" t="n">
        <f aca="false">SUM(AC55:AM55)</f>
        <v>279534.589916419</v>
      </c>
      <c r="AO55" s="100" t="n">
        <f aca="false">D55-AN55</f>
        <v>65.0700835805619</v>
      </c>
      <c r="AP55" s="426" t="n">
        <f aca="false">IF(D55=0,0,AO55/D55)</f>
        <v>0.000232725903817486</v>
      </c>
      <c r="AQ55" s="427" t="n">
        <f aca="false">IF(AB55=0,0,AN55/AB55)*1000</f>
        <v>1232.71301915677</v>
      </c>
      <c r="AR55" s="428" t="n">
        <f aca="false">IF(C55=0,0,D55/C55)*1000</f>
        <v>1232.99997018923</v>
      </c>
      <c r="AS55" s="429" t="n">
        <f aca="false">IF($P55=0,"",Q55*1000/AS$159*$AD$159/14.696/$BP55/42)</f>
        <v>1337.81141402299</v>
      </c>
      <c r="AT55" s="100" t="n">
        <f aca="false">IF($P55=0,"",R55*1000/AT$159*$AD$159/14.696/$BP55/42)</f>
        <v>695.274622380573</v>
      </c>
      <c r="AU55" s="100" t="n">
        <f aca="false">IF($P55=0,"",S55*1000/AU$159*$AD$159/14.696/$BP55/42)</f>
        <v>71398.5249069627</v>
      </c>
      <c r="AV55" s="100" t="n">
        <f aca="false">IF($P55=0,"",T55*1000/AV$159*$AD$159/14.696/$BP55/42)</f>
        <v>15768.631991612</v>
      </c>
      <c r="AW55" s="100" t="n">
        <f aca="false">IF($P55=0,"",U55*1000/AW$159*$AD$159/14.696/$BP55/42)</f>
        <v>7160.17297126747</v>
      </c>
      <c r="AX55" s="100" t="n">
        <f aca="false">IF($P55=0,"",V55*1000/AX$159*$AD$159/14.696/$BP55/42)</f>
        <v>1190.0569386887</v>
      </c>
      <c r="AY55" s="100" t="n">
        <f aca="false">IF($P55=0,"",W55*1000/AY$159*$AD$159/14.696/$BP55/42)</f>
        <v>2508.70689293509</v>
      </c>
      <c r="AZ55" s="100" t="n">
        <f aca="false">IF($P55=0,"",X55*1000/AZ$159*$AD$159/14.696/$BP55/42)</f>
        <v>699.465259592422</v>
      </c>
      <c r="BA55" s="100" t="n">
        <f aca="false">IF($P55=0,"",Y55*1000/BA$159*$AD$159/14.696/$BP55/42)</f>
        <v>732.353396457638</v>
      </c>
      <c r="BB55" s="100" t="n">
        <f aca="false">IF($P55=0,"",Z55*1000/BB$159*$AD$159/14.696/$BP55/42)</f>
        <v>1288.17429152968</v>
      </c>
      <c r="BC55" s="100" t="n">
        <f aca="false">IF($P55=0,"",AA55*1000/BC$159*$AD$159/14.696/$BP55/42)</f>
        <v>0</v>
      </c>
      <c r="BD55" s="430" t="n">
        <f aca="false">SUM(AS55:BC55)</f>
        <v>102779.172685449</v>
      </c>
      <c r="BE55" s="424" t="n">
        <f aca="false">IF($P55=0,"",E55/$P55*BE$159)</f>
        <v>0.000283725</v>
      </c>
      <c r="BF55" s="425" t="n">
        <f aca="false">IF($P55=0,"",F55/$P55*BF$159)</f>
        <v>5.18466E-005</v>
      </c>
      <c r="BG55" s="425" t="n">
        <f aca="false">IF($P55=0,"",G55/$P55*BG$159)</f>
        <v>0.009067836</v>
      </c>
      <c r="BH55" s="425" t="n">
        <f aca="false">IF($P55=0,"",H55/$P55*BH$159)</f>
        <v>0.002604672</v>
      </c>
      <c r="BI55" s="425" t="n">
        <f aca="false">IF($P55=0,"",I55/$P55*BI$159)</f>
        <v>0.001673928</v>
      </c>
      <c r="BJ55" s="425" t="n">
        <f aca="false">IF($P55=0,"",J55/$P55*BJ$159)</f>
        <v>0.000297675</v>
      </c>
      <c r="BK55" s="425" t="n">
        <f aca="false">IF($P55=0,"",K55/$P55*BK$159)</f>
        <v>0.00069419</v>
      </c>
      <c r="BL55" s="425" t="n">
        <f aca="false">IF($P55=0,"",L55/$P55*BL$159)</f>
        <v>0.00020448</v>
      </c>
      <c r="BM55" s="425" t="n">
        <f aca="false">IF($P55=0,"",M55/$P55*BM$159)</f>
        <v>0.00022725</v>
      </c>
      <c r="BN55" s="425" t="n">
        <f aca="false">IF($P55=0,"",N55/$P55*BN$159)</f>
        <v>0.0004758987</v>
      </c>
      <c r="BO55" s="425" t="n">
        <f aca="false">IF($P55=0,"",O55/$P55*BO$159)</f>
        <v>0</v>
      </c>
      <c r="BP55" s="423" t="n">
        <f aca="false">1-AD$159*(SUM(BE55:BO55))^2</f>
        <v>0.996443226372538</v>
      </c>
    </row>
    <row r="56" customFormat="false" ht="15" hidden="false" customHeight="false" outlineLevel="0" collapsed="false">
      <c r="A56" s="413" t="s">
        <v>77</v>
      </c>
      <c r="B56" s="414" t="s">
        <v>264</v>
      </c>
      <c r="C56" s="415" t="n">
        <v>51042.07</v>
      </c>
      <c r="D56" s="417" t="n">
        <v>72326.62</v>
      </c>
      <c r="E56" s="417" t="n">
        <v>0.35</v>
      </c>
      <c r="F56" s="417" t="n">
        <v>1.262</v>
      </c>
      <c r="G56" s="417" t="n">
        <v>69.271</v>
      </c>
      <c r="H56" s="417" t="n">
        <v>13.537</v>
      </c>
      <c r="I56" s="417" t="n">
        <v>8.904</v>
      </c>
      <c r="J56" s="417" t="n">
        <v>0.965</v>
      </c>
      <c r="K56" s="417" t="n">
        <v>3.087</v>
      </c>
      <c r="L56" s="417" t="n">
        <v>0.627</v>
      </c>
      <c r="M56" s="417" t="n">
        <v>0.732</v>
      </c>
      <c r="N56" s="417" t="n">
        <v>1.265</v>
      </c>
      <c r="O56" s="76"/>
      <c r="P56" s="418" t="n">
        <f aca="false">SUM(E56:O56)</f>
        <v>100</v>
      </c>
      <c r="Q56" s="14" t="n">
        <f aca="false">IF($P56=0,"",$C56*E56/$P56)</f>
        <v>178.647245</v>
      </c>
      <c r="R56" s="15" t="n">
        <f aca="false">IF($P56=0,"",$C56*F56/$P56)</f>
        <v>644.1509234</v>
      </c>
      <c r="S56" s="15" t="n">
        <f aca="false">IF($P56=0,"",$C56*G56/$P56)</f>
        <v>35357.3523097</v>
      </c>
      <c r="T56" s="15" t="n">
        <f aca="false">IF($P56=0,"",$C56*H56/$P56)</f>
        <v>6909.5650159</v>
      </c>
      <c r="U56" s="15" t="n">
        <f aca="false">IF($P56=0,"",$C56*I56/$P56)</f>
        <v>4544.7859128</v>
      </c>
      <c r="V56" s="15" t="n">
        <f aca="false">IF($P56=0,"",$C56*J56/$P56)</f>
        <v>492.5559755</v>
      </c>
      <c r="W56" s="15" t="n">
        <f aca="false">IF($P56=0,"",$C56*K56/$P56)</f>
        <v>1575.6687009</v>
      </c>
      <c r="X56" s="15" t="n">
        <f aca="false">IF($P56=0,"",$C56*L56/$P56)</f>
        <v>320.0337789</v>
      </c>
      <c r="Y56" s="15" t="n">
        <f aca="false">IF($P56=0,"",$C56*M56/$P56)</f>
        <v>373.6279524</v>
      </c>
      <c r="Z56" s="15" t="n">
        <f aca="false">IF($P56=0,"",$C56*N56/$P56)</f>
        <v>645.6821855</v>
      </c>
      <c r="AA56" s="15" t="n">
        <f aca="false">IF($P56=0,"",$C56*O56/$P56)</f>
        <v>0</v>
      </c>
      <c r="AB56" s="16" t="n">
        <f aca="false">SUM(Q56:AA56)</f>
        <v>51042.07</v>
      </c>
      <c r="AC56" s="419"/>
      <c r="AD56" s="420"/>
      <c r="AE56" s="15" t="n">
        <f aca="false">IF($P56=0,"",S56*AE$159/$BP56/1000)</f>
        <v>35772.227480209</v>
      </c>
      <c r="AF56" s="15" t="n">
        <f aca="false">IF($P56=0,"",T56*AF$159/$BP56/1000)</f>
        <v>12249.5903817368</v>
      </c>
      <c r="AG56" s="15" t="n">
        <f aca="false">IF($P56=0,"",U56*AG$159/$BP56/1000)</f>
        <v>11455.0934002756</v>
      </c>
      <c r="AH56" s="15" t="n">
        <f aca="false">IF($P56=0,"",V56*AH$159/$BP56/1000)</f>
        <v>1604.54334696951</v>
      </c>
      <c r="AI56" s="15" t="n">
        <f aca="false">IF($P56=0,"",W56*AI$159/$BP56/1000)</f>
        <v>5149.34322903362</v>
      </c>
      <c r="AJ56" s="15" t="n">
        <f aca="false">IF($P56=0,"",X56*AJ$159/$BP56/1000)</f>
        <v>1282.67777030837</v>
      </c>
      <c r="AK56" s="15" t="n">
        <f aca="false">IF($P56=0,"",Y56*AK$159/$BP56/1000)</f>
        <v>1500.40884713077</v>
      </c>
      <c r="AL56" s="15" t="n">
        <f aca="false">IF($P56=0,"",Z56*AL$159/$BP56/1000)</f>
        <v>3317.68099920115</v>
      </c>
      <c r="AM56" s="15" t="n">
        <f aca="false">IF($P56=0,"",AA56*AM$159/$BP56/1000)</f>
        <v>0</v>
      </c>
      <c r="AN56" s="15" t="n">
        <f aca="false">SUM(AC56:AM56)</f>
        <v>72331.5654548649</v>
      </c>
      <c r="AO56" s="15" t="n">
        <f aca="false">D56-AN56</f>
        <v>-4.94545486489369</v>
      </c>
      <c r="AP56" s="421" t="n">
        <f aca="false">IF(D56=0,0,AO56/D56)</f>
        <v>-6.83766898673502E-005</v>
      </c>
      <c r="AQ56" s="75" t="n">
        <f aca="false">IF(AB56=0,0,AN56/AB56)*1000</f>
        <v>1417.09702319802</v>
      </c>
      <c r="AR56" s="340" t="n">
        <f aca="false">IF(C56=0,0,D56/C56)*1000</f>
        <v>1417.00013341935</v>
      </c>
      <c r="AS56" s="422" t="n">
        <f aca="false">IF($P56=0,"",Q56*1000/AS$159*$AD$159/14.696/$BP56/42)</f>
        <v>72.5321004206693</v>
      </c>
      <c r="AT56" s="15" t="n">
        <f aca="false">IF($P56=0,"",R56*1000/AT$159*$AD$159/14.696/$BP56/42)</f>
        <v>168.596295113829</v>
      </c>
      <c r="AU56" s="15" t="n">
        <f aca="false">IF($P56=0,"",S56*1000/AU$159*$AD$159/14.696/$BP56/42)</f>
        <v>14260.1907547769</v>
      </c>
      <c r="AV56" s="15" t="n">
        <f aca="false">IF($P56=0,"",T56*1000/AV$159*$AD$159/14.696/$BP56/42)</f>
        <v>4396.13143491702</v>
      </c>
      <c r="AW56" s="15" t="n">
        <f aca="false">IF($P56=0,"",U56*1000/AW$159*$AD$159/14.696/$BP56/42)</f>
        <v>2978.73365453529</v>
      </c>
      <c r="AX56" s="15" t="n">
        <f aca="false">IF($P56=0,"",V56*1000/AX$159*$AD$159/14.696/$BP56/42)</f>
        <v>383.461341731212</v>
      </c>
      <c r="AY56" s="15" t="n">
        <f aca="false">IF($P56=0,"",W56*1000/AY$159*$AD$159/14.696/$BP56/42)</f>
        <v>1181.77925860751</v>
      </c>
      <c r="AZ56" s="15" t="n">
        <f aca="false">IF($P56=0,"",X56*1000/AZ$159*$AD$159/14.696/$BP56/42)</f>
        <v>278.442576119921</v>
      </c>
      <c r="BA56" s="15" t="n">
        <f aca="false">IF($P56=0,"",Y56*1000/BA$159*$AD$159/14.696/$BP56/42)</f>
        <v>322.203919775302</v>
      </c>
      <c r="BB56" s="15" t="n">
        <f aca="false">IF($P56=0,"",Z56*1000/BB$159*$AD$159/14.696/$BP56/42)</f>
        <v>666.567078763169</v>
      </c>
      <c r="BC56" s="15" t="n">
        <f aca="false">IF($P56=0,"",AA56*1000/BC$159*$AD$159/14.696/$BP56/42)</f>
        <v>0</v>
      </c>
      <c r="BD56" s="55" t="n">
        <f aca="false">SUM(AS56:BC56)</f>
        <v>24708.6384147608</v>
      </c>
      <c r="BE56" s="419" t="n">
        <f aca="false">IF($P56=0,"",E56/$P56*BE$159)</f>
        <v>6.825E-005</v>
      </c>
      <c r="BF56" s="420" t="n">
        <f aca="false">IF($P56=0,"",F56/$P56*BF$159)</f>
        <v>5.57804E-005</v>
      </c>
      <c r="BG56" s="420" t="n">
        <f aca="false">IF($P56=0,"",G56/$P56*BG$159)</f>
        <v>0.008035436</v>
      </c>
      <c r="BH56" s="420" t="n">
        <f aca="false">IF($P56=0,"",H56/$P56*BH$159)</f>
        <v>0.003221806</v>
      </c>
      <c r="BI56" s="420" t="n">
        <f aca="false">IF($P56=0,"",I56/$P56*BI$159)</f>
        <v>0.003089688</v>
      </c>
      <c r="BJ56" s="420" t="n">
        <f aca="false">IF($P56=0,"",J56/$P56*BJ$159)</f>
        <v>0.000425565</v>
      </c>
      <c r="BK56" s="420" t="n">
        <f aca="false">IF($P56=0,"",K56/$P56*BK$159)</f>
        <v>0.00145089</v>
      </c>
      <c r="BL56" s="420" t="n">
        <f aca="false">IF($P56=0,"",L56/$P56*BL$159)</f>
        <v>0.000361152</v>
      </c>
      <c r="BM56" s="420" t="n">
        <f aca="false">IF($P56=0,"",M56/$P56*BM$159)</f>
        <v>0.000443592</v>
      </c>
      <c r="BN56" s="420" t="n">
        <f aca="false">IF($P56=0,"",N56/$P56*BN$159)</f>
        <v>0.0010925805</v>
      </c>
      <c r="BO56" s="420" t="n">
        <f aca="false">IF($P56=0,"",O56/$P56*BO$159)</f>
        <v>0</v>
      </c>
      <c r="BP56" s="418" t="n">
        <f aca="false">1-AD$159*(SUM(BE56:BO56))^2</f>
        <v>0.995123446676627</v>
      </c>
    </row>
    <row r="57" customFormat="false" ht="15" hidden="false" customHeight="false" outlineLevel="0" collapsed="false">
      <c r="A57" s="413" t="s">
        <v>78</v>
      </c>
      <c r="B57" s="414" t="s">
        <v>265</v>
      </c>
      <c r="C57" s="415" t="n">
        <v>23172.18</v>
      </c>
      <c r="D57" s="417" t="n">
        <v>35036.33</v>
      </c>
      <c r="E57" s="417" t="n">
        <v>0.386</v>
      </c>
      <c r="F57" s="417" t="n">
        <v>1.243</v>
      </c>
      <c r="G57" s="417" t="n">
        <v>66.996</v>
      </c>
      <c r="H57" s="417" t="n">
        <v>12.796</v>
      </c>
      <c r="I57" s="417" t="n">
        <v>9.021</v>
      </c>
      <c r="J57" s="417" t="n">
        <v>1.124</v>
      </c>
      <c r="K57" s="417" t="n">
        <v>3.668</v>
      </c>
      <c r="L57" s="417" t="n">
        <v>0.902</v>
      </c>
      <c r="M57" s="417" t="n">
        <v>1.16</v>
      </c>
      <c r="N57" s="417" t="n">
        <v>2.704</v>
      </c>
      <c r="O57" s="76"/>
      <c r="P57" s="423" t="n">
        <f aca="false">SUM(E57:O57)</f>
        <v>100</v>
      </c>
      <c r="Q57" s="99" t="n">
        <f aca="false">IF($P57=0,"",$C57*E57/$P57)</f>
        <v>89.4446148</v>
      </c>
      <c r="R57" s="100" t="n">
        <f aca="false">IF($P57=0,"",$C57*F57/$P57)</f>
        <v>288.0301974</v>
      </c>
      <c r="S57" s="100" t="n">
        <f aca="false">IF($P57=0,"",$C57*G57/$P57)</f>
        <v>15524.4337128</v>
      </c>
      <c r="T57" s="100" t="n">
        <f aca="false">IF($P57=0,"",$C57*H57/$P57)</f>
        <v>2965.1121528</v>
      </c>
      <c r="U57" s="100" t="n">
        <f aca="false">IF($P57=0,"",$C57*I57/$P57)</f>
        <v>2090.3623578</v>
      </c>
      <c r="V57" s="100" t="n">
        <f aca="false">IF($P57=0,"",$C57*J57/$P57)</f>
        <v>260.4553032</v>
      </c>
      <c r="W57" s="100" t="n">
        <f aca="false">IF($P57=0,"",$C57*K57/$P57)</f>
        <v>849.9555624</v>
      </c>
      <c r="X57" s="100" t="n">
        <f aca="false">IF($P57=0,"",$C57*L57/$P57)</f>
        <v>209.0130636</v>
      </c>
      <c r="Y57" s="100" t="n">
        <f aca="false">IF($P57=0,"",$C57*M57/$P57)</f>
        <v>268.797288</v>
      </c>
      <c r="Z57" s="100" t="n">
        <f aca="false">IF($P57=0,"",$C57*N57/$P57)</f>
        <v>626.5757472</v>
      </c>
      <c r="AA57" s="100" t="n">
        <f aca="false">IF($P57=0,"",$C57*O57/$P57)</f>
        <v>0</v>
      </c>
      <c r="AB57" s="101" t="n">
        <f aca="false">SUM(Q57:AA57)</f>
        <v>23172.18</v>
      </c>
      <c r="AC57" s="424"/>
      <c r="AD57" s="425"/>
      <c r="AE57" s="100" t="n">
        <f aca="false">IF($P57=0,"",S57*AE$159/$BP57/1000)</f>
        <v>15720.7935120615</v>
      </c>
      <c r="AF57" s="100" t="n">
        <f aca="false">IF($P57=0,"",T57*AF$159/$BP57/1000)</f>
        <v>5261.43769331459</v>
      </c>
      <c r="AG57" s="100" t="n">
        <f aca="false">IF($P57=0,"",U57*AG$159/$BP57/1000)</f>
        <v>5273.50338319464</v>
      </c>
      <c r="AH57" s="100" t="n">
        <f aca="false">IF($P57=0,"",V57*AH$159/$BP57/1000)</f>
        <v>849.222544336696</v>
      </c>
      <c r="AI57" s="100" t="n">
        <f aca="false">IF($P57=0,"",W57*AI$159/$BP57/1000)</f>
        <v>2780.19719631429</v>
      </c>
      <c r="AJ57" s="100" t="n">
        <f aca="false">IF($P57=0,"",X57*AJ$159/$BP57/1000)</f>
        <v>838.47019182987</v>
      </c>
      <c r="AK57" s="100" t="n">
        <f aca="false">IF($P57=0,"",Y57*AK$159/$BP57/1000)</f>
        <v>1080.4074925613</v>
      </c>
      <c r="AL57" s="100" t="n">
        <f aca="false">IF($P57=0,"",Z57*AL$159/$BP57/1000)</f>
        <v>3222.41781717801</v>
      </c>
      <c r="AM57" s="100" t="n">
        <f aca="false">IF($P57=0,"",AA57*AM$159/$BP57/1000)</f>
        <v>0</v>
      </c>
      <c r="AN57" s="100" t="n">
        <f aca="false">SUM(AC57:AM57)</f>
        <v>35026.4498307909</v>
      </c>
      <c r="AO57" s="100" t="n">
        <f aca="false">D57-AN57</f>
        <v>9.88016920912924</v>
      </c>
      <c r="AP57" s="426" t="n">
        <f aca="false">IF(D57=0,0,AO57/D57)</f>
        <v>0.000281997835079451</v>
      </c>
      <c r="AQ57" s="427" t="n">
        <f aca="false">IF(AB57=0,0,AN57/AB57)*1000</f>
        <v>1511.57335351231</v>
      </c>
      <c r="AR57" s="428" t="n">
        <f aca="false">IF(C57=0,0,D57/C57)*1000</f>
        <v>1511.99973416398</v>
      </c>
      <c r="AS57" s="429" t="n">
        <f aca="false">IF($P57=0,"",Q57*1000/AS$159*$AD$159/14.696/$BP57/42)</f>
        <v>36.3480048516992</v>
      </c>
      <c r="AT57" s="100" t="n">
        <f aca="false">IF($P57=0,"",R57*1000/AT$159*$AD$159/14.696/$BP57/42)</f>
        <v>75.4554934237374</v>
      </c>
      <c r="AU57" s="100" t="n">
        <f aca="false">IF($P57=0,"",S57*1000/AU$159*$AD$159/14.696/$BP57/42)</f>
        <v>6266.91514869974</v>
      </c>
      <c r="AV57" s="100" t="n">
        <f aca="false">IF($P57=0,"",T57*1000/AV$159*$AD$159/14.696/$BP57/42)</f>
        <v>1888.22408877627</v>
      </c>
      <c r="AW57" s="100" t="n">
        <f aca="false">IF($P57=0,"",U57*1000/AW$159*$AD$159/14.696/$BP57/42)</f>
        <v>1371.29933872469</v>
      </c>
      <c r="AX57" s="100" t="n">
        <f aca="false">IF($P57=0,"",V57*1000/AX$159*$AD$159/14.696/$BP57/42)</f>
        <v>202.951211567319</v>
      </c>
      <c r="AY57" s="100" t="n">
        <f aca="false">IF($P57=0,"",W57*1000/AY$159*$AD$159/14.696/$BP57/42)</f>
        <v>638.057949393984</v>
      </c>
      <c r="AZ57" s="100" t="n">
        <f aca="false">IF($P57=0,"",X57*1000/AZ$159*$AD$159/14.696/$BP57/42)</f>
        <v>182.014380865698</v>
      </c>
      <c r="BA57" s="100" t="n">
        <f aca="false">IF($P57=0,"",Y57*1000/BA$159*$AD$159/14.696/$BP57/42)</f>
        <v>232.011114652882</v>
      </c>
      <c r="BB57" s="100" t="n">
        <f aca="false">IF($P57=0,"",Z57*1000/BB$159*$AD$159/14.696/$BP57/42)</f>
        <v>647.427414349944</v>
      </c>
      <c r="BC57" s="100" t="n">
        <f aca="false">IF($P57=0,"",AA57*1000/BC$159*$AD$159/14.696/$BP57/42)</f>
        <v>0</v>
      </c>
      <c r="BD57" s="430" t="n">
        <f aca="false">SUM(AS57:BC57)</f>
        <v>11540.704145306</v>
      </c>
      <c r="BE57" s="424" t="n">
        <f aca="false">IF($P57=0,"",E57/$P57*BE$159)</f>
        <v>7.527E-005</v>
      </c>
      <c r="BF57" s="425" t="n">
        <f aca="false">IF($P57=0,"",F57/$P57*BF$159)</f>
        <v>5.49406E-005</v>
      </c>
      <c r="BG57" s="425" t="n">
        <f aca="false">IF($P57=0,"",G57/$P57*BG$159)</f>
        <v>0.007771536</v>
      </c>
      <c r="BH57" s="425" t="n">
        <f aca="false">IF($P57=0,"",H57/$P57*BH$159)</f>
        <v>0.003045448</v>
      </c>
      <c r="BI57" s="425" t="n">
        <f aca="false">IF($P57=0,"",I57/$P57*BI$159)</f>
        <v>0.003130287</v>
      </c>
      <c r="BJ57" s="425" t="n">
        <f aca="false">IF($P57=0,"",J57/$P57*BJ$159)</f>
        <v>0.000495684</v>
      </c>
      <c r="BK57" s="425" t="n">
        <f aca="false">IF($P57=0,"",K57/$P57*BK$159)</f>
        <v>0.00172396</v>
      </c>
      <c r="BL57" s="425" t="n">
        <f aca="false">IF($P57=0,"",L57/$P57*BL$159)</f>
        <v>0.000519552</v>
      </c>
      <c r="BM57" s="425" t="n">
        <f aca="false">IF($P57=0,"",M57/$P57*BM$159)</f>
        <v>0.00070296</v>
      </c>
      <c r="BN57" s="425" t="n">
        <f aca="false">IF($P57=0,"",N57/$P57*BN$159)</f>
        <v>0.0023354448</v>
      </c>
      <c r="BO57" s="425" t="n">
        <f aca="false">IF($P57=0,"",O57/$P57*BO$159)</f>
        <v>0</v>
      </c>
      <c r="BP57" s="423" t="n">
        <f aca="false">1-AD$159*(SUM(BE57:BO57))^2</f>
        <v>0.994224614047327</v>
      </c>
    </row>
    <row r="58" customFormat="false" ht="15" hidden="false" customHeight="false" outlineLevel="0" collapsed="false">
      <c r="A58" s="413" t="s">
        <v>79</v>
      </c>
      <c r="B58" s="414" t="s">
        <v>266</v>
      </c>
      <c r="C58" s="415" t="n">
        <v>164470.78</v>
      </c>
      <c r="D58" s="417" t="n">
        <v>231081.44</v>
      </c>
      <c r="E58" s="417" t="n">
        <v>0.452</v>
      </c>
      <c r="F58" s="417" t="n">
        <v>1.557</v>
      </c>
      <c r="G58" s="417" t="n">
        <v>68.605</v>
      </c>
      <c r="H58" s="417" t="n">
        <v>13.605</v>
      </c>
      <c r="I58" s="417" t="n">
        <v>9.30300000000001</v>
      </c>
      <c r="J58" s="417" t="n">
        <v>1.09</v>
      </c>
      <c r="K58" s="417" t="n">
        <v>3.269</v>
      </c>
      <c r="L58" s="417" t="n">
        <v>0.677</v>
      </c>
      <c r="M58" s="417" t="n">
        <v>0.726</v>
      </c>
      <c r="N58" s="417" t="n">
        <v>0.716</v>
      </c>
      <c r="O58" s="76"/>
      <c r="P58" s="418" t="n">
        <f aca="false">SUM(E58:O58)</f>
        <v>100</v>
      </c>
      <c r="Q58" s="14" t="n">
        <f aca="false">IF($P58=0,"",$C58*E58/$P58)</f>
        <v>743.4079256</v>
      </c>
      <c r="R58" s="15" t="n">
        <f aca="false">IF($P58=0,"",$C58*F58/$P58)</f>
        <v>2560.8100446</v>
      </c>
      <c r="S58" s="15" t="n">
        <f aca="false">IF($P58=0,"",$C58*G58/$P58)</f>
        <v>112835.178619</v>
      </c>
      <c r="T58" s="15" t="n">
        <f aca="false">IF($P58=0,"",$C58*H58/$P58)</f>
        <v>22376.249619</v>
      </c>
      <c r="U58" s="15" t="n">
        <f aca="false">IF($P58=0,"",$C58*I58/$P58)</f>
        <v>15300.7166634</v>
      </c>
      <c r="V58" s="15" t="n">
        <f aca="false">IF($P58=0,"",$C58*J58/$P58)</f>
        <v>1792.731502</v>
      </c>
      <c r="W58" s="15" t="n">
        <f aca="false">IF($P58=0,"",$C58*K58/$P58)</f>
        <v>5376.5497982</v>
      </c>
      <c r="X58" s="15" t="n">
        <f aca="false">IF($P58=0,"",$C58*L58/$P58)</f>
        <v>1113.4671806</v>
      </c>
      <c r="Y58" s="15" t="n">
        <f aca="false">IF($P58=0,"",$C58*M58/$P58)</f>
        <v>1194.0578628</v>
      </c>
      <c r="Z58" s="15" t="n">
        <f aca="false">IF($P58=0,"",$C58*N58/$P58)</f>
        <v>1177.6107848</v>
      </c>
      <c r="AA58" s="15" t="n">
        <f aca="false">IF($P58=0,"",$C58*O58/$P58)</f>
        <v>0</v>
      </c>
      <c r="AB58" s="16" t="n">
        <f aca="false">SUM(Q58:AA58)</f>
        <v>164470.78</v>
      </c>
      <c r="AC58" s="419"/>
      <c r="AD58" s="420"/>
      <c r="AE58" s="15" t="n">
        <f aca="false">IF($P58=0,"",S58*AE$159/$BP58/1000)</f>
        <v>114147.083882419</v>
      </c>
      <c r="AF58" s="15" t="n">
        <f aca="false">IF($P58=0,"",T58*AF$159/$BP58/1000)</f>
        <v>39665.4338960614</v>
      </c>
      <c r="AG58" s="15" t="n">
        <f aca="false">IF($P58=0,"",U58*AG$159/$BP58/1000)</f>
        <v>38561.2434676111</v>
      </c>
      <c r="AH58" s="15" t="n">
        <f aca="false">IF($P58=0,"",V58*AH$159/$BP58/1000)</f>
        <v>5839.35884170118</v>
      </c>
      <c r="AI58" s="15" t="n">
        <f aca="false">IF($P58=0,"",W58*AI$159/$BP58/1000)</f>
        <v>17568.9035027369</v>
      </c>
      <c r="AJ58" s="15" t="n">
        <f aca="false">IF($P58=0,"",X58*AJ$159/$BP58/1000)</f>
        <v>4462.24304963761</v>
      </c>
      <c r="AK58" s="15" t="n">
        <f aca="false">IF($P58=0,"",Y58*AK$159/$BP58/1000)</f>
        <v>4794.57019893224</v>
      </c>
      <c r="AL58" s="15" t="n">
        <f aca="false">IF($P58=0,"",Z58*AL$159/$BP58/1000)</f>
        <v>6050.22670306941</v>
      </c>
      <c r="AM58" s="15" t="n">
        <f aca="false">IF($P58=0,"",AA58*AM$159/$BP58/1000)</f>
        <v>0</v>
      </c>
      <c r="AN58" s="15" t="n">
        <f aca="false">SUM(AC58:AM58)</f>
        <v>231089.063542169</v>
      </c>
      <c r="AO58" s="15" t="n">
        <f aca="false">D58-AN58</f>
        <v>-7.62354216934182</v>
      </c>
      <c r="AP58" s="421" t="n">
        <f aca="false">IF(D58=0,0,AO58/D58)</f>
        <v>-3.29907160408115E-005</v>
      </c>
      <c r="AQ58" s="75" t="n">
        <f aca="false">IF(AB58=0,0,AN58/AB58)*1000</f>
        <v>1405.04631608222</v>
      </c>
      <c r="AR58" s="340" t="n">
        <f aca="false">IF(C58=0,0,D58/C58)*1000</f>
        <v>1404.99996412737</v>
      </c>
      <c r="AS58" s="422" t="n">
        <f aca="false">IF($P58=0,"",Q58*1000/AS$159*$AD$159/14.696/$BP58/42)</f>
        <v>301.797175098735</v>
      </c>
      <c r="AT58" s="15" t="n">
        <f aca="false">IF($P58=0,"",R58*1000/AT$159*$AD$159/14.696/$BP58/42)</f>
        <v>670.180535539659</v>
      </c>
      <c r="AU58" s="15" t="n">
        <f aca="false">IF($P58=0,"",S58*1000/AU$159*$AD$159/14.696/$BP58/42)</f>
        <v>45503.4339464987</v>
      </c>
      <c r="AV58" s="15" t="n">
        <f aca="false">IF($P58=0,"",T58*1000/AV$159*$AD$159/14.696/$BP58/42)</f>
        <v>14235.1258610311</v>
      </c>
      <c r="AW58" s="15" t="n">
        <f aca="false">IF($P58=0,"",U58*1000/AW$159*$AD$159/14.696/$BP58/42)</f>
        <v>10027.3013640324</v>
      </c>
      <c r="AX58" s="15" t="n">
        <f aca="false">IF($P58=0,"",V58*1000/AX$159*$AD$159/14.696/$BP58/42)</f>
        <v>1395.51753495339</v>
      </c>
      <c r="AY58" s="15" t="n">
        <f aca="false">IF($P58=0,"",W58*1000/AY$159*$AD$159/14.696/$BP58/42)</f>
        <v>4032.08037074425</v>
      </c>
      <c r="AZ58" s="15" t="n">
        <f aca="false">IF($P58=0,"",X58*1000/AZ$159*$AD$159/14.696/$BP58/42)</f>
        <v>968.659844877171</v>
      </c>
      <c r="BA58" s="15" t="n">
        <f aca="false">IF($P58=0,"",Y58*1000/BA$159*$AD$159/14.696/$BP58/42)</f>
        <v>1029.60557363281</v>
      </c>
      <c r="BB58" s="15" t="n">
        <f aca="false">IF($P58=0,"",Z58*1000/BB$159*$AD$159/14.696/$BP58/42)</f>
        <v>1215.57254609197</v>
      </c>
      <c r="BC58" s="15" t="n">
        <f aca="false">IF($P58=0,"",AA58*1000/BC$159*$AD$159/14.696/$BP58/42)</f>
        <v>0</v>
      </c>
      <c r="BD58" s="55" t="n">
        <f aca="false">SUM(AS58:BC58)</f>
        <v>79379.2747525001</v>
      </c>
      <c r="BE58" s="419" t="n">
        <f aca="false">IF($P58=0,"",E58/$P58*BE$159)</f>
        <v>8.814E-005</v>
      </c>
      <c r="BF58" s="420" t="n">
        <f aca="false">IF($P58=0,"",F58/$P58*BF$159)</f>
        <v>6.88194E-005</v>
      </c>
      <c r="BG58" s="420" t="n">
        <f aca="false">IF($P58=0,"",G58/$P58*BG$159)</f>
        <v>0.00795818</v>
      </c>
      <c r="BH58" s="420" t="n">
        <f aca="false">IF($P58=0,"",H58/$P58*BH$159)</f>
        <v>0.00323799</v>
      </c>
      <c r="BI58" s="420" t="n">
        <f aca="false">IF($P58=0,"",I58/$P58*BI$159)</f>
        <v>0.003228141</v>
      </c>
      <c r="BJ58" s="420" t="n">
        <f aca="false">IF($P58=0,"",J58/$P58*BJ$159)</f>
        <v>0.00048069</v>
      </c>
      <c r="BK58" s="420" t="n">
        <f aca="false">IF($P58=0,"",K58/$P58*BK$159)</f>
        <v>0.00153643</v>
      </c>
      <c r="BL58" s="420" t="n">
        <f aca="false">IF($P58=0,"",L58/$P58*BL$159)</f>
        <v>0.000389952</v>
      </c>
      <c r="BM58" s="420" t="n">
        <f aca="false">IF($P58=0,"",M58/$P58*BM$159)</f>
        <v>0.000439956</v>
      </c>
      <c r="BN58" s="420" t="n">
        <f aca="false">IF($P58=0,"",N58/$P58*BN$159)</f>
        <v>0.0006184092</v>
      </c>
      <c r="BO58" s="420" t="n">
        <f aca="false">IF($P58=0,"",O58/$P58*BO$159)</f>
        <v>0</v>
      </c>
      <c r="BP58" s="418" t="n">
        <f aca="false">1-AD$159*(SUM(BE58:BO58))^2</f>
        <v>0.995228734451321</v>
      </c>
    </row>
    <row r="59" customFormat="false" ht="15" hidden="false" customHeight="false" outlineLevel="0" collapsed="false">
      <c r="A59" s="413" t="s">
        <v>80</v>
      </c>
      <c r="B59" s="414" t="s">
        <v>267</v>
      </c>
      <c r="C59" s="415" t="n">
        <v>17299.87</v>
      </c>
      <c r="D59" s="417" t="n">
        <v>23960.32</v>
      </c>
      <c r="E59" s="417" t="n">
        <v>0.67</v>
      </c>
      <c r="F59" s="417" t="n">
        <v>1.207</v>
      </c>
      <c r="G59" s="417" t="n">
        <v>69.703</v>
      </c>
      <c r="H59" s="417" t="n">
        <v>13.688</v>
      </c>
      <c r="I59" s="417" t="n">
        <v>8.957</v>
      </c>
      <c r="J59" s="417" t="n">
        <v>0.956</v>
      </c>
      <c r="K59" s="417" t="n">
        <v>2.885</v>
      </c>
      <c r="L59" s="417" t="n">
        <v>0.548</v>
      </c>
      <c r="M59" s="417" t="n">
        <v>0.611</v>
      </c>
      <c r="N59" s="417" t="n">
        <v>0.775</v>
      </c>
      <c r="O59" s="76"/>
      <c r="P59" s="423" t="n">
        <f aca="false">SUM(E59:O59)</f>
        <v>100</v>
      </c>
      <c r="Q59" s="99" t="n">
        <f aca="false">IF($P59=0,"",$C59*E59/$P59)</f>
        <v>115.909129</v>
      </c>
      <c r="R59" s="100" t="n">
        <f aca="false">IF($P59=0,"",$C59*F59/$P59)</f>
        <v>208.8094309</v>
      </c>
      <c r="S59" s="100" t="n">
        <f aca="false">IF($P59=0,"",$C59*G59/$P59)</f>
        <v>12058.5283861</v>
      </c>
      <c r="T59" s="100" t="n">
        <f aca="false">IF($P59=0,"",$C59*H59/$P59)</f>
        <v>2368.0062056</v>
      </c>
      <c r="U59" s="100" t="n">
        <f aca="false">IF($P59=0,"",$C59*I59/$P59)</f>
        <v>1549.5493559</v>
      </c>
      <c r="V59" s="100" t="n">
        <f aca="false">IF($P59=0,"",$C59*J59/$P59)</f>
        <v>165.3867572</v>
      </c>
      <c r="W59" s="100" t="n">
        <f aca="false">IF($P59=0,"",$C59*K59/$P59)</f>
        <v>499.1012495</v>
      </c>
      <c r="X59" s="100" t="n">
        <f aca="false">IF($P59=0,"",$C59*L59/$P59)</f>
        <v>94.8032876</v>
      </c>
      <c r="Y59" s="100" t="n">
        <f aca="false">IF($P59=0,"",$C59*M59/$P59)</f>
        <v>105.7022057</v>
      </c>
      <c r="Z59" s="100" t="n">
        <f aca="false">IF($P59=0,"",$C59*N59/$P59)</f>
        <v>134.0739925</v>
      </c>
      <c r="AA59" s="100" t="n">
        <f aca="false">IF($P59=0,"",$C59*O59/$P59)</f>
        <v>0</v>
      </c>
      <c r="AB59" s="101" t="n">
        <f aca="false">SUM(Q59:AA59)</f>
        <v>17299.87</v>
      </c>
      <c r="AC59" s="424"/>
      <c r="AD59" s="425"/>
      <c r="AE59" s="100" t="n">
        <f aca="false">IF($P59=0,"",S59*AE$159/$BP59/1000)</f>
        <v>12196.9388649057</v>
      </c>
      <c r="AF59" s="100" t="n">
        <f aca="false">IF($P59=0,"",T59*AF$159/$BP59/1000)</f>
        <v>4197.0484626088</v>
      </c>
      <c r="AG59" s="100" t="n">
        <f aca="false">IF($P59=0,"",U59*AG$159/$BP59/1000)</f>
        <v>3904.63917680886</v>
      </c>
      <c r="AH59" s="100" t="n">
        <f aca="false">IF($P59=0,"",V59*AH$159/$BP59/1000)</f>
        <v>538.625466175755</v>
      </c>
      <c r="AI59" s="100" t="n">
        <f aca="false">IF($P59=0,"",W59*AI$159/$BP59/1000)</f>
        <v>1630.6692384585</v>
      </c>
      <c r="AJ59" s="100" t="n">
        <f aca="false">IF($P59=0,"",X59*AJ$159/$BP59/1000)</f>
        <v>379.870383977036</v>
      </c>
      <c r="AK59" s="100" t="n">
        <f aca="false">IF($P59=0,"",Y59*AK$159/$BP59/1000)</f>
        <v>424.36992249346</v>
      </c>
      <c r="AL59" s="100" t="n">
        <f aca="false">IF($P59=0,"",Z59*AL$159/$BP59/1000)</f>
        <v>688.732619623056</v>
      </c>
      <c r="AM59" s="100" t="n">
        <f aca="false">IF($P59=0,"",AA59*AM$159/$BP59/1000)</f>
        <v>0</v>
      </c>
      <c r="AN59" s="100" t="n">
        <f aca="false">SUM(AC59:AM59)</f>
        <v>23960.8941350512</v>
      </c>
      <c r="AO59" s="100" t="n">
        <f aca="false">D59-AN59</f>
        <v>-0.574135051188932</v>
      </c>
      <c r="AP59" s="426" t="n">
        <f aca="false">IF(D59=0,0,AO59/D59)</f>
        <v>-2.39619108254369E-005</v>
      </c>
      <c r="AQ59" s="427" t="n">
        <f aca="false">IF(AB59=0,0,AN59/AB59)*1000</f>
        <v>1385.03319013676</v>
      </c>
      <c r="AR59" s="428" t="n">
        <f aca="false">IF(C59=0,0,D59/C59)*1000</f>
        <v>1385.0000028902</v>
      </c>
      <c r="AS59" s="429" t="n">
        <f aca="false">IF($P59=0,"",Q59*1000/AS$159*$AD$159/14.696/$BP59/42)</f>
        <v>47.0480754035591</v>
      </c>
      <c r="AT59" s="100" t="n">
        <f aca="false">IF($P59=0,"",R59*1000/AT$159*$AD$159/14.696/$BP59/42)</f>
        <v>54.6387546212279</v>
      </c>
      <c r="AU59" s="100" t="n">
        <f aca="false">IF($P59=0,"",S59*1000/AU$159*$AD$159/14.696/$BP59/42)</f>
        <v>4862.17065834478</v>
      </c>
      <c r="AV59" s="100" t="n">
        <f aca="false">IF($P59=0,"",T59*1000/AV$159*$AD$159/14.696/$BP59/42)</f>
        <v>1506.2362173231</v>
      </c>
      <c r="AW59" s="100" t="n">
        <f aca="false">IF($P59=0,"",U59*1000/AW$159*$AD$159/14.696/$BP59/42)</f>
        <v>1015.34572598925</v>
      </c>
      <c r="AX59" s="100" t="n">
        <f aca="false">IF($P59=0,"",V59*1000/AX$159*$AD$159/14.696/$BP59/42)</f>
        <v>128.723255959678</v>
      </c>
      <c r="AY59" s="100" t="n">
        <f aca="false">IF($P59=0,"",W59*1000/AY$159*$AD$159/14.696/$BP59/42)</f>
        <v>374.240169657757</v>
      </c>
      <c r="AZ59" s="100" t="n">
        <f aca="false">IF($P59=0,"",X59*1000/AZ$159*$AD$159/14.696/$BP59/42)</f>
        <v>82.461932961386</v>
      </c>
      <c r="BA59" s="100" t="n">
        <f aca="false">IF($P59=0,"",Y59*1000/BA$159*$AD$159/14.696/$BP59/42)</f>
        <v>91.1309292287958</v>
      </c>
      <c r="BB59" s="100" t="n">
        <f aca="false">IF($P59=0,"",Z59*1000/BB$159*$AD$159/14.696/$BP59/42)</f>
        <v>138.37571798542</v>
      </c>
      <c r="BC59" s="100" t="n">
        <f aca="false">IF($P59=0,"",AA59*1000/BC$159*$AD$159/14.696/$BP59/42)</f>
        <v>0</v>
      </c>
      <c r="BD59" s="430" t="n">
        <f aca="false">SUM(AS59:BC59)</f>
        <v>8300.37143747495</v>
      </c>
      <c r="BE59" s="424" t="n">
        <f aca="false">IF($P59=0,"",E59/$P59*BE$159)</f>
        <v>0.00013065</v>
      </c>
      <c r="BF59" s="425" t="n">
        <f aca="false">IF($P59=0,"",F59/$P59*BF$159)</f>
        <v>5.33494E-005</v>
      </c>
      <c r="BG59" s="425" t="n">
        <f aca="false">IF($P59=0,"",G59/$P59*BG$159)</f>
        <v>0.008085548</v>
      </c>
      <c r="BH59" s="425" t="n">
        <f aca="false">IF($P59=0,"",H59/$P59*BH$159)</f>
        <v>0.003257744</v>
      </c>
      <c r="BI59" s="425" t="n">
        <f aca="false">IF($P59=0,"",I59/$P59*BI$159)</f>
        <v>0.003108079</v>
      </c>
      <c r="BJ59" s="425" t="n">
        <f aca="false">IF($P59=0,"",J59/$P59*BJ$159)</f>
        <v>0.000421596</v>
      </c>
      <c r="BK59" s="425" t="n">
        <f aca="false">IF($P59=0,"",K59/$P59*BK$159)</f>
        <v>0.00135595</v>
      </c>
      <c r="BL59" s="425" t="n">
        <f aca="false">IF($P59=0,"",L59/$P59*BL$159)</f>
        <v>0.000315648</v>
      </c>
      <c r="BM59" s="425" t="n">
        <f aca="false">IF($P59=0,"",M59/$P59*BM$159)</f>
        <v>0.000370266</v>
      </c>
      <c r="BN59" s="425" t="n">
        <f aca="false">IF($P59=0,"",N59/$P59*BN$159)</f>
        <v>0.0006693675</v>
      </c>
      <c r="BO59" s="425" t="n">
        <f aca="false">IF($P59=0,"",O59/$P59*BO$159)</f>
        <v>0</v>
      </c>
      <c r="BP59" s="423" t="n">
        <f aca="false">1-AD$159*(SUM(BE59:BO59))^2</f>
        <v>0.995374865250611</v>
      </c>
    </row>
    <row r="60" customFormat="false" ht="15" hidden="false" customHeight="false" outlineLevel="0" collapsed="false">
      <c r="A60" s="413" t="s">
        <v>81</v>
      </c>
      <c r="B60" s="414" t="s">
        <v>268</v>
      </c>
      <c r="C60" s="415" t="n">
        <v>93835.16</v>
      </c>
      <c r="D60" s="416" t="n">
        <v>137843.85</v>
      </c>
      <c r="E60" s="417" t="n">
        <v>0.674</v>
      </c>
      <c r="F60" s="417" t="n">
        <v>1.324</v>
      </c>
      <c r="G60" s="417" t="n">
        <v>67.68</v>
      </c>
      <c r="H60" s="417" t="n">
        <v>13.238</v>
      </c>
      <c r="I60" s="417" t="n">
        <v>8.748</v>
      </c>
      <c r="J60" s="417" t="n">
        <v>1.033</v>
      </c>
      <c r="K60" s="417" t="n">
        <v>3.276</v>
      </c>
      <c r="L60" s="417" t="n">
        <v>0.778</v>
      </c>
      <c r="M60" s="417" t="n">
        <v>0.912</v>
      </c>
      <c r="N60" s="417" t="n">
        <v>2.337</v>
      </c>
      <c r="O60" s="76"/>
      <c r="P60" s="418" t="n">
        <f aca="false">SUM(E60:O60)</f>
        <v>100</v>
      </c>
      <c r="Q60" s="14" t="n">
        <f aca="false">IF($P60=0,"",$C60*E60/$P60)</f>
        <v>632.4489784</v>
      </c>
      <c r="R60" s="15" t="n">
        <f aca="false">IF($P60=0,"",$C60*F60/$P60)</f>
        <v>1242.3775184</v>
      </c>
      <c r="S60" s="15" t="n">
        <f aca="false">IF($P60=0,"",$C60*G60/$P60)</f>
        <v>63507.636288</v>
      </c>
      <c r="T60" s="15" t="n">
        <f aca="false">IF($P60=0,"",$C60*H60/$P60)</f>
        <v>12421.8984808</v>
      </c>
      <c r="U60" s="15" t="n">
        <f aca="false">IF($P60=0,"",$C60*I60/$P60)</f>
        <v>8208.6997968</v>
      </c>
      <c r="V60" s="15" t="n">
        <f aca="false">IF($P60=0,"",$C60*J60/$P60)</f>
        <v>969.3172028</v>
      </c>
      <c r="W60" s="15" t="n">
        <f aca="false">IF($P60=0,"",$C60*K60/$P60)</f>
        <v>3074.0398416</v>
      </c>
      <c r="X60" s="15" t="n">
        <f aca="false">IF($P60=0,"",$C60*L60/$P60)</f>
        <v>730.0375448</v>
      </c>
      <c r="Y60" s="15" t="n">
        <f aca="false">IF($P60=0,"",$C60*M60/$P60)</f>
        <v>855.7766592</v>
      </c>
      <c r="Z60" s="15" t="n">
        <f aca="false">IF($P60=0,"",$C60*N60/$P60)</f>
        <v>2192.9276892</v>
      </c>
      <c r="AA60" s="15" t="n">
        <f aca="false">IF($P60=0,"",$C60*O60/$P60)</f>
        <v>0</v>
      </c>
      <c r="AB60" s="16" t="n">
        <f aca="false">SUM(Q60:AA60)</f>
        <v>93835.16</v>
      </c>
      <c r="AC60" s="419"/>
      <c r="AD60" s="420"/>
      <c r="AE60" s="15" t="n">
        <f aca="false">IF($P60=0,"",S60*AE$159/$BP60/1000)</f>
        <v>64288.1865239326</v>
      </c>
      <c r="AF60" s="15" t="n">
        <f aca="false">IF($P60=0,"",T60*AF$159/$BP60/1000)</f>
        <v>22034.2266660905</v>
      </c>
      <c r="AG60" s="15" t="n">
        <f aca="false">IF($P60=0,"",U60*AG$159/$BP60/1000)</f>
        <v>20701.3446614916</v>
      </c>
      <c r="AH60" s="15" t="n">
        <f aca="false">IF($P60=0,"",V60*AH$159/$BP60/1000)</f>
        <v>3159.37196985198</v>
      </c>
      <c r="AI60" s="15" t="n">
        <f aca="false">IF($P60=0,"",W60*AI$159/$BP60/1000)</f>
        <v>10051.6047456539</v>
      </c>
      <c r="AJ60" s="15" t="n">
        <f aca="false">IF($P60=0,"",X60*AJ$159/$BP60/1000)</f>
        <v>2927.5607963475</v>
      </c>
      <c r="AK60" s="15" t="n">
        <f aca="false">IF($P60=0,"",Y60*AK$159/$BP60/1000)</f>
        <v>3438.50509355661</v>
      </c>
      <c r="AL60" s="15" t="n">
        <f aca="false">IF($P60=0,"",Z60*AL$159/$BP60/1000)</f>
        <v>11274.0280456953</v>
      </c>
      <c r="AM60" s="15" t="n">
        <f aca="false">IF($P60=0,"",AA60*AM$159/$BP60/1000)</f>
        <v>0</v>
      </c>
      <c r="AN60" s="15" t="n">
        <f aca="false">SUM(AC60:AM60)</f>
        <v>137874.82850262</v>
      </c>
      <c r="AO60" s="15" t="n">
        <f aca="false">D60-AN60</f>
        <v>-30.9785026198952</v>
      </c>
      <c r="AP60" s="421" t="n">
        <f aca="false">IF(D60=0,0,AO60/D60)</f>
        <v>-0.00022473619693512</v>
      </c>
      <c r="AQ60" s="75" t="n">
        <f aca="false">IF(AB60=0,0,AN60/AB60)*1000</f>
        <v>1469.33013704692</v>
      </c>
      <c r="AR60" s="340" t="n">
        <f aca="false">IF(C60=0,0,D60/C60)*1000</f>
        <v>1468.99999957372</v>
      </c>
      <c r="AS60" s="422" t="n">
        <f aca="false">IF($P60=0,"",Q60*1000/AS$159*$AD$159/14.696/$BP60/42)</f>
        <v>256.920290731686</v>
      </c>
      <c r="AT60" s="15" t="n">
        <f aca="false">IF($P60=0,"",R60*1000/AT$159*$AD$159/14.696/$BP60/42)</f>
        <v>325.351606464792</v>
      </c>
      <c r="AU60" s="15" t="n">
        <f aca="false">IF($P60=0,"",S60*1000/AU$159*$AD$159/14.696/$BP60/42)</f>
        <v>25627.7528039637</v>
      </c>
      <c r="AV60" s="15" t="n">
        <f aca="false">IF($P60=0,"",T60*1000/AV$159*$AD$159/14.696/$BP60/42)</f>
        <v>7907.64045753774</v>
      </c>
      <c r="AW60" s="15" t="n">
        <f aca="false">IF($P60=0,"",U60*1000/AW$159*$AD$159/14.696/$BP60/42)</f>
        <v>5383.08941556387</v>
      </c>
      <c r="AX60" s="15" t="n">
        <f aca="false">IF($P60=0,"",V60*1000/AX$159*$AD$159/14.696/$BP60/42)</f>
        <v>755.041624070529</v>
      </c>
      <c r="AY60" s="15" t="n">
        <f aca="false">IF($P60=0,"",W60*1000/AY$159*$AD$159/14.696/$BP60/42)</f>
        <v>2306.85302489807</v>
      </c>
      <c r="AZ60" s="15" t="n">
        <f aca="false">IF($P60=0,"",X60*1000/AZ$159*$AD$159/14.696/$BP60/42)</f>
        <v>635.512354507171</v>
      </c>
      <c r="BA60" s="15" t="n">
        <f aca="false">IF($P60=0,"",Y60*1000/BA$159*$AD$159/14.696/$BP60/42)</f>
        <v>738.398618103268</v>
      </c>
      <c r="BB60" s="15" t="n">
        <f aca="false">IF($P60=0,"",Z60*1000/BB$159*$AD$159/14.696/$BP60/42)</f>
        <v>2265.10503635601</v>
      </c>
      <c r="BC60" s="15" t="n">
        <f aca="false">IF($P60=0,"",AA60*1000/BC$159*$AD$159/14.696/$BP60/42)</f>
        <v>0</v>
      </c>
      <c r="BD60" s="55" t="n">
        <f aca="false">SUM(AS60:BC60)</f>
        <v>46201.6652321968</v>
      </c>
      <c r="BE60" s="419" t="n">
        <f aca="false">IF($P60=0,"",E60/$P60*BE$159)</f>
        <v>0.00013143</v>
      </c>
      <c r="BF60" s="420" t="n">
        <f aca="false">IF($P60=0,"",F60/$P60*BF$159)</f>
        <v>5.85208E-005</v>
      </c>
      <c r="BG60" s="420" t="n">
        <f aca="false">IF($P60=0,"",G60/$P60*BG$159)</f>
        <v>0.00785088</v>
      </c>
      <c r="BH60" s="420" t="n">
        <f aca="false">IF($P60=0,"",H60/$P60*BH$159)</f>
        <v>0.003150644</v>
      </c>
      <c r="BI60" s="420" t="n">
        <f aca="false">IF($P60=0,"",I60/$P60*BI$159)</f>
        <v>0.003035556</v>
      </c>
      <c r="BJ60" s="420" t="n">
        <f aca="false">IF($P60=0,"",J60/$P60*BJ$159)</f>
        <v>0.000455553</v>
      </c>
      <c r="BK60" s="420" t="n">
        <f aca="false">IF($P60=0,"",K60/$P60*BK$159)</f>
        <v>0.00153972</v>
      </c>
      <c r="BL60" s="420" t="n">
        <f aca="false">IF($P60=0,"",L60/$P60*BL$159)</f>
        <v>0.000448128</v>
      </c>
      <c r="BM60" s="420" t="n">
        <f aca="false">IF($P60=0,"",M60/$P60*BM$159)</f>
        <v>0.000552672</v>
      </c>
      <c r="BN60" s="420" t="n">
        <f aca="false">IF($P60=0,"",N60/$P60*BN$159)</f>
        <v>0.0020184669</v>
      </c>
      <c r="BO60" s="420" t="n">
        <f aca="false">IF($P60=0,"",O60/$P60*BO$159)</f>
        <v>0</v>
      </c>
      <c r="BP60" s="418" t="n">
        <f aca="false">1-AD$159*(SUM(BE60:BO60))^2</f>
        <v>0.994576012670005</v>
      </c>
    </row>
    <row r="61" customFormat="false" ht="15" hidden="false" customHeight="false" outlineLevel="0" collapsed="false">
      <c r="A61" s="413" t="s">
        <v>82</v>
      </c>
      <c r="B61" s="414" t="s">
        <v>269</v>
      </c>
      <c r="C61" s="415" t="n">
        <v>135025.2</v>
      </c>
      <c r="D61" s="416" t="n">
        <v>181203.81</v>
      </c>
      <c r="E61" s="417" t="n">
        <v>0.231</v>
      </c>
      <c r="F61" s="417" t="n">
        <v>0.898</v>
      </c>
      <c r="G61" s="417" t="n">
        <v>77.321</v>
      </c>
      <c r="H61" s="417" t="n">
        <v>9.42</v>
      </c>
      <c r="I61" s="417" t="n">
        <v>6.01</v>
      </c>
      <c r="J61" s="417" t="n">
        <v>0.761</v>
      </c>
      <c r="K61" s="417" t="n">
        <v>2.32</v>
      </c>
      <c r="L61" s="417" t="n">
        <v>0.588</v>
      </c>
      <c r="M61" s="417" t="n">
        <v>0.705</v>
      </c>
      <c r="N61" s="417" t="n">
        <v>1.746</v>
      </c>
      <c r="O61" s="76"/>
      <c r="P61" s="423" t="n">
        <f aca="false">SUM(E61:O61)</f>
        <v>100</v>
      </c>
      <c r="Q61" s="99" t="n">
        <f aca="false">IF($P61=0,"",$C61*E61/$P61)</f>
        <v>311.908212</v>
      </c>
      <c r="R61" s="100" t="n">
        <f aca="false">IF($P61=0,"",$C61*F61/$P61)</f>
        <v>1212.526296</v>
      </c>
      <c r="S61" s="100" t="n">
        <f aca="false">IF($P61=0,"",$C61*G61/$P61)</f>
        <v>104402.834892</v>
      </c>
      <c r="T61" s="100" t="n">
        <f aca="false">IF($P61=0,"",$C61*H61/$P61)</f>
        <v>12719.37384</v>
      </c>
      <c r="U61" s="100" t="n">
        <f aca="false">IF($P61=0,"",$C61*I61/$P61)</f>
        <v>8115.01452</v>
      </c>
      <c r="V61" s="100" t="n">
        <f aca="false">IF($P61=0,"",$C61*J61/$P61)</f>
        <v>1027.541772</v>
      </c>
      <c r="W61" s="100" t="n">
        <f aca="false">IF($P61=0,"",$C61*K61/$P61)</f>
        <v>3132.58464</v>
      </c>
      <c r="X61" s="100" t="n">
        <f aca="false">IF($P61=0,"",$C61*L61/$P61)</f>
        <v>793.948176</v>
      </c>
      <c r="Y61" s="100" t="n">
        <f aca="false">IF($P61=0,"",$C61*M61/$P61)</f>
        <v>951.92766</v>
      </c>
      <c r="Z61" s="100" t="n">
        <f aca="false">IF($P61=0,"",$C61*N61/$P61)</f>
        <v>2357.539992</v>
      </c>
      <c r="AA61" s="100" t="n">
        <f aca="false">IF($P61=0,"",$C61*O61/$P61)</f>
        <v>0</v>
      </c>
      <c r="AB61" s="101" t="n">
        <f aca="false">SUM(Q61:AA61)</f>
        <v>135025.2</v>
      </c>
      <c r="AC61" s="424"/>
      <c r="AD61" s="425"/>
      <c r="AE61" s="100" t="n">
        <f aca="false">IF($P61=0,"",S61*AE$159/$BP61/1000)</f>
        <v>105564.003626683</v>
      </c>
      <c r="AF61" s="100" t="n">
        <f aca="false">IF($P61=0,"",T61*AF$159/$BP61/1000)</f>
        <v>22535.8479832643</v>
      </c>
      <c r="AG61" s="100" t="n">
        <f aca="false">IF($P61=0,"",U61*AG$159/$BP61/1000)</f>
        <v>20441.4556707621</v>
      </c>
      <c r="AH61" s="100" t="n">
        <f aca="false">IF($P61=0,"",V61*AH$159/$BP61/1000)</f>
        <v>3345.28144499745</v>
      </c>
      <c r="AI61" s="100" t="n">
        <f aca="false">IF($P61=0,"",W61*AI$159/$BP61/1000)</f>
        <v>10231.2114453991</v>
      </c>
      <c r="AJ61" s="100" t="n">
        <f aca="false">IF($P61=0,"",X61*AJ$159/$BP61/1000)</f>
        <v>3180.1764526359</v>
      </c>
      <c r="AK61" s="100" t="n">
        <f aca="false">IF($P61=0,"",Y61*AK$159/$BP61/1000)</f>
        <v>3820.42357518634</v>
      </c>
      <c r="AL61" s="100" t="n">
        <f aca="false">IF($P61=0,"",Z61*AL$159/$BP61/1000)</f>
        <v>12106.3215138872</v>
      </c>
      <c r="AM61" s="100" t="n">
        <f aca="false">IF($P61=0,"",AA61*AM$159/$BP61/1000)</f>
        <v>0</v>
      </c>
      <c r="AN61" s="100" t="n">
        <f aca="false">SUM(AC61:AM61)</f>
        <v>181224.721712816</v>
      </c>
      <c r="AO61" s="100" t="n">
        <f aca="false">D61-AN61</f>
        <v>-20.9117128154903</v>
      </c>
      <c r="AP61" s="426" t="n">
        <f aca="false">IF(D61=0,0,AO61/D61)</f>
        <v>-0.000115404377068508</v>
      </c>
      <c r="AQ61" s="427" t="n">
        <f aca="false">IF(AB61=0,0,AN61/AB61)*1000</f>
        <v>1342.15481045624</v>
      </c>
      <c r="AR61" s="428" t="n">
        <f aca="false">IF(C61=0,0,D61/C61)*1000</f>
        <v>1341.99993778939</v>
      </c>
      <c r="AS61" s="429" t="n">
        <f aca="false">IF($P61=0,"",Q61*1000/AS$159*$AD$159/14.696/$BP61/42)</f>
        <v>126.56046267452</v>
      </c>
      <c r="AT61" s="100" t="n">
        <f aca="false">IF($P61=0,"",R61*1000/AT$159*$AD$159/14.696/$BP61/42)</f>
        <v>317.167641479749</v>
      </c>
      <c r="AU61" s="100" t="n">
        <f aca="false">IF($P61=0,"",S61*1000/AU$159*$AD$159/14.696/$BP61/42)</f>
        <v>42081.8868321046</v>
      </c>
      <c r="AV61" s="100" t="n">
        <f aca="false">IF($P61=0,"",T61*1000/AV$159*$AD$159/14.696/$BP61/42)</f>
        <v>8087.66225191055</v>
      </c>
      <c r="AW61" s="100" t="n">
        <f aca="false">IF($P61=0,"",U61*1000/AW$159*$AD$159/14.696/$BP61/42)</f>
        <v>5315.50899032609</v>
      </c>
      <c r="AX61" s="100" t="n">
        <f aca="false">IF($P61=0,"",V61*1000/AX$159*$AD$159/14.696/$BP61/42)</f>
        <v>799.471147844051</v>
      </c>
      <c r="AY61" s="100" t="n">
        <f aca="false">IF($P61=0,"",W61*1000/AY$159*$AD$159/14.696/$BP61/42)</f>
        <v>2348.07293645283</v>
      </c>
      <c r="AZ61" s="100" t="n">
        <f aca="false">IF($P61=0,"",X61*1000/AZ$159*$AD$159/14.696/$BP61/42)</f>
        <v>690.349941727739</v>
      </c>
      <c r="BA61" s="100" t="n">
        <f aca="false">IF($P61=0,"",Y61*1000/BA$159*$AD$159/14.696/$BP61/42)</f>
        <v>820.413351654758</v>
      </c>
      <c r="BB61" s="100" t="n">
        <f aca="false">IF($P61=0,"",Z61*1000/BB$159*$AD$159/14.696/$BP61/42)</f>
        <v>2432.32407456371</v>
      </c>
      <c r="BC61" s="100" t="n">
        <f aca="false">IF($P61=0,"",AA61*1000/BC$159*$AD$159/14.696/$BP61/42)</f>
        <v>0</v>
      </c>
      <c r="BD61" s="430" t="n">
        <f aca="false">SUM(AS61:BC61)</f>
        <v>63019.4176307386</v>
      </c>
      <c r="BE61" s="424" t="n">
        <f aca="false">IF($P61=0,"",E61/$P61*BE$159)</f>
        <v>4.5045E-005</v>
      </c>
      <c r="BF61" s="425" t="n">
        <f aca="false">IF($P61=0,"",F61/$P61*BF$159)</f>
        <v>3.96916E-005</v>
      </c>
      <c r="BG61" s="425" t="n">
        <f aca="false">IF($P61=0,"",G61/$P61*BG$159)</f>
        <v>0.008969236</v>
      </c>
      <c r="BH61" s="425" t="n">
        <f aca="false">IF($P61=0,"",H61/$P61*BH$159)</f>
        <v>0.00224196</v>
      </c>
      <c r="BI61" s="425" t="n">
        <f aca="false">IF($P61=0,"",I61/$P61*BI$159)</f>
        <v>0.00208547</v>
      </c>
      <c r="BJ61" s="425" t="n">
        <f aca="false">IF($P61=0,"",J61/$P61*BJ$159)</f>
        <v>0.000335601</v>
      </c>
      <c r="BK61" s="425" t="n">
        <f aca="false">IF($P61=0,"",K61/$P61*BK$159)</f>
        <v>0.0010904</v>
      </c>
      <c r="BL61" s="425" t="n">
        <f aca="false">IF($P61=0,"",L61/$P61*BL$159)</f>
        <v>0.000338688</v>
      </c>
      <c r="BM61" s="425" t="n">
        <f aca="false">IF($P61=0,"",M61/$P61*BM$159)</f>
        <v>0.00042723</v>
      </c>
      <c r="BN61" s="425" t="n">
        <f aca="false">IF($P61=0,"",N61/$P61*BN$159)</f>
        <v>0.0015080202</v>
      </c>
      <c r="BO61" s="425" t="n">
        <f aca="false">IF($P61=0,"",O61/$P61*BO$159)</f>
        <v>0</v>
      </c>
      <c r="BP61" s="423" t="n">
        <f aca="false">1-AD$159*(SUM(BE61:BO61))^2</f>
        <v>0.995725536717865</v>
      </c>
    </row>
    <row r="62" customFormat="false" ht="15" hidden="false" customHeight="false" outlineLevel="0" collapsed="false">
      <c r="A62" s="413" t="s">
        <v>83</v>
      </c>
      <c r="B62" s="414" t="s">
        <v>270</v>
      </c>
      <c r="C62" s="415" t="n">
        <v>62525.86</v>
      </c>
      <c r="D62" s="416" t="n">
        <v>81971.41</v>
      </c>
      <c r="E62" s="417" t="n">
        <v>0.117</v>
      </c>
      <c r="F62" s="417" t="n">
        <v>1.02</v>
      </c>
      <c r="G62" s="417" t="n">
        <v>75.73</v>
      </c>
      <c r="H62" s="417" t="n">
        <v>12.299</v>
      </c>
      <c r="I62" s="417" t="n">
        <v>6.199</v>
      </c>
      <c r="J62" s="417" t="n">
        <v>0.854</v>
      </c>
      <c r="K62" s="417" t="n">
        <v>2.076</v>
      </c>
      <c r="L62" s="417" t="n">
        <v>0.475</v>
      </c>
      <c r="M62" s="417" t="n">
        <v>0.54</v>
      </c>
      <c r="N62" s="417" t="n">
        <v>0.69</v>
      </c>
      <c r="O62" s="76"/>
      <c r="P62" s="418" t="n">
        <f aca="false">SUM(E62:O62)</f>
        <v>100</v>
      </c>
      <c r="Q62" s="14" t="n">
        <f aca="false">IF($P62=0,"",$C62*E62/$P62)</f>
        <v>73.1552562</v>
      </c>
      <c r="R62" s="15" t="n">
        <f aca="false">IF($P62=0,"",$C62*F62/$P62)</f>
        <v>637.763772</v>
      </c>
      <c r="S62" s="15" t="n">
        <f aca="false">IF($P62=0,"",$C62*G62/$P62)</f>
        <v>47350.833778</v>
      </c>
      <c r="T62" s="15" t="n">
        <f aca="false">IF($P62=0,"",$C62*H62/$P62)</f>
        <v>7690.0555214</v>
      </c>
      <c r="U62" s="15" t="n">
        <f aca="false">IF($P62=0,"",$C62*I62/$P62)</f>
        <v>3875.9780614</v>
      </c>
      <c r="V62" s="15" t="n">
        <f aca="false">IF($P62=0,"",$C62*J62/$P62)</f>
        <v>533.9708444</v>
      </c>
      <c r="W62" s="15" t="n">
        <f aca="false">IF($P62=0,"",$C62*K62/$P62)</f>
        <v>1298.0368536</v>
      </c>
      <c r="X62" s="15" t="n">
        <f aca="false">IF($P62=0,"",$C62*L62/$P62)</f>
        <v>296.997835</v>
      </c>
      <c r="Y62" s="15" t="n">
        <f aca="false">IF($P62=0,"",$C62*M62/$P62)</f>
        <v>337.639644</v>
      </c>
      <c r="Z62" s="15" t="n">
        <f aca="false">IF($P62=0,"",$C62*N62/$P62)</f>
        <v>431.428434</v>
      </c>
      <c r="AA62" s="15" t="n">
        <f aca="false">IF($P62=0,"",$C62*O62/$P62)</f>
        <v>0</v>
      </c>
      <c r="AB62" s="16" t="n">
        <f aca="false">SUM(Q62:AA62)</f>
        <v>62525.86</v>
      </c>
      <c r="AC62" s="419"/>
      <c r="AD62" s="420"/>
      <c r="AE62" s="15" t="n">
        <f aca="false">IF($P62=0,"",S62*AE$159/$BP62/1000)</f>
        <v>47863.2559138885</v>
      </c>
      <c r="AF62" s="15" t="n">
        <f aca="false">IF($P62=0,"",T62*AF$159/$BP62/1000)</f>
        <v>13620.9906200269</v>
      </c>
      <c r="AG62" s="15" t="n">
        <f aca="false">IF($P62=0,"",U62*AG$159/$BP62/1000)</f>
        <v>9760.56312358479</v>
      </c>
      <c r="AH62" s="15" t="n">
        <f aca="false">IF($P62=0,"",V62*AH$159/$BP62/1000)</f>
        <v>1737.8879273709</v>
      </c>
      <c r="AI62" s="15" t="n">
        <f aca="false">IF($P62=0,"",W62*AI$159/$BP62/1000)</f>
        <v>4238.20847107342</v>
      </c>
      <c r="AJ62" s="15" t="n">
        <f aca="false">IF($P62=0,"",X62*AJ$159/$BP62/1000)</f>
        <v>1189.27801836594</v>
      </c>
      <c r="AK62" s="15" t="n">
        <f aca="false">IF($P62=0,"",Y62*AK$159/$BP62/1000)</f>
        <v>1354.66543564587</v>
      </c>
      <c r="AL62" s="15" t="n">
        <f aca="false">IF($P62=0,"",Z62*AL$159/$BP62/1000)</f>
        <v>2214.79199722407</v>
      </c>
      <c r="AM62" s="15" t="n">
        <f aca="false">IF($P62=0,"",AA62*AM$159/$BP62/1000)</f>
        <v>0</v>
      </c>
      <c r="AN62" s="15" t="n">
        <f aca="false">SUM(AC62:AM62)</f>
        <v>81979.6415071803</v>
      </c>
      <c r="AO62" s="15" t="n">
        <f aca="false">D62-AN62</f>
        <v>-8.23150718028774</v>
      </c>
      <c r="AP62" s="421" t="n">
        <f aca="false">IF(D62=0,0,AO62/D62)</f>
        <v>-0.00010041924593328</v>
      </c>
      <c r="AQ62" s="75" t="n">
        <f aca="false">IF(AB62=0,0,AN62/AB62)*1000</f>
        <v>1311.13177023363</v>
      </c>
      <c r="AR62" s="340" t="n">
        <f aca="false">IF(C62=0,0,D62/C62)*1000</f>
        <v>1311.0001205901</v>
      </c>
      <c r="AS62" s="422" t="n">
        <f aca="false">IF($P62=0,"",Q62*1000/AS$159*$AD$159/14.696/$BP62/42)</f>
        <v>29.6748017619482</v>
      </c>
      <c r="AT62" s="15" t="n">
        <f aca="false">IF($P62=0,"",R62*1000/AT$159*$AD$159/14.696/$BP62/42)</f>
        <v>166.774097258665</v>
      </c>
      <c r="AU62" s="15" t="n">
        <f aca="false">IF($P62=0,"",S62*1000/AU$159*$AD$159/14.696/$BP62/42)</f>
        <v>19080.1414268755</v>
      </c>
      <c r="AV62" s="15" t="n">
        <f aca="false">IF($P62=0,"",T62*1000/AV$159*$AD$159/14.696/$BP62/42)</f>
        <v>4888.29937764171</v>
      </c>
      <c r="AW62" s="15" t="n">
        <f aca="false">IF($P62=0,"",U62*1000/AW$159*$AD$159/14.696/$BP62/42)</f>
        <v>2538.09522519812</v>
      </c>
      <c r="AX62" s="15" t="n">
        <f aca="false">IF($P62=0,"",V62*1000/AX$159*$AD$159/14.696/$BP62/42)</f>
        <v>415.328658877785</v>
      </c>
      <c r="AY62" s="15" t="n">
        <f aca="false">IF($P62=0,"",W62*1000/AY$159*$AD$159/14.696/$BP62/42)</f>
        <v>972.672949149903</v>
      </c>
      <c r="AZ62" s="15" t="n">
        <f aca="false">IF($P62=0,"",X62*1000/AZ$159*$AD$159/14.696/$BP62/42)</f>
        <v>258.167439104363</v>
      </c>
      <c r="BA62" s="15" t="n">
        <f aca="false">IF($P62=0,"",Y62*1000/BA$159*$AD$159/14.696/$BP62/42)</f>
        <v>290.906384738995</v>
      </c>
      <c r="BB62" s="15" t="n">
        <f aca="false">IF($P62=0,"",Z62*1000/BB$159*$AD$159/14.696/$BP62/42)</f>
        <v>444.98173031499</v>
      </c>
      <c r="BC62" s="15" t="n">
        <f aca="false">IF($P62=0,"",AA62*1000/BC$159*$AD$159/14.696/$BP62/42)</f>
        <v>0</v>
      </c>
      <c r="BD62" s="55" t="n">
        <f aca="false">SUM(AS62:BC62)</f>
        <v>29085.042090922</v>
      </c>
      <c r="BE62" s="419" t="n">
        <f aca="false">IF($P62=0,"",E62/$P62*BE$159)</f>
        <v>2.2815E-005</v>
      </c>
      <c r="BF62" s="420" t="n">
        <f aca="false">IF($P62=0,"",F62/$P62*BF$159)</f>
        <v>4.5084E-005</v>
      </c>
      <c r="BG62" s="420" t="n">
        <f aca="false">IF($P62=0,"",G62/$P62*BG$159)</f>
        <v>0.00878468</v>
      </c>
      <c r="BH62" s="420" t="n">
        <f aca="false">IF($P62=0,"",H62/$P62*BH$159)</f>
        <v>0.002927162</v>
      </c>
      <c r="BI62" s="420" t="n">
        <f aca="false">IF($P62=0,"",I62/$P62*BI$159)</f>
        <v>0.002151053</v>
      </c>
      <c r="BJ62" s="420" t="n">
        <f aca="false">IF($P62=0,"",J62/$P62*BJ$159)</f>
        <v>0.000376614</v>
      </c>
      <c r="BK62" s="420" t="n">
        <f aca="false">IF($P62=0,"",K62/$P62*BK$159)</f>
        <v>0.00097572</v>
      </c>
      <c r="BL62" s="420" t="n">
        <f aca="false">IF($P62=0,"",L62/$P62*BL$159)</f>
        <v>0.0002736</v>
      </c>
      <c r="BM62" s="420" t="n">
        <f aca="false">IF($P62=0,"",M62/$P62*BM$159)</f>
        <v>0.00032724</v>
      </c>
      <c r="BN62" s="420" t="n">
        <f aca="false">IF($P62=0,"",N62/$P62*BN$159)</f>
        <v>0.000595953</v>
      </c>
      <c r="BO62" s="420" t="n">
        <f aca="false">IF($P62=0,"",O62/$P62*BO$159)</f>
        <v>0</v>
      </c>
      <c r="BP62" s="418" t="n">
        <f aca="false">1-AD$159*(SUM(BE62:BO62))^2</f>
        <v>0.996021238786165</v>
      </c>
    </row>
    <row r="63" customFormat="false" ht="15" hidden="false" customHeight="false" outlineLevel="0" collapsed="false">
      <c r="A63" s="413" t="s">
        <v>84</v>
      </c>
      <c r="B63" s="414" t="s">
        <v>271</v>
      </c>
      <c r="C63" s="415" t="n">
        <v>66780.48</v>
      </c>
      <c r="D63" s="416" t="n">
        <v>93559.45</v>
      </c>
      <c r="E63" s="417" t="n">
        <v>0.534</v>
      </c>
      <c r="F63" s="417" t="n">
        <v>0.769</v>
      </c>
      <c r="G63" s="417" t="n">
        <v>70.478</v>
      </c>
      <c r="H63" s="417" t="n">
        <v>14.337</v>
      </c>
      <c r="I63" s="417" t="n">
        <v>7.781</v>
      </c>
      <c r="J63" s="417" t="n">
        <v>0.784</v>
      </c>
      <c r="K63" s="417" t="n">
        <v>2.504</v>
      </c>
      <c r="L63" s="417" t="n">
        <v>0.516</v>
      </c>
      <c r="M63" s="417" t="n">
        <v>0.772</v>
      </c>
      <c r="N63" s="417" t="n">
        <v>1.525</v>
      </c>
      <c r="O63" s="76"/>
      <c r="P63" s="423" t="n">
        <f aca="false">SUM(E63:O63)</f>
        <v>100</v>
      </c>
      <c r="Q63" s="99" t="n">
        <f aca="false">IF($P63=0,"",$C63*E63/$P63)</f>
        <v>356.6077632</v>
      </c>
      <c r="R63" s="100" t="n">
        <f aca="false">IF($P63=0,"",$C63*F63/$P63)</f>
        <v>513.5418912</v>
      </c>
      <c r="S63" s="100" t="n">
        <f aca="false">IF($P63=0,"",$C63*G63/$P63)</f>
        <v>47065.5466944</v>
      </c>
      <c r="T63" s="100" t="n">
        <f aca="false">IF($P63=0,"",$C63*H63/$P63)</f>
        <v>9574.3174176</v>
      </c>
      <c r="U63" s="100" t="n">
        <f aca="false">IF($P63=0,"",$C63*I63/$P63)</f>
        <v>5196.1891488</v>
      </c>
      <c r="V63" s="100" t="n">
        <f aca="false">IF($P63=0,"",$C63*J63/$P63)</f>
        <v>523.5589632</v>
      </c>
      <c r="W63" s="100" t="n">
        <f aca="false">IF($P63=0,"",$C63*K63/$P63)</f>
        <v>1672.1832192</v>
      </c>
      <c r="X63" s="100" t="n">
        <f aca="false">IF($P63=0,"",$C63*L63/$P63)</f>
        <v>344.5872768</v>
      </c>
      <c r="Y63" s="100" t="n">
        <f aca="false">IF($P63=0,"",$C63*M63/$P63)</f>
        <v>515.5453056</v>
      </c>
      <c r="Z63" s="100" t="n">
        <f aca="false">IF($P63=0,"",$C63*N63/$P63)</f>
        <v>1018.40232</v>
      </c>
      <c r="AA63" s="100" t="n">
        <f aca="false">IF($P63=0,"",$C63*O63/$P63)</f>
        <v>0</v>
      </c>
      <c r="AB63" s="101" t="n">
        <f aca="false">SUM(Q63:AA63)</f>
        <v>66780.48</v>
      </c>
      <c r="AC63" s="424"/>
      <c r="AD63" s="425"/>
      <c r="AE63" s="100" t="n">
        <f aca="false">IF($P63=0,"",S63*AE$159/$BP63/1000)</f>
        <v>47612.3581552365</v>
      </c>
      <c r="AF63" s="100" t="n">
        <f aca="false">IF($P63=0,"",T63*AF$159/$BP63/1000)</f>
        <v>16971.8434299044</v>
      </c>
      <c r="AG63" s="100" t="n">
        <f aca="false">IF($P63=0,"",U63*AG$159/$BP63/1000)</f>
        <v>13095.4519826905</v>
      </c>
      <c r="AH63" s="100" t="n">
        <f aca="false">IF($P63=0,"",V63*AH$159/$BP63/1000)</f>
        <v>1705.34321384239</v>
      </c>
      <c r="AI63" s="100" t="n">
        <f aca="false">IF($P63=0,"",W63*AI$159/$BP63/1000)</f>
        <v>5464.13133690758</v>
      </c>
      <c r="AJ63" s="100" t="n">
        <f aca="false">IF($P63=0,"",X63*AJ$159/$BP63/1000)</f>
        <v>1380.92891352276</v>
      </c>
      <c r="AK63" s="100" t="n">
        <f aca="false">IF($P63=0,"",Y63*AK$159/$BP63/1000)</f>
        <v>2070.08142989552</v>
      </c>
      <c r="AL63" s="100" t="n">
        <f aca="false">IF($P63=0,"",Z63*AL$159/$BP63/1000)</f>
        <v>5232.21447039071</v>
      </c>
      <c r="AM63" s="100" t="n">
        <f aca="false">IF($P63=0,"",AA63*AM$159/$BP63/1000)</f>
        <v>0</v>
      </c>
      <c r="AN63" s="100" t="n">
        <f aca="false">SUM(AC63:AM63)</f>
        <v>93532.3529323904</v>
      </c>
      <c r="AO63" s="100" t="n">
        <f aca="false">D63-AN63</f>
        <v>27.0970676096185</v>
      </c>
      <c r="AP63" s="426" t="n">
        <f aca="false">IF(D63=0,0,AO63/D63)</f>
        <v>0.000289624058388741</v>
      </c>
      <c r="AQ63" s="427" t="n">
        <f aca="false">IF(AB63=0,0,AN63/AB63)*1000</f>
        <v>1400.59419956835</v>
      </c>
      <c r="AR63" s="428" t="n">
        <f aca="false">IF(C63=0,0,D63/C63)*1000</f>
        <v>1400.9999628634</v>
      </c>
      <c r="AS63" s="429" t="n">
        <f aca="false">IF($P63=0,"",Q63*1000/AS$159*$AD$159/14.696/$BP63/42)</f>
        <v>144.768828733508</v>
      </c>
      <c r="AT63" s="100" t="n">
        <f aca="false">IF($P63=0,"",R63*1000/AT$159*$AD$159/14.696/$BP63/42)</f>
        <v>134.396081229835</v>
      </c>
      <c r="AU63" s="100" t="n">
        <f aca="false">IF($P63=0,"",S63*1000/AU$159*$AD$159/14.696/$BP63/42)</f>
        <v>18980.1238951101</v>
      </c>
      <c r="AV63" s="100" t="n">
        <f aca="false">IF($P63=0,"",T63*1000/AV$159*$AD$159/14.696/$BP63/42)</f>
        <v>6090.85300696513</v>
      </c>
      <c r="AW63" s="100" t="n">
        <f aca="false">IF($P63=0,"",U63*1000/AW$159*$AD$159/14.696/$BP63/42)</f>
        <v>3405.28550742785</v>
      </c>
      <c r="AX63" s="100" t="n">
        <f aca="false">IF($P63=0,"",V63*1000/AX$159*$AD$159/14.696/$BP63/42)</f>
        <v>407.550969643355</v>
      </c>
      <c r="AY63" s="100" t="n">
        <f aca="false">IF($P63=0,"",W63*1000/AY$159*$AD$159/14.696/$BP63/42)</f>
        <v>1254.02343426165</v>
      </c>
      <c r="AZ63" s="100" t="n">
        <f aca="false">IF($P63=0,"",X63*1000/AZ$159*$AD$159/14.696/$BP63/42)</f>
        <v>299.770848938403</v>
      </c>
      <c r="BA63" s="100" t="n">
        <f aca="false">IF($P63=0,"",Y63*1000/BA$159*$AD$159/14.696/$BP63/42)</f>
        <v>444.537735325858</v>
      </c>
      <c r="BB63" s="100" t="n">
        <f aca="false">IF($P63=0,"",Z63*1000/BB$159*$AD$159/14.696/$BP63/42)</f>
        <v>1051.2228016589</v>
      </c>
      <c r="BC63" s="100" t="n">
        <f aca="false">IF($P63=0,"",AA63*1000/BC$159*$AD$159/14.696/$BP63/42)</f>
        <v>0</v>
      </c>
      <c r="BD63" s="430" t="n">
        <f aca="false">SUM(AS63:BC63)</f>
        <v>32212.5331092945</v>
      </c>
      <c r="BE63" s="424" t="n">
        <f aca="false">IF($P63=0,"",E63/$P63*BE$159)</f>
        <v>0.00010413</v>
      </c>
      <c r="BF63" s="425" t="n">
        <f aca="false">IF($P63=0,"",F63/$P63*BF$159)</f>
        <v>3.39898E-005</v>
      </c>
      <c r="BG63" s="425" t="n">
        <f aca="false">IF($P63=0,"",G63/$P63*BG$159)</f>
        <v>0.008175448</v>
      </c>
      <c r="BH63" s="425" t="n">
        <f aca="false">IF($P63=0,"",H63/$P63*BH$159)</f>
        <v>0.003412206</v>
      </c>
      <c r="BI63" s="425" t="n">
        <f aca="false">IF($P63=0,"",I63/$P63*BI$159)</f>
        <v>0.002700007</v>
      </c>
      <c r="BJ63" s="425" t="n">
        <f aca="false">IF($P63=0,"",J63/$P63*BJ$159)</f>
        <v>0.000345744</v>
      </c>
      <c r="BK63" s="425" t="n">
        <f aca="false">IF($P63=0,"",K63/$P63*BK$159)</f>
        <v>0.00117688</v>
      </c>
      <c r="BL63" s="425" t="n">
        <f aca="false">IF($P63=0,"",L63/$P63*BL$159)</f>
        <v>0.000297216</v>
      </c>
      <c r="BM63" s="425" t="n">
        <f aca="false">IF($P63=0,"",M63/$P63*BM$159)</f>
        <v>0.000467832</v>
      </c>
      <c r="BN63" s="425" t="n">
        <f aca="false">IF($P63=0,"",N63/$P63*BN$159)</f>
        <v>0.0013171425</v>
      </c>
      <c r="BO63" s="425" t="n">
        <f aca="false">IF($P63=0,"",O63/$P63*BO$159)</f>
        <v>0</v>
      </c>
      <c r="BP63" s="423" t="n">
        <f aca="false">1-AD$159*(SUM(BE63:BO63))^2</f>
        <v>0.99523725032532</v>
      </c>
    </row>
    <row r="64" customFormat="false" ht="15" hidden="false" customHeight="false" outlineLevel="0" collapsed="false">
      <c r="A64" s="413" t="s">
        <v>85</v>
      </c>
      <c r="B64" s="414" t="s">
        <v>272</v>
      </c>
      <c r="C64" s="415" t="n">
        <v>399850.83</v>
      </c>
      <c r="D64" s="416" t="n">
        <v>554593.09</v>
      </c>
      <c r="E64" s="417" t="n">
        <v>0.085</v>
      </c>
      <c r="F64" s="417" t="n">
        <v>0.77</v>
      </c>
      <c r="G64" s="417" t="n">
        <v>73.096</v>
      </c>
      <c r="H64" s="417" t="n">
        <v>13.183</v>
      </c>
      <c r="I64" s="417" t="n">
        <v>6.905</v>
      </c>
      <c r="J64" s="417" t="n">
        <v>1.013</v>
      </c>
      <c r="K64" s="417" t="n">
        <v>2.475</v>
      </c>
      <c r="L64" s="417" t="n">
        <v>0.601</v>
      </c>
      <c r="M64" s="417" t="n">
        <v>0.736</v>
      </c>
      <c r="N64" s="417" t="n">
        <v>1.136</v>
      </c>
      <c r="O64" s="76"/>
      <c r="P64" s="418" t="n">
        <f aca="false">SUM(E64:O64)</f>
        <v>100</v>
      </c>
      <c r="Q64" s="14" t="n">
        <f aca="false">IF($P64=0,"",$C64*E64/$P64)</f>
        <v>339.8732055</v>
      </c>
      <c r="R64" s="15" t="n">
        <f aca="false">IF($P64=0,"",$C64*F64/$P64)</f>
        <v>3078.851391</v>
      </c>
      <c r="S64" s="15" t="n">
        <f aca="false">IF($P64=0,"",$C64*G64/$P64)</f>
        <v>292274.9626968</v>
      </c>
      <c r="T64" s="15" t="n">
        <f aca="false">IF($P64=0,"",$C64*H64/$P64)</f>
        <v>52712.3349189</v>
      </c>
      <c r="U64" s="15" t="n">
        <f aca="false">IF($P64=0,"",$C64*I64/$P64)</f>
        <v>27609.6998115</v>
      </c>
      <c r="V64" s="15" t="n">
        <f aca="false">IF($P64=0,"",$C64*J64/$P64)</f>
        <v>4050.4889079</v>
      </c>
      <c r="W64" s="15" t="n">
        <f aca="false">IF($P64=0,"",$C64*K64/$P64)</f>
        <v>9896.3080425</v>
      </c>
      <c r="X64" s="15" t="n">
        <f aca="false">IF($P64=0,"",$C64*L64/$P64)</f>
        <v>2403.1034883</v>
      </c>
      <c r="Y64" s="15" t="n">
        <f aca="false">IF($P64=0,"",$C64*M64/$P64)</f>
        <v>2942.9021088</v>
      </c>
      <c r="Z64" s="15" t="n">
        <f aca="false">IF($P64=0,"",$C64*N64/$P64)</f>
        <v>4542.3054288</v>
      </c>
      <c r="AA64" s="15" t="n">
        <f aca="false">IF($P64=0,"",$C64*O64/$P64)</f>
        <v>0</v>
      </c>
      <c r="AB64" s="16" t="n">
        <f aca="false">SUM(Q64:AA64)</f>
        <v>399850.83</v>
      </c>
      <c r="AC64" s="419"/>
      <c r="AD64" s="420"/>
      <c r="AE64" s="15" t="n">
        <f aca="false">IF($P64=0,"",S64*AE$159/$BP64/1000)</f>
        <v>295580.502854731</v>
      </c>
      <c r="AF64" s="15" t="n">
        <f aca="false">IF($P64=0,"",T64*AF$159/$BP64/1000)</f>
        <v>93411.648121031</v>
      </c>
      <c r="AG64" s="15" t="n">
        <f aca="false">IF($P64=0,"",U64*AG$159/$BP64/1000)</f>
        <v>69560.8389570969</v>
      </c>
      <c r="AH64" s="15" t="n">
        <f aca="false">IF($P64=0,"",V64*AH$159/$BP64/1000)</f>
        <v>13189.284345241</v>
      </c>
      <c r="AI64" s="15" t="n">
        <f aca="false">IF($P64=0,"",W64*AI$159/$BP64/1000)</f>
        <v>32327.9420948458</v>
      </c>
      <c r="AJ64" s="15" t="n">
        <f aca="false">IF($P64=0,"",X64*AJ$159/$BP64/1000)</f>
        <v>9627.46934489272</v>
      </c>
      <c r="AK64" s="15" t="n">
        <f aca="false">IF($P64=0,"",Y64*AK$159/$BP64/1000)</f>
        <v>11813.1031092916</v>
      </c>
      <c r="AL64" s="15" t="n">
        <f aca="false">IF($P64=0,"",Z64*AL$159/$BP64/1000)</f>
        <v>23329.7495452665</v>
      </c>
      <c r="AM64" s="15" t="n">
        <f aca="false">IF($P64=0,"",AA64*AM$159/$BP64/1000)</f>
        <v>0</v>
      </c>
      <c r="AN64" s="15" t="n">
        <f aca="false">SUM(AC64:AM64)</f>
        <v>548840.538372397</v>
      </c>
      <c r="AO64" s="15" t="n">
        <f aca="false">D64-AN64</f>
        <v>5752.55162760348</v>
      </c>
      <c r="AP64" s="421" t="n">
        <f aca="false">IF(D64=0,0,AO64/D64)</f>
        <v>0.0103725627515544</v>
      </c>
      <c r="AQ64" s="75" t="n">
        <f aca="false">IF(AB64=0,0,AN64/AB64)*1000</f>
        <v>1372.61322771894</v>
      </c>
      <c r="AR64" s="340" t="n">
        <f aca="false">IF(C64=0,0,D64/C64)*1000</f>
        <v>1386.99997196454</v>
      </c>
      <c r="AS64" s="422" t="n">
        <f aca="false">IF($P64=0,"",Q64*1000/AS$159*$AD$159/14.696/$BP64/42)</f>
        <v>137.93319009697</v>
      </c>
      <c r="AT64" s="15" t="n">
        <f aca="false">IF($P64=0,"",R64*1000/AT$159*$AD$159/14.696/$BP64/42)</f>
        <v>805.502777319837</v>
      </c>
      <c r="AU64" s="15" t="n">
        <f aca="false">IF($P64=0,"",S64*1000/AU$159*$AD$159/14.696/$BP64/42)</f>
        <v>117829.798450021</v>
      </c>
      <c r="AV64" s="15" t="n">
        <f aca="false">IF($P64=0,"",T64*1000/AV$159*$AD$159/14.696/$BP64/42)</f>
        <v>33523.5603718243</v>
      </c>
      <c r="AW64" s="15" t="n">
        <f aca="false">IF($P64=0,"",U64*1000/AW$159*$AD$159/14.696/$BP64/42)</f>
        <v>18088.3040232765</v>
      </c>
      <c r="AX64" s="15" t="n">
        <f aca="false">IF($P64=0,"",V64*1000/AX$159*$AD$159/14.696/$BP64/42)</f>
        <v>3152.03741990069</v>
      </c>
      <c r="AY64" s="15" t="n">
        <f aca="false">IF($P64=0,"",W64*1000/AY$159*$AD$159/14.696/$BP64/42)</f>
        <v>7419.29402292402</v>
      </c>
      <c r="AZ64" s="15" t="n">
        <f aca="false">IF($P64=0,"",X64*1000/AZ$159*$AD$159/14.696/$BP64/42)</f>
        <v>2089.92268203339</v>
      </c>
      <c r="BA64" s="15" t="n">
        <f aca="false">IF($P64=0,"",Y64*1000/BA$159*$AD$159/14.696/$BP64/42)</f>
        <v>2536.79397705646</v>
      </c>
      <c r="BB64" s="15" t="n">
        <f aca="false">IF($P64=0,"",Z64*1000/BB$159*$AD$159/14.696/$BP64/42)</f>
        <v>4687.26288223887</v>
      </c>
      <c r="BC64" s="15" t="n">
        <f aca="false">IF($P64=0,"",AA64*1000/BC$159*$AD$159/14.696/$BP64/42)</f>
        <v>0</v>
      </c>
      <c r="BD64" s="55" t="n">
        <f aca="false">SUM(AS64:BC64)</f>
        <v>190270.409796692</v>
      </c>
      <c r="BE64" s="419" t="n">
        <f aca="false">IF($P64=0,"",E64/$P64*BE$159)</f>
        <v>1.6575E-005</v>
      </c>
      <c r="BF64" s="420" t="n">
        <f aca="false">IF($P64=0,"",F64/$P64*BF$159)</f>
        <v>3.4034E-005</v>
      </c>
      <c r="BG64" s="420" t="n">
        <f aca="false">IF($P64=0,"",G64/$P64*BG$159)</f>
        <v>0.008479136</v>
      </c>
      <c r="BH64" s="420" t="n">
        <f aca="false">IF($P64=0,"",H64/$P64*BH$159)</f>
        <v>0.003137554</v>
      </c>
      <c r="BI64" s="420" t="n">
        <f aca="false">IF($P64=0,"",I64/$P64*BI$159)</f>
        <v>0.002396035</v>
      </c>
      <c r="BJ64" s="420" t="n">
        <f aca="false">IF($P64=0,"",J64/$P64*BJ$159)</f>
        <v>0.000446733</v>
      </c>
      <c r="BK64" s="420" t="n">
        <f aca="false">IF($P64=0,"",K64/$P64*BK$159)</f>
        <v>0.00116325</v>
      </c>
      <c r="BL64" s="420" t="n">
        <f aca="false">IF($P64=0,"",L64/$P64*BL$159)</f>
        <v>0.000346176</v>
      </c>
      <c r="BM64" s="420" t="n">
        <f aca="false">IF($P64=0,"",M64/$P64*BM$159)</f>
        <v>0.000446016</v>
      </c>
      <c r="BN64" s="420" t="n">
        <f aca="false">IF($P64=0,"",N64/$P64*BN$159)</f>
        <v>0.000981163200000001</v>
      </c>
      <c r="BO64" s="420" t="n">
        <f aca="false">IF($P64=0,"",O64/$P64*BO$159)</f>
        <v>0</v>
      </c>
      <c r="BP64" s="418" t="n">
        <f aca="false">1-AD$159*(SUM(BE64:BO64))^2</f>
        <v>0.995540739666985</v>
      </c>
    </row>
    <row r="65" customFormat="false" ht="15" hidden="false" customHeight="false" outlineLevel="0" collapsed="false">
      <c r="A65" s="413" t="s">
        <v>273</v>
      </c>
      <c r="B65" s="414" t="s">
        <v>274</v>
      </c>
      <c r="C65" s="415" t="n">
        <v>0</v>
      </c>
      <c r="D65" s="416" t="n">
        <v>0</v>
      </c>
      <c r="E65" s="417" t="n">
        <v>0</v>
      </c>
      <c r="F65" s="417" t="n">
        <v>0</v>
      </c>
      <c r="G65" s="417" t="n">
        <v>100</v>
      </c>
      <c r="H65" s="417" t="n">
        <v>0</v>
      </c>
      <c r="I65" s="417" t="n">
        <v>0</v>
      </c>
      <c r="J65" s="417" t="n">
        <v>0</v>
      </c>
      <c r="K65" s="417" t="n">
        <v>0</v>
      </c>
      <c r="L65" s="417" t="n">
        <v>0</v>
      </c>
      <c r="M65" s="417" t="n">
        <v>0</v>
      </c>
      <c r="N65" s="417" t="n">
        <v>0</v>
      </c>
      <c r="O65" s="76"/>
      <c r="P65" s="423" t="n">
        <f aca="false">SUM(E65:O65)</f>
        <v>100</v>
      </c>
      <c r="Q65" s="99" t="n">
        <f aca="false">IF($P65=0,"",$C65*E65/$P65)</f>
        <v>0</v>
      </c>
      <c r="R65" s="100" t="n">
        <f aca="false">IF($P65=0,"",$C65*F65/$P65)</f>
        <v>0</v>
      </c>
      <c r="S65" s="100" t="n">
        <f aca="false">IF($P65=0,"",$C65*G65/$P65)</f>
        <v>0</v>
      </c>
      <c r="T65" s="100" t="n">
        <f aca="false">IF($P65=0,"",$C65*H65/$P65)</f>
        <v>0</v>
      </c>
      <c r="U65" s="100" t="n">
        <f aca="false">IF($P65=0,"",$C65*I65/$P65)</f>
        <v>0</v>
      </c>
      <c r="V65" s="100" t="n">
        <f aca="false">IF($P65=0,"",$C65*J65/$P65)</f>
        <v>0</v>
      </c>
      <c r="W65" s="100" t="n">
        <f aca="false">IF($P65=0,"",$C65*K65/$P65)</f>
        <v>0</v>
      </c>
      <c r="X65" s="100" t="n">
        <f aca="false">IF($P65=0,"",$C65*L65/$P65)</f>
        <v>0</v>
      </c>
      <c r="Y65" s="100" t="n">
        <f aca="false">IF($P65=0,"",$C65*M65/$P65)</f>
        <v>0</v>
      </c>
      <c r="Z65" s="100" t="n">
        <f aca="false">IF($P65=0,"",$C65*N65/$P65)</f>
        <v>0</v>
      </c>
      <c r="AA65" s="100" t="n">
        <f aca="false">IF($P65=0,"",$C65*O65/$P65)</f>
        <v>0</v>
      </c>
      <c r="AB65" s="101" t="n">
        <f aca="false">SUM(Q65:AA65)</f>
        <v>0</v>
      </c>
      <c r="AC65" s="424"/>
      <c r="AD65" s="425"/>
      <c r="AE65" s="100" t="n">
        <f aca="false">IF($P65=0,"",S65*AE$159/$BP65/1000)</f>
        <v>0</v>
      </c>
      <c r="AF65" s="100" t="n">
        <f aca="false">IF($P65=0,"",T65*AF$159/$BP65/1000)</f>
        <v>0</v>
      </c>
      <c r="AG65" s="100" t="n">
        <f aca="false">IF($P65=0,"",U65*AG$159/$BP65/1000)</f>
        <v>0</v>
      </c>
      <c r="AH65" s="100" t="n">
        <f aca="false">IF($P65=0,"",V65*AH$159/$BP65/1000)</f>
        <v>0</v>
      </c>
      <c r="AI65" s="100" t="n">
        <f aca="false">IF($P65=0,"",W65*AI$159/$BP65/1000)</f>
        <v>0</v>
      </c>
      <c r="AJ65" s="100" t="n">
        <f aca="false">IF($P65=0,"",X65*AJ$159/$BP65/1000)</f>
        <v>0</v>
      </c>
      <c r="AK65" s="100" t="n">
        <f aca="false">IF($P65=0,"",Y65*AK$159/$BP65/1000)</f>
        <v>0</v>
      </c>
      <c r="AL65" s="100" t="n">
        <f aca="false">IF($P65=0,"",Z65*AL$159/$BP65/1000)</f>
        <v>0</v>
      </c>
      <c r="AM65" s="100" t="n">
        <f aca="false">IF($P65=0,"",AA65*AM$159/$BP65/1000)</f>
        <v>0</v>
      </c>
      <c r="AN65" s="100" t="n">
        <f aca="false">SUM(AC65:AM65)</f>
        <v>0</v>
      </c>
      <c r="AO65" s="100" t="n">
        <f aca="false">D65-AN65</f>
        <v>0</v>
      </c>
      <c r="AP65" s="426" t="n">
        <f aca="false">IF(D65=0,0,AO65/D65)</f>
        <v>0</v>
      </c>
      <c r="AQ65" s="427" t="n">
        <f aca="false">IF(AB65=0,0,AN65/AB65)*1000</f>
        <v>0</v>
      </c>
      <c r="AR65" s="428" t="n">
        <f aca="false">IF(C65=0,0,D65/C65)*1000</f>
        <v>0</v>
      </c>
      <c r="AS65" s="429" t="n">
        <f aca="false">IF($P65=0,"",Q65*1000/AS$159*$AD$159/14.696/$BP65/42)</f>
        <v>0</v>
      </c>
      <c r="AT65" s="100" t="n">
        <f aca="false">IF($P65=0,"",R65*1000/AT$159*$AD$159/14.696/$BP65/42)</f>
        <v>0</v>
      </c>
      <c r="AU65" s="100" t="n">
        <f aca="false">IF($P65=0,"",S65*1000/AU$159*$AD$159/14.696/$BP65/42)</f>
        <v>0</v>
      </c>
      <c r="AV65" s="100" t="n">
        <f aca="false">IF($P65=0,"",T65*1000/AV$159*$AD$159/14.696/$BP65/42)</f>
        <v>0</v>
      </c>
      <c r="AW65" s="100" t="n">
        <f aca="false">IF($P65=0,"",U65*1000/AW$159*$AD$159/14.696/$BP65/42)</f>
        <v>0</v>
      </c>
      <c r="AX65" s="100" t="n">
        <f aca="false">IF($P65=0,"",V65*1000/AX$159*$AD$159/14.696/$BP65/42)</f>
        <v>0</v>
      </c>
      <c r="AY65" s="100" t="n">
        <f aca="false">IF($P65=0,"",W65*1000/AY$159*$AD$159/14.696/$BP65/42)</f>
        <v>0</v>
      </c>
      <c r="AZ65" s="100" t="n">
        <f aca="false">IF($P65=0,"",X65*1000/AZ$159*$AD$159/14.696/$BP65/42)</f>
        <v>0</v>
      </c>
      <c r="BA65" s="100" t="n">
        <f aca="false">IF($P65=0,"",Y65*1000/BA$159*$AD$159/14.696/$BP65/42)</f>
        <v>0</v>
      </c>
      <c r="BB65" s="100" t="n">
        <f aca="false">IF($P65=0,"",Z65*1000/BB$159*$AD$159/14.696/$BP65/42)</f>
        <v>0</v>
      </c>
      <c r="BC65" s="100" t="n">
        <f aca="false">IF($P65=0,"",AA65*1000/BC$159*$AD$159/14.696/$BP65/42)</f>
        <v>0</v>
      </c>
      <c r="BD65" s="430" t="n">
        <f aca="false">SUM(AS65:BC65)</f>
        <v>0</v>
      </c>
      <c r="BE65" s="424" t="n">
        <f aca="false">IF($P65=0,"",E65/$P65*BE$159)</f>
        <v>0</v>
      </c>
      <c r="BF65" s="425" t="n">
        <f aca="false">IF($P65=0,"",F65/$P65*BF$159)</f>
        <v>0</v>
      </c>
      <c r="BG65" s="425" t="n">
        <f aca="false">IF($P65=0,"",G65/$P65*BG$159)</f>
        <v>0.0116</v>
      </c>
      <c r="BH65" s="425" t="n">
        <f aca="false">IF($P65=0,"",H65/$P65*BH$159)</f>
        <v>0</v>
      </c>
      <c r="BI65" s="425" t="n">
        <f aca="false">IF($P65=0,"",I65/$P65*BI$159)</f>
        <v>0</v>
      </c>
      <c r="BJ65" s="425" t="n">
        <f aca="false">IF($P65=0,"",J65/$P65*BJ$159)</f>
        <v>0</v>
      </c>
      <c r="BK65" s="425" t="n">
        <f aca="false">IF($P65=0,"",K65/$P65*BK$159)</f>
        <v>0</v>
      </c>
      <c r="BL65" s="425" t="n">
        <f aca="false">IF($P65=0,"",L65/$P65*BL$159)</f>
        <v>0</v>
      </c>
      <c r="BM65" s="425" t="n">
        <f aca="false">IF($P65=0,"",M65/$P65*BM$159)</f>
        <v>0</v>
      </c>
      <c r="BN65" s="425" t="n">
        <f aca="false">IF($P65=0,"",N65/$P65*BN$159)</f>
        <v>0</v>
      </c>
      <c r="BO65" s="425" t="n">
        <f aca="false">IF($P65=0,"",O65/$P65*BO$159)</f>
        <v>0</v>
      </c>
      <c r="BP65" s="423" t="n">
        <f aca="false">1-AD$159*(SUM(BE65:BO65))^2</f>
        <v>0.998028696</v>
      </c>
    </row>
    <row r="66" customFormat="false" ht="15" hidden="false" customHeight="false" outlineLevel="0" collapsed="false">
      <c r="A66" s="413" t="s">
        <v>94</v>
      </c>
      <c r="B66" s="414" t="s">
        <v>275</v>
      </c>
      <c r="C66" s="415" t="n">
        <v>0</v>
      </c>
      <c r="D66" s="416" t="n">
        <v>0</v>
      </c>
      <c r="E66" s="417" t="n">
        <v>0.121</v>
      </c>
      <c r="F66" s="417" t="n">
        <v>0.673000000000001</v>
      </c>
      <c r="G66" s="417" t="n">
        <v>84.2049999999999</v>
      </c>
      <c r="H66" s="417" t="n">
        <v>7.61500000000001</v>
      </c>
      <c r="I66" s="417" t="n">
        <v>3.665</v>
      </c>
      <c r="J66" s="417" t="n">
        <v>0.5</v>
      </c>
      <c r="K66" s="417" t="n">
        <v>1.279</v>
      </c>
      <c r="L66" s="417" t="n">
        <v>0.353</v>
      </c>
      <c r="M66" s="417" t="n">
        <v>0.431</v>
      </c>
      <c r="N66" s="417" t="n">
        <v>1.158</v>
      </c>
      <c r="O66" s="76"/>
      <c r="P66" s="418" t="n">
        <f aca="false">SUM(E66:O66)</f>
        <v>99.9999999999999</v>
      </c>
      <c r="Q66" s="14" t="n">
        <f aca="false">IF($P66=0,"",$C66*E66/$P66)</f>
        <v>0</v>
      </c>
      <c r="R66" s="15" t="n">
        <f aca="false">IF($P66=0,"",$C66*F66/$P66)</f>
        <v>0</v>
      </c>
      <c r="S66" s="15" t="n">
        <f aca="false">IF($P66=0,"",$C66*G66/$P66)</f>
        <v>0</v>
      </c>
      <c r="T66" s="15" t="n">
        <f aca="false">IF($P66=0,"",$C66*H66/$P66)</f>
        <v>0</v>
      </c>
      <c r="U66" s="15" t="n">
        <f aca="false">IF($P66=0,"",$C66*I66/$P66)</f>
        <v>0</v>
      </c>
      <c r="V66" s="15" t="n">
        <f aca="false">IF($P66=0,"",$C66*J66/$P66)</f>
        <v>0</v>
      </c>
      <c r="W66" s="15" t="n">
        <f aca="false">IF($P66=0,"",$C66*K66/$P66)</f>
        <v>0</v>
      </c>
      <c r="X66" s="15" t="n">
        <f aca="false">IF($P66=0,"",$C66*L66/$P66)</f>
        <v>0</v>
      </c>
      <c r="Y66" s="15" t="n">
        <f aca="false">IF($P66=0,"",$C66*M66/$P66)</f>
        <v>0</v>
      </c>
      <c r="Z66" s="15" t="n">
        <f aca="false">IF($P66=0,"",$C66*N66/$P66)</f>
        <v>0</v>
      </c>
      <c r="AA66" s="15" t="n">
        <f aca="false">IF($P66=0,"",$C66*O66/$P66)</f>
        <v>0</v>
      </c>
      <c r="AB66" s="16" t="n">
        <f aca="false">SUM(Q66:AA66)</f>
        <v>0</v>
      </c>
      <c r="AC66" s="419"/>
      <c r="AD66" s="420"/>
      <c r="AE66" s="15" t="n">
        <f aca="false">IF($P66=0,"",S66*AE$159/$BP66/1000)</f>
        <v>0</v>
      </c>
      <c r="AF66" s="15" t="n">
        <f aca="false">IF($P66=0,"",T66*AF$159/$BP66/1000)</f>
        <v>0</v>
      </c>
      <c r="AG66" s="15" t="n">
        <f aca="false">IF($P66=0,"",U66*AG$159/$BP66/1000)</f>
        <v>0</v>
      </c>
      <c r="AH66" s="15" t="n">
        <f aca="false">IF($P66=0,"",V66*AH$159/$BP66/1000)</f>
        <v>0</v>
      </c>
      <c r="AI66" s="15" t="n">
        <f aca="false">IF($P66=0,"",W66*AI$159/$BP66/1000)</f>
        <v>0</v>
      </c>
      <c r="AJ66" s="15" t="n">
        <f aca="false">IF($P66=0,"",X66*AJ$159/$BP66/1000)</f>
        <v>0</v>
      </c>
      <c r="AK66" s="15" t="n">
        <f aca="false">IF($P66=0,"",Y66*AK$159/$BP66/1000)</f>
        <v>0</v>
      </c>
      <c r="AL66" s="15" t="n">
        <f aca="false">IF($P66=0,"",Z66*AL$159/$BP66/1000)</f>
        <v>0</v>
      </c>
      <c r="AM66" s="15" t="n">
        <f aca="false">IF($P66=0,"",AA66*AM$159/$BP66/1000)</f>
        <v>0</v>
      </c>
      <c r="AN66" s="15" t="n">
        <f aca="false">SUM(AC66:AM66)</f>
        <v>0</v>
      </c>
      <c r="AO66" s="15" t="n">
        <f aca="false">D66-AN66</f>
        <v>0</v>
      </c>
      <c r="AP66" s="421" t="n">
        <f aca="false">IF(D66=0,0,AO66/D66)</f>
        <v>0</v>
      </c>
      <c r="AQ66" s="75" t="n">
        <f aca="false">IF(AB66=0,0,AN66/AB66)*1000</f>
        <v>0</v>
      </c>
      <c r="AR66" s="340" t="n">
        <f aca="false">IF(C66=0,0,D66/C66)*1000</f>
        <v>0</v>
      </c>
      <c r="AS66" s="422" t="n">
        <f aca="false">IF($P66=0,"",Q66*1000/AS$159*$AD$159/14.696/$BP66/42)</f>
        <v>0</v>
      </c>
      <c r="AT66" s="15" t="n">
        <f aca="false">IF($P66=0,"",R66*1000/AT$159*$AD$159/14.696/$BP66/42)</f>
        <v>0</v>
      </c>
      <c r="AU66" s="15" t="n">
        <f aca="false">IF($P66=0,"",S66*1000/AU$159*$AD$159/14.696/$BP66/42)</f>
        <v>0</v>
      </c>
      <c r="AV66" s="15" t="n">
        <f aca="false">IF($P66=0,"",T66*1000/AV$159*$AD$159/14.696/$BP66/42)</f>
        <v>0</v>
      </c>
      <c r="AW66" s="15" t="n">
        <f aca="false">IF($P66=0,"",U66*1000/AW$159*$AD$159/14.696/$BP66/42)</f>
        <v>0</v>
      </c>
      <c r="AX66" s="15" t="n">
        <f aca="false">IF($P66=0,"",V66*1000/AX$159*$AD$159/14.696/$BP66/42)</f>
        <v>0</v>
      </c>
      <c r="AY66" s="15" t="n">
        <f aca="false">IF($P66=0,"",W66*1000/AY$159*$AD$159/14.696/$BP66/42)</f>
        <v>0</v>
      </c>
      <c r="AZ66" s="15" t="n">
        <f aca="false">IF($P66=0,"",X66*1000/AZ$159*$AD$159/14.696/$BP66/42)</f>
        <v>0</v>
      </c>
      <c r="BA66" s="15" t="n">
        <f aca="false">IF($P66=0,"",Y66*1000/BA$159*$AD$159/14.696/$BP66/42)</f>
        <v>0</v>
      </c>
      <c r="BB66" s="15" t="n">
        <f aca="false">IF($P66=0,"",Z66*1000/BB$159*$AD$159/14.696/$BP66/42)</f>
        <v>0</v>
      </c>
      <c r="BC66" s="15" t="n">
        <f aca="false">IF($P66=0,"",AA66*1000/BC$159*$AD$159/14.696/$BP66/42)</f>
        <v>0</v>
      </c>
      <c r="BD66" s="55" t="n">
        <f aca="false">SUM(AS66:BC66)</f>
        <v>0</v>
      </c>
      <c r="BE66" s="419" t="n">
        <f aca="false">IF($P66=0,"",E66/$P66*BE$159)</f>
        <v>2.3595E-005</v>
      </c>
      <c r="BF66" s="420" t="n">
        <f aca="false">IF($P66=0,"",F66/$P66*BF$159)</f>
        <v>2.97466000000001E-005</v>
      </c>
      <c r="BG66" s="420" t="n">
        <f aca="false">IF($P66=0,"",G66/$P66*BG$159)</f>
        <v>0.00976778</v>
      </c>
      <c r="BH66" s="420" t="n">
        <f aca="false">IF($P66=0,"",H66/$P66*BH$159)</f>
        <v>0.00181237</v>
      </c>
      <c r="BI66" s="420" t="n">
        <f aca="false">IF($P66=0,"",I66/$P66*BI$159)</f>
        <v>0.001271755</v>
      </c>
      <c r="BJ66" s="420" t="n">
        <f aca="false">IF($P66=0,"",J66/$P66*BJ$159)</f>
        <v>0.0002205</v>
      </c>
      <c r="BK66" s="420" t="n">
        <f aca="false">IF($P66=0,"",K66/$P66*BK$159)</f>
        <v>0.000601130000000001</v>
      </c>
      <c r="BL66" s="420" t="n">
        <f aca="false">IF($P66=0,"",L66/$P66*BL$159)</f>
        <v>0.000203328</v>
      </c>
      <c r="BM66" s="420" t="n">
        <f aca="false">IF($P66=0,"",M66/$P66*BM$159)</f>
        <v>0.000261186</v>
      </c>
      <c r="BN66" s="420" t="n">
        <f aca="false">IF($P66=0,"",N66/$P66*BN$159)</f>
        <v>0.0010001646</v>
      </c>
      <c r="BO66" s="420" t="n">
        <f aca="false">IF($P66=0,"",O66/$P66*BO$159)</f>
        <v>0</v>
      </c>
      <c r="BP66" s="418" t="n">
        <f aca="false">1-AD$159*(SUM(BE66:BO66))^2</f>
        <v>0.996619023931368</v>
      </c>
    </row>
    <row r="67" customFormat="false" ht="15" hidden="false" customHeight="false" outlineLevel="0" collapsed="false">
      <c r="A67" s="413" t="s">
        <v>95</v>
      </c>
      <c r="B67" s="414" t="s">
        <v>276</v>
      </c>
      <c r="C67" s="415" t="n">
        <v>262167.15</v>
      </c>
      <c r="D67" s="416" t="n">
        <v>326398.1</v>
      </c>
      <c r="E67" s="417" t="n">
        <v>0.169</v>
      </c>
      <c r="F67" s="417" t="n">
        <v>1.369</v>
      </c>
      <c r="G67" s="417" t="n">
        <v>79.224</v>
      </c>
      <c r="H67" s="417" t="n">
        <v>10.904</v>
      </c>
      <c r="I67" s="417" t="n">
        <v>4.714</v>
      </c>
      <c r="J67" s="417" t="n">
        <v>0.747</v>
      </c>
      <c r="K67" s="417" t="n">
        <v>1.59</v>
      </c>
      <c r="L67" s="417" t="n">
        <v>0.395</v>
      </c>
      <c r="M67" s="417" t="n">
        <v>0.426</v>
      </c>
      <c r="N67" s="417" t="n">
        <v>0.462</v>
      </c>
      <c r="O67" s="76"/>
      <c r="P67" s="418" t="n">
        <f aca="false">SUM(E67:O67)</f>
        <v>100</v>
      </c>
      <c r="Q67" s="14" t="n">
        <f aca="false">IF($P67=0,"",$C67*E67/$P67)</f>
        <v>443.0624835</v>
      </c>
      <c r="R67" s="15" t="n">
        <f aca="false">IF($P67=0,"",$C67*F67/$P67)</f>
        <v>3589.0682835</v>
      </c>
      <c r="S67" s="15" t="n">
        <f aca="false">IF($P67=0,"",$C67*G67/$P67)</f>
        <v>207699.302916</v>
      </c>
      <c r="T67" s="15" t="n">
        <f aca="false">IF($P67=0,"",$C67*H67/$P67)</f>
        <v>28586.706036</v>
      </c>
      <c r="U67" s="15" t="n">
        <f aca="false">IF($P67=0,"",$C67*I67/$P67)</f>
        <v>12358.559451</v>
      </c>
      <c r="V67" s="15" t="n">
        <f aca="false">IF($P67=0,"",$C67*J67/$P67)</f>
        <v>1958.3886105</v>
      </c>
      <c r="W67" s="15" t="n">
        <f aca="false">IF($P67=0,"",$C67*K67/$P67)</f>
        <v>4168.457685</v>
      </c>
      <c r="X67" s="15" t="n">
        <f aca="false">IF($P67=0,"",$C67*L67/$P67)</f>
        <v>1035.5602425</v>
      </c>
      <c r="Y67" s="15" t="n">
        <f aca="false">IF($P67=0,"",$C67*M67/$P67)</f>
        <v>1116.832059</v>
      </c>
      <c r="Z67" s="15" t="n">
        <f aca="false">IF($P67=0,"",$C67*N67/$P67)</f>
        <v>1211.212233</v>
      </c>
      <c r="AA67" s="15" t="n">
        <f aca="false">IF($P67=0,"",$C67*O67/$P67)</f>
        <v>0</v>
      </c>
      <c r="AB67" s="16" t="n">
        <f aca="false">SUM(Q67:AA67)</f>
        <v>262167.15</v>
      </c>
      <c r="AC67" s="419"/>
      <c r="AD67" s="420"/>
      <c r="AE67" s="15" t="n">
        <f aca="false">IF($P67=0,"",S67*AE$159/$BP67/1000)</f>
        <v>209847.946768668</v>
      </c>
      <c r="AF67" s="15" t="n">
        <f aca="false">IF($P67=0,"",T67*AF$159/$BP67/1000)</f>
        <v>50610.2417627079</v>
      </c>
      <c r="AG67" s="15" t="n">
        <f aca="false">IF($P67=0,"",U67*AG$159/$BP67/1000)</f>
        <v>31106.882808654</v>
      </c>
      <c r="AH67" s="15" t="n">
        <f aca="false">IF($P67=0,"",V67*AH$159/$BP67/1000)</f>
        <v>6370.86165223698</v>
      </c>
      <c r="AI67" s="15" t="n">
        <f aca="false">IF($P67=0,"",W67*AI$159/$BP67/1000)</f>
        <v>13603.9731805615</v>
      </c>
      <c r="AJ67" s="15" t="n">
        <f aca="false">IF($P67=0,"",X67*AJ$159/$BP67/1000)</f>
        <v>4144.77113291941</v>
      </c>
      <c r="AK67" s="15" t="n">
        <f aca="false">IF($P67=0,"",Y67*AK$159/$BP67/1000)</f>
        <v>4478.79893144848</v>
      </c>
      <c r="AL67" s="15" t="n">
        <f aca="false">IF($P67=0,"",Z67*AL$159/$BP67/1000)</f>
        <v>6214.97673357909</v>
      </c>
      <c r="AM67" s="15" t="n">
        <f aca="false">IF($P67=0,"",AA67*AM$159/$BP67/1000)</f>
        <v>0</v>
      </c>
      <c r="AN67" s="15" t="n">
        <f aca="false">SUM(AC67:AM67)</f>
        <v>326378.452970775</v>
      </c>
      <c r="AO67" s="15" t="n">
        <f aca="false">D67-AN67</f>
        <v>19.6470292246668</v>
      </c>
      <c r="AP67" s="421" t="n">
        <f aca="false">IF(D67=0,0,AO67/D67)</f>
        <v>6.01934546330593E-005</v>
      </c>
      <c r="AQ67" s="75" t="n">
        <f aca="false">IF(AB67=0,0,AN67/AB67)*1000</f>
        <v>1244.92505247425</v>
      </c>
      <c r="AR67" s="340" t="n">
        <f aca="false">IF(C67=0,0,D67/C67)*1000</f>
        <v>1244.99999332487</v>
      </c>
      <c r="AS67" s="422" t="n">
        <f aca="false">IF($P67=0,"",Q67*1000/AS$159*$AD$159/14.696/$BP67/42)</f>
        <v>179.639710295784</v>
      </c>
      <c r="AT67" s="15" t="n">
        <f aca="false">IF($P67=0,"",R67*1000/AT$159*$AD$159/14.696/$BP67/42)</f>
        <v>938.092257668286</v>
      </c>
      <c r="AU67" s="15" t="n">
        <f aca="false">IF($P67=0,"",S67*1000/AU$159*$AD$159/14.696/$BP67/42)</f>
        <v>83653.4921420548</v>
      </c>
      <c r="AV67" s="15" t="n">
        <f aca="false">IF($P67=0,"",T67*1000/AV$159*$AD$159/14.696/$BP67/42)</f>
        <v>18162.9971132345</v>
      </c>
      <c r="AW67" s="15" t="n">
        <f aca="false">IF($P67=0,"",U67*1000/AW$159*$AD$159/14.696/$BP67/42)</f>
        <v>8088.90119635281</v>
      </c>
      <c r="AX67" s="15" t="n">
        <f aca="false">IF($P67=0,"",V67*1000/AX$159*$AD$159/14.696/$BP67/42)</f>
        <v>1522.53858505272</v>
      </c>
      <c r="AY67" s="15" t="n">
        <f aca="false">IF($P67=0,"",W67*1000/AY$159*$AD$159/14.696/$BP67/42)</f>
        <v>3122.12502145786</v>
      </c>
      <c r="AZ67" s="15" t="n">
        <f aca="false">IF($P67=0,"",X67*1000/AZ$159*$AD$159/14.696/$BP67/42)</f>
        <v>899.743316982958</v>
      </c>
      <c r="BA67" s="15" t="n">
        <f aca="false">IF($P67=0,"",Y67*1000/BA$159*$AD$159/14.696/$BP67/42)</f>
        <v>961.79556282792</v>
      </c>
      <c r="BB67" s="15" t="n">
        <f aca="false">IF($P67=0,"",Z67*1000/BB$159*$AD$159/14.696/$BP67/42)</f>
        <v>1248.67306015267</v>
      </c>
      <c r="BC67" s="15" t="n">
        <f aca="false">IF($P67=0,"",AA67*1000/BC$159*$AD$159/14.696/$BP67/42)</f>
        <v>0</v>
      </c>
      <c r="BD67" s="55" t="n">
        <f aca="false">SUM(AS67:BC67)</f>
        <v>118777.99796608</v>
      </c>
      <c r="BE67" s="419" t="n">
        <f aca="false">IF($P67=0,"",E67/$P67*BE$159)</f>
        <v>3.2955E-005</v>
      </c>
      <c r="BF67" s="420" t="n">
        <f aca="false">IF($P67=0,"",F67/$P67*BF$159)</f>
        <v>6.05098E-005</v>
      </c>
      <c r="BG67" s="420" t="n">
        <f aca="false">IF($P67=0,"",G67/$P67*BG$159)</f>
        <v>0.009189984</v>
      </c>
      <c r="BH67" s="420" t="n">
        <f aca="false">IF($P67=0,"",H67/$P67*BH$159)</f>
        <v>0.002595152</v>
      </c>
      <c r="BI67" s="420" t="n">
        <f aca="false">IF($P67=0,"",I67/$P67*BI$159)</f>
        <v>0.001635758</v>
      </c>
      <c r="BJ67" s="420" t="n">
        <f aca="false">IF($P67=0,"",J67/$P67*BJ$159)</f>
        <v>0.000329427</v>
      </c>
      <c r="BK67" s="420" t="n">
        <f aca="false">IF($P67=0,"",K67/$P67*BK$159)</f>
        <v>0.0007473</v>
      </c>
      <c r="BL67" s="420" t="n">
        <f aca="false">IF($P67=0,"",L67/$P67*BL$159)</f>
        <v>0.00022752</v>
      </c>
      <c r="BM67" s="420" t="n">
        <f aca="false">IF($P67=0,"",M67/$P67*BM$159)</f>
        <v>0.000258156</v>
      </c>
      <c r="BN67" s="420" t="n">
        <f aca="false">IF($P67=0,"",N67/$P67*BN$159)</f>
        <v>0.0003990294</v>
      </c>
      <c r="BO67" s="420" t="n">
        <f aca="false">IF($P67=0,"",O67/$P67*BO$159)</f>
        <v>0</v>
      </c>
      <c r="BP67" s="418" t="n">
        <f aca="false">1-AD$159*(SUM(BE67:BO67))^2</f>
        <v>0.996491323340653</v>
      </c>
    </row>
    <row r="68" customFormat="false" ht="15" hidden="false" customHeight="false" outlineLevel="0" collapsed="false">
      <c r="A68" s="413" t="s">
        <v>277</v>
      </c>
      <c r="B68" s="414" t="s">
        <v>278</v>
      </c>
      <c r="C68" s="415" t="n">
        <v>0</v>
      </c>
      <c r="D68" s="416" t="n">
        <v>0</v>
      </c>
      <c r="E68" s="417" t="n">
        <v>0.231</v>
      </c>
      <c r="F68" s="417" t="n">
        <v>0.898</v>
      </c>
      <c r="G68" s="417" t="n">
        <v>77.3209999999999</v>
      </c>
      <c r="H68" s="417" t="n">
        <v>9.41999999999999</v>
      </c>
      <c r="I68" s="417" t="n">
        <v>6.01</v>
      </c>
      <c r="J68" s="417" t="n">
        <v>0.760999999999999</v>
      </c>
      <c r="K68" s="417" t="n">
        <v>2.32</v>
      </c>
      <c r="L68" s="417" t="n">
        <v>0.588000000000001</v>
      </c>
      <c r="M68" s="417" t="n">
        <v>0.705</v>
      </c>
      <c r="N68" s="417" t="n">
        <v>1.746</v>
      </c>
      <c r="O68" s="76"/>
      <c r="P68" s="423" t="n">
        <f aca="false">SUM(E68:O68)</f>
        <v>99.9999999999999</v>
      </c>
      <c r="Q68" s="99" t="n">
        <f aca="false">IF($P68=0,"",$C68*E68/$P68)</f>
        <v>0</v>
      </c>
      <c r="R68" s="100" t="n">
        <f aca="false">IF($P68=0,"",$C68*F68/$P68)</f>
        <v>0</v>
      </c>
      <c r="S68" s="100" t="n">
        <f aca="false">IF($P68=0,"",$C68*G68/$P68)</f>
        <v>0</v>
      </c>
      <c r="T68" s="100" t="n">
        <f aca="false">IF($P68=0,"",$C68*H68/$P68)</f>
        <v>0</v>
      </c>
      <c r="U68" s="100" t="n">
        <f aca="false">IF($P68=0,"",$C68*I68/$P68)</f>
        <v>0</v>
      </c>
      <c r="V68" s="100" t="n">
        <f aca="false">IF($P68=0,"",$C68*J68/$P68)</f>
        <v>0</v>
      </c>
      <c r="W68" s="100" t="n">
        <f aca="false">IF($P68=0,"",$C68*K68/$P68)</f>
        <v>0</v>
      </c>
      <c r="X68" s="100" t="n">
        <f aca="false">IF($P68=0,"",$C68*L68/$P68)</f>
        <v>0</v>
      </c>
      <c r="Y68" s="100" t="n">
        <f aca="false">IF($P68=0,"",$C68*M68/$P68)</f>
        <v>0</v>
      </c>
      <c r="Z68" s="100" t="n">
        <f aca="false">IF($P68=0,"",$C68*N68/$P68)</f>
        <v>0</v>
      </c>
      <c r="AA68" s="100" t="n">
        <f aca="false">IF($P68=0,"",$C68*O68/$P68)</f>
        <v>0</v>
      </c>
      <c r="AB68" s="101" t="n">
        <f aca="false">SUM(Q68:AA68)</f>
        <v>0</v>
      </c>
      <c r="AC68" s="424"/>
      <c r="AD68" s="425"/>
      <c r="AE68" s="100" t="n">
        <f aca="false">IF($P68=0,"",S68*AE$159/$BP68/1000)</f>
        <v>0</v>
      </c>
      <c r="AF68" s="100" t="n">
        <f aca="false">IF($P68=0,"",T68*AF$159/$BP68/1000)</f>
        <v>0</v>
      </c>
      <c r="AG68" s="100" t="n">
        <f aca="false">IF($P68=0,"",U68*AG$159/$BP68/1000)</f>
        <v>0</v>
      </c>
      <c r="AH68" s="100" t="n">
        <f aca="false">IF($P68=0,"",V68*AH$159/$BP68/1000)</f>
        <v>0</v>
      </c>
      <c r="AI68" s="100" t="n">
        <f aca="false">IF($P68=0,"",W68*AI$159/$BP68/1000)</f>
        <v>0</v>
      </c>
      <c r="AJ68" s="100" t="n">
        <f aca="false">IF($P68=0,"",X68*AJ$159/$BP68/1000)</f>
        <v>0</v>
      </c>
      <c r="AK68" s="100" t="n">
        <f aca="false">IF($P68=0,"",Y68*AK$159/$BP68/1000)</f>
        <v>0</v>
      </c>
      <c r="AL68" s="100" t="n">
        <f aca="false">IF($P68=0,"",Z68*AL$159/$BP68/1000)</f>
        <v>0</v>
      </c>
      <c r="AM68" s="100" t="n">
        <f aca="false">IF($P68=0,"",AA68*AM$159/$BP68/1000)</f>
        <v>0</v>
      </c>
      <c r="AN68" s="100" t="n">
        <f aca="false">SUM(AC68:AM68)</f>
        <v>0</v>
      </c>
      <c r="AO68" s="100" t="n">
        <f aca="false">D68-AN68</f>
        <v>0</v>
      </c>
      <c r="AP68" s="426" t="n">
        <f aca="false">IF(D68=0,0,AO68/D68)</f>
        <v>0</v>
      </c>
      <c r="AQ68" s="427" t="n">
        <f aca="false">IF(AB68=0,0,AN68/AB68)*1000</f>
        <v>0</v>
      </c>
      <c r="AR68" s="428" t="n">
        <f aca="false">IF(C68=0,0,D68/C68)*1000</f>
        <v>0</v>
      </c>
      <c r="AS68" s="429" t="n">
        <f aca="false">IF($P68=0,"",Q68*1000/AS$159*$AD$159/14.696/$BP68/42)</f>
        <v>0</v>
      </c>
      <c r="AT68" s="100" t="n">
        <f aca="false">IF($P68=0,"",R68*1000/AT$159*$AD$159/14.696/$BP68/42)</f>
        <v>0</v>
      </c>
      <c r="AU68" s="100" t="n">
        <f aca="false">IF($P68=0,"",S68*1000/AU$159*$AD$159/14.696/$BP68/42)</f>
        <v>0</v>
      </c>
      <c r="AV68" s="100" t="n">
        <f aca="false">IF($P68=0,"",T68*1000/AV$159*$AD$159/14.696/$BP68/42)</f>
        <v>0</v>
      </c>
      <c r="AW68" s="100" t="n">
        <f aca="false">IF($P68=0,"",U68*1000/AW$159*$AD$159/14.696/$BP68/42)</f>
        <v>0</v>
      </c>
      <c r="AX68" s="100" t="n">
        <f aca="false">IF($P68=0,"",V68*1000/AX$159*$AD$159/14.696/$BP68/42)</f>
        <v>0</v>
      </c>
      <c r="AY68" s="100" t="n">
        <f aca="false">IF($P68=0,"",W68*1000/AY$159*$AD$159/14.696/$BP68/42)</f>
        <v>0</v>
      </c>
      <c r="AZ68" s="100" t="n">
        <f aca="false">IF($P68=0,"",X68*1000/AZ$159*$AD$159/14.696/$BP68/42)</f>
        <v>0</v>
      </c>
      <c r="BA68" s="100" t="n">
        <f aca="false">IF($P68=0,"",Y68*1000/BA$159*$AD$159/14.696/$BP68/42)</f>
        <v>0</v>
      </c>
      <c r="BB68" s="100" t="n">
        <f aca="false">IF($P68=0,"",Z68*1000/BB$159*$AD$159/14.696/$BP68/42)</f>
        <v>0</v>
      </c>
      <c r="BC68" s="100" t="n">
        <f aca="false">IF($P68=0,"",AA68*1000/BC$159*$AD$159/14.696/$BP68/42)</f>
        <v>0</v>
      </c>
      <c r="BD68" s="430" t="n">
        <f aca="false">SUM(AS68:BC68)</f>
        <v>0</v>
      </c>
      <c r="BE68" s="424" t="n">
        <f aca="false">IF($P68=0,"",E68/$P68*BE$159)</f>
        <v>4.50450000000001E-005</v>
      </c>
      <c r="BF68" s="425" t="n">
        <f aca="false">IF($P68=0,"",F68/$P68*BF$159)</f>
        <v>3.96916000000001E-005</v>
      </c>
      <c r="BG68" s="425" t="n">
        <f aca="false">IF($P68=0,"",G68/$P68*BG$159)</f>
        <v>0.008969236</v>
      </c>
      <c r="BH68" s="425" t="n">
        <f aca="false">IF($P68=0,"",H68/$P68*BH$159)</f>
        <v>0.00224196</v>
      </c>
      <c r="BI68" s="425" t="n">
        <f aca="false">IF($P68=0,"",I68/$P68*BI$159)</f>
        <v>0.00208547</v>
      </c>
      <c r="BJ68" s="425" t="n">
        <f aca="false">IF($P68=0,"",J68/$P68*BJ$159)</f>
        <v>0.000335601</v>
      </c>
      <c r="BK68" s="425" t="n">
        <f aca="false">IF($P68=0,"",K68/$P68*BK$159)</f>
        <v>0.0010904</v>
      </c>
      <c r="BL68" s="425" t="n">
        <f aca="false">IF($P68=0,"",L68/$P68*BL$159)</f>
        <v>0.000338688000000001</v>
      </c>
      <c r="BM68" s="425" t="n">
        <f aca="false">IF($P68=0,"",M68/$P68*BM$159)</f>
        <v>0.000427230000000001</v>
      </c>
      <c r="BN68" s="425" t="n">
        <f aca="false">IF($P68=0,"",N68/$P68*BN$159)</f>
        <v>0.0015080202</v>
      </c>
      <c r="BO68" s="425" t="n">
        <f aca="false">IF($P68=0,"",O68/$P68*BO$159)</f>
        <v>0</v>
      </c>
      <c r="BP68" s="423" t="n">
        <f aca="false">1-AD$159*(SUM(BE68:BO68))^2</f>
        <v>0.995725536717865</v>
      </c>
    </row>
    <row r="69" customFormat="false" ht="15" hidden="false" customHeight="false" outlineLevel="0" collapsed="false">
      <c r="A69" s="413" t="s">
        <v>279</v>
      </c>
      <c r="B69" s="414" t="s">
        <v>280</v>
      </c>
      <c r="C69" s="415" t="n">
        <v>0</v>
      </c>
      <c r="D69" s="416" t="n">
        <v>0</v>
      </c>
      <c r="E69" s="417" t="n">
        <v>0.101</v>
      </c>
      <c r="F69" s="417" t="n">
        <v>0.827000000000001</v>
      </c>
      <c r="G69" s="417" t="n">
        <v>78.631</v>
      </c>
      <c r="H69" s="417" t="n">
        <v>11.052</v>
      </c>
      <c r="I69" s="417" t="n">
        <v>4.952</v>
      </c>
      <c r="J69" s="417" t="n">
        <v>0.774000000000001</v>
      </c>
      <c r="K69" s="417" t="n">
        <v>1.717</v>
      </c>
      <c r="L69" s="417" t="n">
        <v>0.462</v>
      </c>
      <c r="M69" s="417" t="n">
        <v>0.514</v>
      </c>
      <c r="N69" s="417" t="n">
        <v>0.969999999999999</v>
      </c>
      <c r="O69" s="76"/>
      <c r="P69" s="418" t="n">
        <f aca="false">SUM(E69:O69)</f>
        <v>100</v>
      </c>
      <c r="Q69" s="14" t="n">
        <f aca="false">IF($P69=0,"",$C69*E69/$P69)</f>
        <v>0</v>
      </c>
      <c r="R69" s="15" t="n">
        <f aca="false">IF($P69=0,"",$C69*F69/$P69)</f>
        <v>0</v>
      </c>
      <c r="S69" s="15" t="n">
        <f aca="false">IF($P69=0,"",$C69*G69/$P69)</f>
        <v>0</v>
      </c>
      <c r="T69" s="15" t="n">
        <f aca="false">IF($P69=0,"",$C69*H69/$P69)</f>
        <v>0</v>
      </c>
      <c r="U69" s="15" t="n">
        <f aca="false">IF($P69=0,"",$C69*I69/$P69)</f>
        <v>0</v>
      </c>
      <c r="V69" s="15" t="n">
        <f aca="false">IF($P69=0,"",$C69*J69/$P69)</f>
        <v>0</v>
      </c>
      <c r="W69" s="15" t="n">
        <f aca="false">IF($P69=0,"",$C69*K69/$P69)</f>
        <v>0</v>
      </c>
      <c r="X69" s="15" t="n">
        <f aca="false">IF($P69=0,"",$C69*L69/$P69)</f>
        <v>0</v>
      </c>
      <c r="Y69" s="15" t="n">
        <f aca="false">IF($P69=0,"",$C69*M69/$P69)</f>
        <v>0</v>
      </c>
      <c r="Z69" s="15" t="n">
        <f aca="false">IF($P69=0,"",$C69*N69/$P69)</f>
        <v>0</v>
      </c>
      <c r="AA69" s="15" t="n">
        <f aca="false">IF($P69=0,"",$C69*O69/$P69)</f>
        <v>0</v>
      </c>
      <c r="AB69" s="16" t="n">
        <f aca="false">SUM(Q69:AA69)</f>
        <v>0</v>
      </c>
      <c r="AC69" s="419"/>
      <c r="AD69" s="420"/>
      <c r="AE69" s="15" t="n">
        <f aca="false">IF($P69=0,"",S69*AE$159/$BP69/1000)</f>
        <v>0</v>
      </c>
      <c r="AF69" s="15" t="n">
        <f aca="false">IF($P69=0,"",T69*AF$159/$BP69/1000)</f>
        <v>0</v>
      </c>
      <c r="AG69" s="15" t="n">
        <f aca="false">IF($P69=0,"",U69*AG$159/$BP69/1000)</f>
        <v>0</v>
      </c>
      <c r="AH69" s="15" t="n">
        <f aca="false">IF($P69=0,"",V69*AH$159/$BP69/1000)</f>
        <v>0</v>
      </c>
      <c r="AI69" s="15" t="n">
        <f aca="false">IF($P69=0,"",W69*AI$159/$BP69/1000)</f>
        <v>0</v>
      </c>
      <c r="AJ69" s="15" t="n">
        <f aca="false">IF($P69=0,"",X69*AJ$159/$BP69/1000)</f>
        <v>0</v>
      </c>
      <c r="AK69" s="15" t="n">
        <f aca="false">IF($P69=0,"",Y69*AK$159/$BP69/1000)</f>
        <v>0</v>
      </c>
      <c r="AL69" s="15" t="n">
        <f aca="false">IF($P69=0,"",Z69*AL$159/$BP69/1000)</f>
        <v>0</v>
      </c>
      <c r="AM69" s="15" t="n">
        <f aca="false">IF($P69=0,"",AA69*AM$159/$BP69/1000)</f>
        <v>0</v>
      </c>
      <c r="AN69" s="15" t="n">
        <f aca="false">SUM(AC69:AM69)</f>
        <v>0</v>
      </c>
      <c r="AO69" s="15" t="n">
        <f aca="false">D69-AN69</f>
        <v>0</v>
      </c>
      <c r="AP69" s="421" t="n">
        <f aca="false">IF(D69=0,0,AO69/D69)</f>
        <v>0</v>
      </c>
      <c r="AQ69" s="75" t="n">
        <f aca="false">IF(AB69=0,0,AN69/AB69)*1000</f>
        <v>0</v>
      </c>
      <c r="AR69" s="340" t="n">
        <f aca="false">IF(C69=0,0,D69/C69)*1000</f>
        <v>0</v>
      </c>
      <c r="AS69" s="422" t="n">
        <f aca="false">IF($P69=0,"",Q69*1000/AS$159*$AD$159/14.696/$BP69/42)</f>
        <v>0</v>
      </c>
      <c r="AT69" s="15" t="n">
        <f aca="false">IF($P69=0,"",R69*1000/AT$159*$AD$159/14.696/$BP69/42)</f>
        <v>0</v>
      </c>
      <c r="AU69" s="15" t="n">
        <f aca="false">IF($P69=0,"",S69*1000/AU$159*$AD$159/14.696/$BP69/42)</f>
        <v>0</v>
      </c>
      <c r="AV69" s="15" t="n">
        <f aca="false">IF($P69=0,"",T69*1000/AV$159*$AD$159/14.696/$BP69/42)</f>
        <v>0</v>
      </c>
      <c r="AW69" s="15" t="n">
        <f aca="false">IF($P69=0,"",U69*1000/AW$159*$AD$159/14.696/$BP69/42)</f>
        <v>0</v>
      </c>
      <c r="AX69" s="15" t="n">
        <f aca="false">IF($P69=0,"",V69*1000/AX$159*$AD$159/14.696/$BP69/42)</f>
        <v>0</v>
      </c>
      <c r="AY69" s="15" t="n">
        <f aca="false">IF($P69=0,"",W69*1000/AY$159*$AD$159/14.696/$BP69/42)</f>
        <v>0</v>
      </c>
      <c r="AZ69" s="15" t="n">
        <f aca="false">IF($P69=0,"",X69*1000/AZ$159*$AD$159/14.696/$BP69/42)</f>
        <v>0</v>
      </c>
      <c r="BA69" s="15" t="n">
        <f aca="false">IF($P69=0,"",Y69*1000/BA$159*$AD$159/14.696/$BP69/42)</f>
        <v>0</v>
      </c>
      <c r="BB69" s="15" t="n">
        <f aca="false">IF($P69=0,"",Z69*1000/BB$159*$AD$159/14.696/$BP69/42)</f>
        <v>0</v>
      </c>
      <c r="BC69" s="15" t="n">
        <f aca="false">IF($P69=0,"",AA69*1000/BC$159*$AD$159/14.696/$BP69/42)</f>
        <v>0</v>
      </c>
      <c r="BD69" s="55" t="n">
        <f aca="false">SUM(AS69:BC69)</f>
        <v>0</v>
      </c>
      <c r="BE69" s="419" t="n">
        <f aca="false">IF($P69=0,"",E69/$P69*BE$159)</f>
        <v>1.9695E-005</v>
      </c>
      <c r="BF69" s="420" t="n">
        <f aca="false">IF($P69=0,"",F69/$P69*BF$159)</f>
        <v>3.65534000000001E-005</v>
      </c>
      <c r="BG69" s="420" t="n">
        <f aca="false">IF($P69=0,"",G69/$P69*BG$159)</f>
        <v>0.009121196</v>
      </c>
      <c r="BH69" s="420" t="n">
        <f aca="false">IF($P69=0,"",H69/$P69*BH$159)</f>
        <v>0.002630376</v>
      </c>
      <c r="BI69" s="420" t="n">
        <f aca="false">IF($P69=0,"",I69/$P69*BI$159)</f>
        <v>0.001718344</v>
      </c>
      <c r="BJ69" s="420" t="n">
        <f aca="false">IF($P69=0,"",J69/$P69*BJ$159)</f>
        <v>0.000341334000000001</v>
      </c>
      <c r="BK69" s="420" t="n">
        <f aca="false">IF($P69=0,"",K69/$P69*BK$159)</f>
        <v>0.00080699</v>
      </c>
      <c r="BL69" s="420" t="n">
        <f aca="false">IF($P69=0,"",L69/$P69*BL$159)</f>
        <v>0.000266112</v>
      </c>
      <c r="BM69" s="420" t="n">
        <f aca="false">IF($P69=0,"",M69/$P69*BM$159)</f>
        <v>0.000311484</v>
      </c>
      <c r="BN69" s="420" t="n">
        <f aca="false">IF($P69=0,"",N69/$P69*BN$159)</f>
        <v>0.000837789</v>
      </c>
      <c r="BO69" s="420" t="n">
        <f aca="false">IF($P69=0,"",O69/$P69*BO$159)</f>
        <v>0</v>
      </c>
      <c r="BP69" s="418" t="n">
        <f aca="false">1-AD$159*(SUM(BE69:BO69))^2</f>
        <v>0.996207349018689</v>
      </c>
    </row>
    <row r="70" customFormat="false" ht="15" hidden="false" customHeight="false" outlineLevel="0" collapsed="false">
      <c r="A70" s="413" t="s">
        <v>96</v>
      </c>
      <c r="B70" s="414" t="s">
        <v>281</v>
      </c>
      <c r="C70" s="415" t="n">
        <v>0</v>
      </c>
      <c r="D70" s="416" t="n">
        <v>0</v>
      </c>
      <c r="E70" s="417" t="n">
        <v>0.452</v>
      </c>
      <c r="F70" s="417" t="n">
        <v>1.557</v>
      </c>
      <c r="G70" s="417" t="n">
        <v>68.605</v>
      </c>
      <c r="H70" s="417" t="n">
        <v>13.605</v>
      </c>
      <c r="I70" s="417" t="n">
        <v>9.303</v>
      </c>
      <c r="J70" s="417" t="n">
        <v>1.09</v>
      </c>
      <c r="K70" s="417" t="n">
        <v>3.269</v>
      </c>
      <c r="L70" s="417" t="n">
        <v>0.677</v>
      </c>
      <c r="M70" s="417" t="n">
        <v>0.726</v>
      </c>
      <c r="N70" s="417" t="n">
        <v>0.716</v>
      </c>
      <c r="O70" s="76"/>
      <c r="P70" s="423" t="n">
        <f aca="false">SUM(E70:O70)</f>
        <v>100</v>
      </c>
      <c r="Q70" s="99" t="n">
        <f aca="false">IF($P70=0,"",$C70*E70/$P70)</f>
        <v>0</v>
      </c>
      <c r="R70" s="100" t="n">
        <f aca="false">IF($P70=0,"",$C70*F70/$P70)</f>
        <v>0</v>
      </c>
      <c r="S70" s="100" t="n">
        <f aca="false">IF($P70=0,"",$C70*G70/$P70)</f>
        <v>0</v>
      </c>
      <c r="T70" s="100" t="n">
        <f aca="false">IF($P70=0,"",$C70*H70/$P70)</f>
        <v>0</v>
      </c>
      <c r="U70" s="100" t="n">
        <f aca="false">IF($P70=0,"",$C70*I70/$P70)</f>
        <v>0</v>
      </c>
      <c r="V70" s="100" t="n">
        <f aca="false">IF($P70=0,"",$C70*J70/$P70)</f>
        <v>0</v>
      </c>
      <c r="W70" s="100" t="n">
        <f aca="false">IF($P70=0,"",$C70*K70/$P70)</f>
        <v>0</v>
      </c>
      <c r="X70" s="100" t="n">
        <f aca="false">IF($P70=0,"",$C70*L70/$P70)</f>
        <v>0</v>
      </c>
      <c r="Y70" s="100" t="n">
        <f aca="false">IF($P70=0,"",$C70*M70/$P70)</f>
        <v>0</v>
      </c>
      <c r="Z70" s="100" t="n">
        <f aca="false">IF($P70=0,"",$C70*N70/$P70)</f>
        <v>0</v>
      </c>
      <c r="AA70" s="100" t="n">
        <f aca="false">IF($P70=0,"",$C70*O70/$P70)</f>
        <v>0</v>
      </c>
      <c r="AB70" s="101" t="n">
        <f aca="false">SUM(Q70:AA70)</f>
        <v>0</v>
      </c>
      <c r="AC70" s="424"/>
      <c r="AD70" s="425"/>
      <c r="AE70" s="100" t="n">
        <f aca="false">IF($P70=0,"",S70*AE$159/$BP70/1000)</f>
        <v>0</v>
      </c>
      <c r="AF70" s="100" t="n">
        <f aca="false">IF($P70=0,"",T70*AF$159/$BP70/1000)</f>
        <v>0</v>
      </c>
      <c r="AG70" s="100" t="n">
        <f aca="false">IF($P70=0,"",U70*AG$159/$BP70/1000)</f>
        <v>0</v>
      </c>
      <c r="AH70" s="100" t="n">
        <f aca="false">IF($P70=0,"",V70*AH$159/$BP70/1000)</f>
        <v>0</v>
      </c>
      <c r="AI70" s="100" t="n">
        <f aca="false">IF($P70=0,"",W70*AI$159/$BP70/1000)</f>
        <v>0</v>
      </c>
      <c r="AJ70" s="100" t="n">
        <f aca="false">IF($P70=0,"",X70*AJ$159/$BP70/1000)</f>
        <v>0</v>
      </c>
      <c r="AK70" s="100" t="n">
        <f aca="false">IF($P70=0,"",Y70*AK$159/$BP70/1000)</f>
        <v>0</v>
      </c>
      <c r="AL70" s="100" t="n">
        <f aca="false">IF($P70=0,"",Z70*AL$159/$BP70/1000)</f>
        <v>0</v>
      </c>
      <c r="AM70" s="100" t="n">
        <f aca="false">IF($P70=0,"",AA70*AM$159/$BP70/1000)</f>
        <v>0</v>
      </c>
      <c r="AN70" s="100" t="n">
        <f aca="false">SUM(AC70:AM70)</f>
        <v>0</v>
      </c>
      <c r="AO70" s="100" t="n">
        <f aca="false">D70-AN70</f>
        <v>0</v>
      </c>
      <c r="AP70" s="426" t="n">
        <f aca="false">IF(D70=0,0,AO70/D70)</f>
        <v>0</v>
      </c>
      <c r="AQ70" s="427" t="n">
        <f aca="false">IF(AB70=0,0,AN70/AB70)*1000</f>
        <v>0</v>
      </c>
      <c r="AR70" s="428" t="n">
        <f aca="false">IF(C70=0,0,D70/C70)*1000</f>
        <v>0</v>
      </c>
      <c r="AS70" s="429" t="n">
        <f aca="false">IF($P70=0,"",Q70*1000/AS$159*$AD$159/14.696/$BP70/42)</f>
        <v>0</v>
      </c>
      <c r="AT70" s="100" t="n">
        <f aca="false">IF($P70=0,"",R70*1000/AT$159*$AD$159/14.696/$BP70/42)</f>
        <v>0</v>
      </c>
      <c r="AU70" s="100" t="n">
        <f aca="false">IF($P70=0,"",S70*1000/AU$159*$AD$159/14.696/$BP70/42)</f>
        <v>0</v>
      </c>
      <c r="AV70" s="100" t="n">
        <f aca="false">IF($P70=0,"",T70*1000/AV$159*$AD$159/14.696/$BP70/42)</f>
        <v>0</v>
      </c>
      <c r="AW70" s="100" t="n">
        <f aca="false">IF($P70=0,"",U70*1000/AW$159*$AD$159/14.696/$BP70/42)</f>
        <v>0</v>
      </c>
      <c r="AX70" s="100" t="n">
        <f aca="false">IF($P70=0,"",V70*1000/AX$159*$AD$159/14.696/$BP70/42)</f>
        <v>0</v>
      </c>
      <c r="AY70" s="100" t="n">
        <f aca="false">IF($P70=0,"",W70*1000/AY$159*$AD$159/14.696/$BP70/42)</f>
        <v>0</v>
      </c>
      <c r="AZ70" s="100" t="n">
        <f aca="false">IF($P70=0,"",X70*1000/AZ$159*$AD$159/14.696/$BP70/42)</f>
        <v>0</v>
      </c>
      <c r="BA70" s="100" t="n">
        <f aca="false">IF($P70=0,"",Y70*1000/BA$159*$AD$159/14.696/$BP70/42)</f>
        <v>0</v>
      </c>
      <c r="BB70" s="100" t="n">
        <f aca="false">IF($P70=0,"",Z70*1000/BB$159*$AD$159/14.696/$BP70/42)</f>
        <v>0</v>
      </c>
      <c r="BC70" s="100" t="n">
        <f aca="false">IF($P70=0,"",AA70*1000/BC$159*$AD$159/14.696/$BP70/42)</f>
        <v>0</v>
      </c>
      <c r="BD70" s="430" t="n">
        <f aca="false">SUM(AS70:BC70)</f>
        <v>0</v>
      </c>
      <c r="BE70" s="424" t="n">
        <f aca="false">IF($P70=0,"",E70/$P70*BE$159)</f>
        <v>8.814E-005</v>
      </c>
      <c r="BF70" s="425" t="n">
        <f aca="false">IF($P70=0,"",F70/$P70*BF$159)</f>
        <v>6.88194E-005</v>
      </c>
      <c r="BG70" s="425" t="n">
        <f aca="false">IF($P70=0,"",G70/$P70*BG$159)</f>
        <v>0.00795818</v>
      </c>
      <c r="BH70" s="425" t="n">
        <f aca="false">IF($P70=0,"",H70/$P70*BH$159)</f>
        <v>0.00323799</v>
      </c>
      <c r="BI70" s="425" t="n">
        <f aca="false">IF($P70=0,"",I70/$P70*BI$159)</f>
        <v>0.003228141</v>
      </c>
      <c r="BJ70" s="425" t="n">
        <f aca="false">IF($P70=0,"",J70/$P70*BJ$159)</f>
        <v>0.00048069</v>
      </c>
      <c r="BK70" s="425" t="n">
        <f aca="false">IF($P70=0,"",K70/$P70*BK$159)</f>
        <v>0.00153643</v>
      </c>
      <c r="BL70" s="425" t="n">
        <f aca="false">IF($P70=0,"",L70/$P70*BL$159)</f>
        <v>0.000389952</v>
      </c>
      <c r="BM70" s="425" t="n">
        <f aca="false">IF($P70=0,"",M70/$P70*BM$159)</f>
        <v>0.000439956</v>
      </c>
      <c r="BN70" s="425" t="n">
        <f aca="false">IF($P70=0,"",N70/$P70*BN$159)</f>
        <v>0.0006184092</v>
      </c>
      <c r="BO70" s="425" t="n">
        <f aca="false">IF($P70=0,"",O70/$P70*BO$159)</f>
        <v>0</v>
      </c>
      <c r="BP70" s="423" t="n">
        <f aca="false">1-AD$159*(SUM(BE70:BO70))^2</f>
        <v>0.995228734451321</v>
      </c>
    </row>
    <row r="71" customFormat="false" ht="15" hidden="false" customHeight="false" outlineLevel="0" collapsed="false">
      <c r="A71" s="413" t="s">
        <v>97</v>
      </c>
      <c r="B71" s="414" t="s">
        <v>282</v>
      </c>
      <c r="C71" s="415" t="n">
        <v>0</v>
      </c>
      <c r="D71" s="416" t="n">
        <v>0</v>
      </c>
      <c r="E71" s="417" t="n">
        <v>0.386</v>
      </c>
      <c r="F71" s="417" t="n">
        <v>1.243</v>
      </c>
      <c r="G71" s="417" t="n">
        <v>66.9960000000001</v>
      </c>
      <c r="H71" s="417" t="n">
        <v>12.796</v>
      </c>
      <c r="I71" s="417" t="n">
        <v>9.02100000000001</v>
      </c>
      <c r="J71" s="417" t="n">
        <v>1.124</v>
      </c>
      <c r="K71" s="417" t="n">
        <v>3.668</v>
      </c>
      <c r="L71" s="417" t="n">
        <v>0.902</v>
      </c>
      <c r="M71" s="417" t="n">
        <v>1.16</v>
      </c>
      <c r="N71" s="417" t="n">
        <v>2.704</v>
      </c>
      <c r="O71" s="76"/>
      <c r="P71" s="418" t="n">
        <f aca="false">SUM(E71:O71)</f>
        <v>100</v>
      </c>
      <c r="Q71" s="14" t="n">
        <f aca="false">IF($P71=0,"",$C71*E71/$P71)</f>
        <v>0</v>
      </c>
      <c r="R71" s="15" t="n">
        <f aca="false">IF($P71=0,"",$C71*F71/$P71)</f>
        <v>0</v>
      </c>
      <c r="S71" s="15" t="n">
        <f aca="false">IF($P71=0,"",$C71*G71/$P71)</f>
        <v>0</v>
      </c>
      <c r="T71" s="15" t="n">
        <f aca="false">IF($P71=0,"",$C71*H71/$P71)</f>
        <v>0</v>
      </c>
      <c r="U71" s="15" t="n">
        <f aca="false">IF($P71=0,"",$C71*I71/$P71)</f>
        <v>0</v>
      </c>
      <c r="V71" s="15" t="n">
        <f aca="false">IF($P71=0,"",$C71*J71/$P71)</f>
        <v>0</v>
      </c>
      <c r="W71" s="15" t="n">
        <f aca="false">IF($P71=0,"",$C71*K71/$P71)</f>
        <v>0</v>
      </c>
      <c r="X71" s="15" t="n">
        <f aca="false">IF($P71=0,"",$C71*L71/$P71)</f>
        <v>0</v>
      </c>
      <c r="Y71" s="15" t="n">
        <f aca="false">IF($P71=0,"",$C71*M71/$P71)</f>
        <v>0</v>
      </c>
      <c r="Z71" s="15" t="n">
        <f aca="false">IF($P71=0,"",$C71*N71/$P71)</f>
        <v>0</v>
      </c>
      <c r="AA71" s="15" t="n">
        <f aca="false">IF($P71=0,"",$C71*O71/$P71)</f>
        <v>0</v>
      </c>
      <c r="AB71" s="16" t="n">
        <f aca="false">SUM(Q71:AA71)</f>
        <v>0</v>
      </c>
      <c r="AC71" s="419"/>
      <c r="AD71" s="420"/>
      <c r="AE71" s="15" t="n">
        <f aca="false">IF($P71=0,"",S71*AE$159/$BP71/1000)</f>
        <v>0</v>
      </c>
      <c r="AF71" s="15" t="n">
        <f aca="false">IF($P71=0,"",T71*AF$159/$BP71/1000)</f>
        <v>0</v>
      </c>
      <c r="AG71" s="15" t="n">
        <f aca="false">IF($P71=0,"",U71*AG$159/$BP71/1000)</f>
        <v>0</v>
      </c>
      <c r="AH71" s="15" t="n">
        <f aca="false">IF($P71=0,"",V71*AH$159/$BP71/1000)</f>
        <v>0</v>
      </c>
      <c r="AI71" s="15" t="n">
        <f aca="false">IF($P71=0,"",W71*AI$159/$BP71/1000)</f>
        <v>0</v>
      </c>
      <c r="AJ71" s="15" t="n">
        <f aca="false">IF($P71=0,"",X71*AJ$159/$BP71/1000)</f>
        <v>0</v>
      </c>
      <c r="AK71" s="15" t="n">
        <f aca="false">IF($P71=0,"",Y71*AK$159/$BP71/1000)</f>
        <v>0</v>
      </c>
      <c r="AL71" s="15" t="n">
        <f aca="false">IF($P71=0,"",Z71*AL$159/$BP71/1000)</f>
        <v>0</v>
      </c>
      <c r="AM71" s="15" t="n">
        <f aca="false">IF($P71=0,"",AA71*AM$159/$BP71/1000)</f>
        <v>0</v>
      </c>
      <c r="AN71" s="15" t="n">
        <f aca="false">SUM(AC71:AM71)</f>
        <v>0</v>
      </c>
      <c r="AO71" s="15" t="n">
        <f aca="false">D71-AN71</f>
        <v>0</v>
      </c>
      <c r="AP71" s="421" t="n">
        <f aca="false">IF(D71=0,0,AO71/D71)</f>
        <v>0</v>
      </c>
      <c r="AQ71" s="75" t="n">
        <f aca="false">IF(AB71=0,0,AN71/AB71)*1000</f>
        <v>0</v>
      </c>
      <c r="AR71" s="340" t="n">
        <f aca="false">IF(C71=0,0,D71/C71)*1000</f>
        <v>0</v>
      </c>
      <c r="AS71" s="422" t="n">
        <f aca="false">IF($P71=0,"",Q71*1000/AS$159*$AD$159/14.696/$BP71/42)</f>
        <v>0</v>
      </c>
      <c r="AT71" s="15" t="n">
        <f aca="false">IF($P71=0,"",R71*1000/AT$159*$AD$159/14.696/$BP71/42)</f>
        <v>0</v>
      </c>
      <c r="AU71" s="15" t="n">
        <f aca="false">IF($P71=0,"",S71*1000/AU$159*$AD$159/14.696/$BP71/42)</f>
        <v>0</v>
      </c>
      <c r="AV71" s="15" t="n">
        <f aca="false">IF($P71=0,"",T71*1000/AV$159*$AD$159/14.696/$BP71/42)</f>
        <v>0</v>
      </c>
      <c r="AW71" s="15" t="n">
        <f aca="false">IF($P71=0,"",U71*1000/AW$159*$AD$159/14.696/$BP71/42)</f>
        <v>0</v>
      </c>
      <c r="AX71" s="15" t="n">
        <f aca="false">IF($P71=0,"",V71*1000/AX$159*$AD$159/14.696/$BP71/42)</f>
        <v>0</v>
      </c>
      <c r="AY71" s="15" t="n">
        <f aca="false">IF($P71=0,"",W71*1000/AY$159*$AD$159/14.696/$BP71/42)</f>
        <v>0</v>
      </c>
      <c r="AZ71" s="15" t="n">
        <f aca="false">IF($P71=0,"",X71*1000/AZ$159*$AD$159/14.696/$BP71/42)</f>
        <v>0</v>
      </c>
      <c r="BA71" s="15" t="n">
        <f aca="false">IF($P71=0,"",Y71*1000/BA$159*$AD$159/14.696/$BP71/42)</f>
        <v>0</v>
      </c>
      <c r="BB71" s="15" t="n">
        <f aca="false">IF($P71=0,"",Z71*1000/BB$159*$AD$159/14.696/$BP71/42)</f>
        <v>0</v>
      </c>
      <c r="BC71" s="15" t="n">
        <f aca="false">IF($P71=0,"",AA71*1000/BC$159*$AD$159/14.696/$BP71/42)</f>
        <v>0</v>
      </c>
      <c r="BD71" s="55" t="n">
        <f aca="false">SUM(AS71:BC71)</f>
        <v>0</v>
      </c>
      <c r="BE71" s="419" t="n">
        <f aca="false">IF($P71=0,"",E71/$P71*BE$159)</f>
        <v>7.52699999999999E-005</v>
      </c>
      <c r="BF71" s="420" t="n">
        <f aca="false">IF($P71=0,"",F71/$P71*BF$159)</f>
        <v>5.49406E-005</v>
      </c>
      <c r="BG71" s="420" t="n">
        <f aca="false">IF($P71=0,"",G71/$P71*BG$159)</f>
        <v>0.007771536</v>
      </c>
      <c r="BH71" s="420" t="n">
        <f aca="false">IF($P71=0,"",H71/$P71*BH$159)</f>
        <v>0.003045448</v>
      </c>
      <c r="BI71" s="420" t="n">
        <f aca="false">IF($P71=0,"",I71/$P71*BI$159)</f>
        <v>0.003130287</v>
      </c>
      <c r="BJ71" s="420" t="n">
        <f aca="false">IF($P71=0,"",J71/$P71*BJ$159)</f>
        <v>0.000495684</v>
      </c>
      <c r="BK71" s="420" t="n">
        <f aca="false">IF($P71=0,"",K71/$P71*BK$159)</f>
        <v>0.00172396</v>
      </c>
      <c r="BL71" s="420" t="n">
        <f aca="false">IF($P71=0,"",L71/$P71*BL$159)</f>
        <v>0.000519552</v>
      </c>
      <c r="BM71" s="420" t="n">
        <f aca="false">IF($P71=0,"",M71/$P71*BM$159)</f>
        <v>0.000702959999999999</v>
      </c>
      <c r="BN71" s="420" t="n">
        <f aca="false">IF($P71=0,"",N71/$P71*BN$159)</f>
        <v>0.0023354448</v>
      </c>
      <c r="BO71" s="420" t="n">
        <f aca="false">IF($P71=0,"",O71/$P71*BO$159)</f>
        <v>0</v>
      </c>
      <c r="BP71" s="418" t="n">
        <f aca="false">1-AD$159*(SUM(BE71:BO71))^2</f>
        <v>0.994224614047327</v>
      </c>
    </row>
    <row r="72" customFormat="false" ht="15" hidden="false" customHeight="false" outlineLevel="0" collapsed="false">
      <c r="A72" s="413" t="s">
        <v>101</v>
      </c>
      <c r="B72" s="414" t="s">
        <v>283</v>
      </c>
      <c r="C72" s="415" t="n">
        <v>0</v>
      </c>
      <c r="D72" s="416" t="n">
        <v>0</v>
      </c>
      <c r="E72" s="417" t="n">
        <v>0.67</v>
      </c>
      <c r="F72" s="417" t="n">
        <v>1.207</v>
      </c>
      <c r="G72" s="417" t="n">
        <v>69.703</v>
      </c>
      <c r="H72" s="417" t="n">
        <v>13.688</v>
      </c>
      <c r="I72" s="417" t="n">
        <v>8.957</v>
      </c>
      <c r="J72" s="417" t="n">
        <v>0.956</v>
      </c>
      <c r="K72" s="417" t="n">
        <v>2.885</v>
      </c>
      <c r="L72" s="417" t="n">
        <v>0.548</v>
      </c>
      <c r="M72" s="417" t="n">
        <v>0.611000000000001</v>
      </c>
      <c r="N72" s="417" t="n">
        <v>0.775</v>
      </c>
      <c r="O72" s="76"/>
      <c r="P72" s="423" t="n">
        <f aca="false">SUM(E72:O72)</f>
        <v>100</v>
      </c>
      <c r="Q72" s="99" t="n">
        <f aca="false">IF($P72=0,"",$C72*E72/$P72)</f>
        <v>0</v>
      </c>
      <c r="R72" s="100" t="n">
        <f aca="false">IF($P72=0,"",$C72*F72/$P72)</f>
        <v>0</v>
      </c>
      <c r="S72" s="100" t="n">
        <f aca="false">IF($P72=0,"",$C72*G72/$P72)</f>
        <v>0</v>
      </c>
      <c r="T72" s="100" t="n">
        <f aca="false">IF($P72=0,"",$C72*H72/$P72)</f>
        <v>0</v>
      </c>
      <c r="U72" s="100" t="n">
        <f aca="false">IF($P72=0,"",$C72*I72/$P72)</f>
        <v>0</v>
      </c>
      <c r="V72" s="100" t="n">
        <f aca="false">IF($P72=0,"",$C72*J72/$P72)</f>
        <v>0</v>
      </c>
      <c r="W72" s="100" t="n">
        <f aca="false">IF($P72=0,"",$C72*K72/$P72)</f>
        <v>0</v>
      </c>
      <c r="X72" s="100" t="n">
        <f aca="false">IF($P72=0,"",$C72*L72/$P72)</f>
        <v>0</v>
      </c>
      <c r="Y72" s="100" t="n">
        <f aca="false">IF($P72=0,"",$C72*M72/$P72)</f>
        <v>0</v>
      </c>
      <c r="Z72" s="100" t="n">
        <f aca="false">IF($P72=0,"",$C72*N72/$P72)</f>
        <v>0</v>
      </c>
      <c r="AA72" s="100" t="n">
        <f aca="false">IF($P72=0,"",$C72*O72/$P72)</f>
        <v>0</v>
      </c>
      <c r="AB72" s="101" t="n">
        <f aca="false">SUM(Q72:AA72)</f>
        <v>0</v>
      </c>
      <c r="AC72" s="424"/>
      <c r="AD72" s="425"/>
      <c r="AE72" s="100" t="n">
        <f aca="false">IF($P72=0,"",S72*AE$159/$BP72/1000)</f>
        <v>0</v>
      </c>
      <c r="AF72" s="100" t="n">
        <f aca="false">IF($P72=0,"",T72*AF$159/$BP72/1000)</f>
        <v>0</v>
      </c>
      <c r="AG72" s="100" t="n">
        <f aca="false">IF($P72=0,"",U72*AG$159/$BP72/1000)</f>
        <v>0</v>
      </c>
      <c r="AH72" s="100" t="n">
        <f aca="false">IF($P72=0,"",V72*AH$159/$BP72/1000)</f>
        <v>0</v>
      </c>
      <c r="AI72" s="100" t="n">
        <f aca="false">IF($P72=0,"",W72*AI$159/$BP72/1000)</f>
        <v>0</v>
      </c>
      <c r="AJ72" s="100" t="n">
        <f aca="false">IF($P72=0,"",X72*AJ$159/$BP72/1000)</f>
        <v>0</v>
      </c>
      <c r="AK72" s="100" t="n">
        <f aca="false">IF($P72=0,"",Y72*AK$159/$BP72/1000)</f>
        <v>0</v>
      </c>
      <c r="AL72" s="100" t="n">
        <f aca="false">IF($P72=0,"",Z72*AL$159/$BP72/1000)</f>
        <v>0</v>
      </c>
      <c r="AM72" s="100" t="n">
        <f aca="false">IF($P72=0,"",AA72*AM$159/$BP72/1000)</f>
        <v>0</v>
      </c>
      <c r="AN72" s="100" t="n">
        <f aca="false">SUM(AC72:AM72)</f>
        <v>0</v>
      </c>
      <c r="AO72" s="100" t="n">
        <f aca="false">D72-AN72</f>
        <v>0</v>
      </c>
      <c r="AP72" s="426" t="n">
        <f aca="false">IF(D72=0,0,AO72/D72)</f>
        <v>0</v>
      </c>
      <c r="AQ72" s="427" t="n">
        <f aca="false">IF(AB72=0,0,AN72/AB72)*1000</f>
        <v>0</v>
      </c>
      <c r="AR72" s="428" t="n">
        <f aca="false">IF(C72=0,0,D72/C72)*1000</f>
        <v>0</v>
      </c>
      <c r="AS72" s="429" t="n">
        <f aca="false">IF($P72=0,"",Q72*1000/AS$159*$AD$159/14.696/$BP72/42)</f>
        <v>0</v>
      </c>
      <c r="AT72" s="100" t="n">
        <f aca="false">IF($P72=0,"",R72*1000/AT$159*$AD$159/14.696/$BP72/42)</f>
        <v>0</v>
      </c>
      <c r="AU72" s="100" t="n">
        <f aca="false">IF($P72=0,"",S72*1000/AU$159*$AD$159/14.696/$BP72/42)</f>
        <v>0</v>
      </c>
      <c r="AV72" s="100" t="n">
        <f aca="false">IF($P72=0,"",T72*1000/AV$159*$AD$159/14.696/$BP72/42)</f>
        <v>0</v>
      </c>
      <c r="AW72" s="100" t="n">
        <f aca="false">IF($P72=0,"",U72*1000/AW$159*$AD$159/14.696/$BP72/42)</f>
        <v>0</v>
      </c>
      <c r="AX72" s="100" t="n">
        <f aca="false">IF($P72=0,"",V72*1000/AX$159*$AD$159/14.696/$BP72/42)</f>
        <v>0</v>
      </c>
      <c r="AY72" s="100" t="n">
        <f aca="false">IF($P72=0,"",W72*1000/AY$159*$AD$159/14.696/$BP72/42)</f>
        <v>0</v>
      </c>
      <c r="AZ72" s="100" t="n">
        <f aca="false">IF($P72=0,"",X72*1000/AZ$159*$AD$159/14.696/$BP72/42)</f>
        <v>0</v>
      </c>
      <c r="BA72" s="100" t="n">
        <f aca="false">IF($P72=0,"",Y72*1000/BA$159*$AD$159/14.696/$BP72/42)</f>
        <v>0</v>
      </c>
      <c r="BB72" s="100" t="n">
        <f aca="false">IF($P72=0,"",Z72*1000/BB$159*$AD$159/14.696/$BP72/42)</f>
        <v>0</v>
      </c>
      <c r="BC72" s="100" t="n">
        <f aca="false">IF($P72=0,"",AA72*1000/BC$159*$AD$159/14.696/$BP72/42)</f>
        <v>0</v>
      </c>
      <c r="BD72" s="430" t="n">
        <f aca="false">SUM(AS72:BC72)</f>
        <v>0</v>
      </c>
      <c r="BE72" s="424" t="n">
        <f aca="false">IF($P72=0,"",E72/$P72*BE$159)</f>
        <v>0.00013065</v>
      </c>
      <c r="BF72" s="425" t="n">
        <f aca="false">IF($P72=0,"",F72/$P72*BF$159)</f>
        <v>5.33494E-005</v>
      </c>
      <c r="BG72" s="425" t="n">
        <f aca="false">IF($P72=0,"",G72/$P72*BG$159)</f>
        <v>0.008085548</v>
      </c>
      <c r="BH72" s="425" t="n">
        <f aca="false">IF($P72=0,"",H72/$P72*BH$159)</f>
        <v>0.003257744</v>
      </c>
      <c r="BI72" s="425" t="n">
        <f aca="false">IF($P72=0,"",I72/$P72*BI$159)</f>
        <v>0.003108079</v>
      </c>
      <c r="BJ72" s="425" t="n">
        <f aca="false">IF($P72=0,"",J72/$P72*BJ$159)</f>
        <v>0.000421596</v>
      </c>
      <c r="BK72" s="425" t="n">
        <f aca="false">IF($P72=0,"",K72/$P72*BK$159)</f>
        <v>0.00135595</v>
      </c>
      <c r="BL72" s="425" t="n">
        <f aca="false">IF($P72=0,"",L72/$P72*BL$159)</f>
        <v>0.000315648</v>
      </c>
      <c r="BM72" s="425" t="n">
        <f aca="false">IF($P72=0,"",M72/$P72*BM$159)</f>
        <v>0.000370266000000001</v>
      </c>
      <c r="BN72" s="425" t="n">
        <f aca="false">IF($P72=0,"",N72/$P72*BN$159)</f>
        <v>0.0006693675</v>
      </c>
      <c r="BO72" s="425" t="n">
        <f aca="false">IF($P72=0,"",O72/$P72*BO$159)</f>
        <v>0</v>
      </c>
      <c r="BP72" s="423" t="n">
        <f aca="false">1-AD$159*(SUM(BE72:BO72))^2</f>
        <v>0.995374865250611</v>
      </c>
    </row>
    <row r="73" customFormat="false" ht="15" hidden="false" customHeight="false" outlineLevel="0" collapsed="false">
      <c r="A73" s="413" t="s">
        <v>99</v>
      </c>
      <c r="B73" s="414" t="s">
        <v>284</v>
      </c>
      <c r="C73" s="415" t="n">
        <v>0</v>
      </c>
      <c r="D73" s="416" t="n">
        <v>0</v>
      </c>
      <c r="E73" s="417" t="n">
        <v>0.674</v>
      </c>
      <c r="F73" s="417" t="n">
        <v>1.324</v>
      </c>
      <c r="G73" s="417" t="n">
        <v>67.68</v>
      </c>
      <c r="H73" s="417" t="n">
        <v>13.238</v>
      </c>
      <c r="I73" s="417" t="n">
        <v>8.748</v>
      </c>
      <c r="J73" s="417" t="n">
        <v>1.033</v>
      </c>
      <c r="K73" s="417" t="n">
        <v>3.276</v>
      </c>
      <c r="L73" s="417" t="n">
        <v>0.778</v>
      </c>
      <c r="M73" s="417" t="n">
        <v>0.912</v>
      </c>
      <c r="N73" s="417" t="n">
        <v>2.337</v>
      </c>
      <c r="O73" s="76"/>
      <c r="P73" s="418" t="n">
        <f aca="false">SUM(E73:O73)</f>
        <v>100</v>
      </c>
      <c r="Q73" s="14" t="n">
        <f aca="false">IF($P73=0,"",$C73*E73/$P73)</f>
        <v>0</v>
      </c>
      <c r="R73" s="15" t="n">
        <f aca="false">IF($P73=0,"",$C73*F73/$P73)</f>
        <v>0</v>
      </c>
      <c r="S73" s="15" t="n">
        <f aca="false">IF($P73=0,"",$C73*G73/$P73)</f>
        <v>0</v>
      </c>
      <c r="T73" s="15" t="n">
        <f aca="false">IF($P73=0,"",$C73*H73/$P73)</f>
        <v>0</v>
      </c>
      <c r="U73" s="15" t="n">
        <f aca="false">IF($P73=0,"",$C73*I73/$P73)</f>
        <v>0</v>
      </c>
      <c r="V73" s="15" t="n">
        <f aca="false">IF($P73=0,"",$C73*J73/$P73)</f>
        <v>0</v>
      </c>
      <c r="W73" s="15" t="n">
        <f aca="false">IF($P73=0,"",$C73*K73/$P73)</f>
        <v>0</v>
      </c>
      <c r="X73" s="15" t="n">
        <f aca="false">IF($P73=0,"",$C73*L73/$P73)</f>
        <v>0</v>
      </c>
      <c r="Y73" s="15" t="n">
        <f aca="false">IF($P73=0,"",$C73*M73/$P73)</f>
        <v>0</v>
      </c>
      <c r="Z73" s="15" t="n">
        <f aca="false">IF($P73=0,"",$C73*N73/$P73)</f>
        <v>0</v>
      </c>
      <c r="AA73" s="15" t="n">
        <f aca="false">IF($P73=0,"",$C73*O73/$P73)</f>
        <v>0</v>
      </c>
      <c r="AB73" s="16" t="n">
        <f aca="false">SUM(Q73:AA73)</f>
        <v>0</v>
      </c>
      <c r="AC73" s="419"/>
      <c r="AD73" s="420"/>
      <c r="AE73" s="15" t="n">
        <f aca="false">IF($P73=0,"",S73*AE$159/$BP73/1000)</f>
        <v>0</v>
      </c>
      <c r="AF73" s="15" t="n">
        <f aca="false">IF($P73=0,"",T73*AF$159/$BP73/1000)</f>
        <v>0</v>
      </c>
      <c r="AG73" s="15" t="n">
        <f aca="false">IF($P73=0,"",U73*AG$159/$BP73/1000)</f>
        <v>0</v>
      </c>
      <c r="AH73" s="15" t="n">
        <f aca="false">IF($P73=0,"",V73*AH$159/$BP73/1000)</f>
        <v>0</v>
      </c>
      <c r="AI73" s="15" t="n">
        <f aca="false">IF($P73=0,"",W73*AI$159/$BP73/1000)</f>
        <v>0</v>
      </c>
      <c r="AJ73" s="15" t="n">
        <f aca="false">IF($P73=0,"",X73*AJ$159/$BP73/1000)</f>
        <v>0</v>
      </c>
      <c r="AK73" s="15" t="n">
        <f aca="false">IF($P73=0,"",Y73*AK$159/$BP73/1000)</f>
        <v>0</v>
      </c>
      <c r="AL73" s="15" t="n">
        <f aca="false">IF($P73=0,"",Z73*AL$159/$BP73/1000)</f>
        <v>0</v>
      </c>
      <c r="AM73" s="15" t="n">
        <f aca="false">IF($P73=0,"",AA73*AM$159/$BP73/1000)</f>
        <v>0</v>
      </c>
      <c r="AN73" s="15" t="n">
        <f aca="false">SUM(AC73:AM73)</f>
        <v>0</v>
      </c>
      <c r="AO73" s="15" t="n">
        <f aca="false">D73-AN73</f>
        <v>0</v>
      </c>
      <c r="AP73" s="421" t="n">
        <f aca="false">IF(D73=0,0,AO73/D73)</f>
        <v>0</v>
      </c>
      <c r="AQ73" s="75" t="n">
        <f aca="false">IF(AB73=0,0,AN73/AB73)*1000</f>
        <v>0</v>
      </c>
      <c r="AR73" s="340" t="n">
        <f aca="false">IF(C73=0,0,D73/C73)*1000</f>
        <v>0</v>
      </c>
      <c r="AS73" s="422" t="n">
        <f aca="false">IF($P73=0,"",Q73*1000/AS$159*$AD$159/14.696/$BP73/42)</f>
        <v>0</v>
      </c>
      <c r="AT73" s="15" t="n">
        <f aca="false">IF($P73=0,"",R73*1000/AT$159*$AD$159/14.696/$BP73/42)</f>
        <v>0</v>
      </c>
      <c r="AU73" s="15" t="n">
        <f aca="false">IF($P73=0,"",S73*1000/AU$159*$AD$159/14.696/$BP73/42)</f>
        <v>0</v>
      </c>
      <c r="AV73" s="15" t="n">
        <f aca="false">IF($P73=0,"",T73*1000/AV$159*$AD$159/14.696/$BP73/42)</f>
        <v>0</v>
      </c>
      <c r="AW73" s="15" t="n">
        <f aca="false">IF($P73=0,"",U73*1000/AW$159*$AD$159/14.696/$BP73/42)</f>
        <v>0</v>
      </c>
      <c r="AX73" s="15" t="n">
        <f aca="false">IF($P73=0,"",V73*1000/AX$159*$AD$159/14.696/$BP73/42)</f>
        <v>0</v>
      </c>
      <c r="AY73" s="15" t="n">
        <f aca="false">IF($P73=0,"",W73*1000/AY$159*$AD$159/14.696/$BP73/42)</f>
        <v>0</v>
      </c>
      <c r="AZ73" s="15" t="n">
        <f aca="false">IF($P73=0,"",X73*1000/AZ$159*$AD$159/14.696/$BP73/42)</f>
        <v>0</v>
      </c>
      <c r="BA73" s="15" t="n">
        <f aca="false">IF($P73=0,"",Y73*1000/BA$159*$AD$159/14.696/$BP73/42)</f>
        <v>0</v>
      </c>
      <c r="BB73" s="15" t="n">
        <f aca="false">IF($P73=0,"",Z73*1000/BB$159*$AD$159/14.696/$BP73/42)</f>
        <v>0</v>
      </c>
      <c r="BC73" s="15" t="n">
        <f aca="false">IF($P73=0,"",AA73*1000/BC$159*$AD$159/14.696/$BP73/42)</f>
        <v>0</v>
      </c>
      <c r="BD73" s="55" t="n">
        <f aca="false">SUM(AS73:BC73)</f>
        <v>0</v>
      </c>
      <c r="BE73" s="419" t="n">
        <f aca="false">IF($P73=0,"",E73/$P73*BE$159)</f>
        <v>0.00013143</v>
      </c>
      <c r="BF73" s="420" t="n">
        <f aca="false">IF($P73=0,"",F73/$P73*BF$159)</f>
        <v>5.85208E-005</v>
      </c>
      <c r="BG73" s="420" t="n">
        <f aca="false">IF($P73=0,"",G73/$P73*BG$159)</f>
        <v>0.00785088</v>
      </c>
      <c r="BH73" s="420" t="n">
        <f aca="false">IF($P73=0,"",H73/$P73*BH$159)</f>
        <v>0.003150644</v>
      </c>
      <c r="BI73" s="420" t="n">
        <f aca="false">IF($P73=0,"",I73/$P73*BI$159)</f>
        <v>0.003035556</v>
      </c>
      <c r="BJ73" s="420" t="n">
        <f aca="false">IF($P73=0,"",J73/$P73*BJ$159)</f>
        <v>0.000455553</v>
      </c>
      <c r="BK73" s="420" t="n">
        <f aca="false">IF($P73=0,"",K73/$P73*BK$159)</f>
        <v>0.00153972</v>
      </c>
      <c r="BL73" s="420" t="n">
        <f aca="false">IF($P73=0,"",L73/$P73*BL$159)</f>
        <v>0.000448128</v>
      </c>
      <c r="BM73" s="420" t="n">
        <f aca="false">IF($P73=0,"",M73/$P73*BM$159)</f>
        <v>0.000552672</v>
      </c>
      <c r="BN73" s="420" t="n">
        <f aca="false">IF($P73=0,"",N73/$P73*BN$159)</f>
        <v>0.0020184669</v>
      </c>
      <c r="BO73" s="420" t="n">
        <f aca="false">IF($P73=0,"",O73/$P73*BO$159)</f>
        <v>0</v>
      </c>
      <c r="BP73" s="418" t="n">
        <f aca="false">1-AD$159*(SUM(BE73:BO73))^2</f>
        <v>0.994576012670005</v>
      </c>
    </row>
    <row r="74" customFormat="false" ht="15" hidden="false" customHeight="false" outlineLevel="0" collapsed="false">
      <c r="A74" s="413" t="s">
        <v>88</v>
      </c>
      <c r="B74" s="414" t="s">
        <v>285</v>
      </c>
      <c r="C74" s="415" t="n">
        <v>243134.31</v>
      </c>
      <c r="D74" s="416" t="n">
        <v>312670.72</v>
      </c>
      <c r="E74" s="417" t="n">
        <v>0.135</v>
      </c>
      <c r="F74" s="417" t="n">
        <v>0.866</v>
      </c>
      <c r="G74" s="417" t="n">
        <v>78.175</v>
      </c>
      <c r="H74" s="417" t="n">
        <v>11.344</v>
      </c>
      <c r="I74" s="417" t="n">
        <v>5.072</v>
      </c>
      <c r="J74" s="417" t="n">
        <v>0.771</v>
      </c>
      <c r="K74" s="417" t="n">
        <v>1.767</v>
      </c>
      <c r="L74" s="417" t="n">
        <v>0.506</v>
      </c>
      <c r="M74" s="417" t="n">
        <v>0.536</v>
      </c>
      <c r="N74" s="417" t="n">
        <v>0.828</v>
      </c>
      <c r="O74" s="76"/>
      <c r="P74" s="423" t="n">
        <f aca="false">SUM(E74:O74)</f>
        <v>100</v>
      </c>
      <c r="Q74" s="99" t="n">
        <f aca="false">IF($P74=0,"",$C74*E74/$P74)</f>
        <v>328.2313185</v>
      </c>
      <c r="R74" s="100" t="n">
        <f aca="false">IF($P74=0,"",$C74*F74/$P74)</f>
        <v>2105.5431246</v>
      </c>
      <c r="S74" s="100" t="n">
        <f aca="false">IF($P74=0,"",$C74*G74/$P74)</f>
        <v>190070.2468425</v>
      </c>
      <c r="T74" s="100" t="n">
        <f aca="false">IF($P74=0,"",$C74*H74/$P74)</f>
        <v>27581.1561264</v>
      </c>
      <c r="U74" s="100" t="n">
        <f aca="false">IF($P74=0,"",$C74*I74/$P74)</f>
        <v>12331.7722032</v>
      </c>
      <c r="V74" s="100" t="n">
        <f aca="false">IF($P74=0,"",$C74*J74/$P74)</f>
        <v>1874.5655301</v>
      </c>
      <c r="W74" s="100" t="n">
        <f aca="false">IF($P74=0,"",$C74*K74/$P74)</f>
        <v>4296.1832577</v>
      </c>
      <c r="X74" s="100" t="n">
        <f aca="false">IF($P74=0,"",$C74*L74/$P74)</f>
        <v>1230.2596086</v>
      </c>
      <c r="Y74" s="100" t="n">
        <f aca="false">IF($P74=0,"",$C74*M74/$P74)</f>
        <v>1303.1999016</v>
      </c>
      <c r="Z74" s="100" t="n">
        <f aca="false">IF($P74=0,"",$C74*N74/$P74)</f>
        <v>2013.1520868</v>
      </c>
      <c r="AA74" s="100" t="n">
        <f aca="false">IF($P74=0,"",$C74*O74/$P74)</f>
        <v>0</v>
      </c>
      <c r="AB74" s="101" t="n">
        <f aca="false">SUM(Q74:AA74)</f>
        <v>243134.31</v>
      </c>
      <c r="AC74" s="424"/>
      <c r="AD74" s="425"/>
      <c r="AE74" s="100" t="n">
        <f aca="false">IF($P74=0,"",S74*AE$159/$BP74/1000)</f>
        <v>192091.696153021</v>
      </c>
      <c r="AF74" s="100" t="n">
        <f aca="false">IF($P74=0,"",T74*AF$159/$BP74/1000)</f>
        <v>48844.0345908296</v>
      </c>
      <c r="AG74" s="100" t="n">
        <f aca="false">IF($P74=0,"",U74*AG$159/$BP74/1000)</f>
        <v>31048.3769872381</v>
      </c>
      <c r="AH74" s="100" t="n">
        <f aca="false">IF($P74=0,"",V74*AH$159/$BP74/1000)</f>
        <v>6099.92778551631</v>
      </c>
      <c r="AI74" s="100" t="n">
        <f aca="false">IF($P74=0,"",W74*AI$159/$BP74/1000)</f>
        <v>14024.8406485362</v>
      </c>
      <c r="AJ74" s="100" t="n">
        <f aca="false">IF($P74=0,"",X74*AJ$159/$BP74/1000)</f>
        <v>4925.45912094495</v>
      </c>
      <c r="AK74" s="100" t="n">
        <f aca="false">IF($P74=0,"",Y74*AK$159/$BP74/1000)</f>
        <v>5227.68607031955</v>
      </c>
      <c r="AL74" s="100" t="n">
        <f aca="false">IF($P74=0,"",Z74*AL$159/$BP74/1000)</f>
        <v>10332.8615801707</v>
      </c>
      <c r="AM74" s="100" t="n">
        <f aca="false">IF($P74=0,"",AA74*AM$159/$BP74/1000)</f>
        <v>0</v>
      </c>
      <c r="AN74" s="100" t="n">
        <f aca="false">SUM(AC74:AM74)</f>
        <v>312594.882936576</v>
      </c>
      <c r="AO74" s="100" t="n">
        <f aca="false">D74-AN74</f>
        <v>75.8370634236489</v>
      </c>
      <c r="AP74" s="426" t="n">
        <f aca="false">IF(D74=0,0,AO74/D74)</f>
        <v>0.00024254609905158</v>
      </c>
      <c r="AQ74" s="427" t="n">
        <f aca="false">IF(AB74=0,0,AN74/AB74)*1000</f>
        <v>1285.68807477882</v>
      </c>
      <c r="AR74" s="428" t="n">
        <f aca="false">IF(C74=0,0,D74/C74)*1000</f>
        <v>1285.99998905954</v>
      </c>
      <c r="AS74" s="429" t="n">
        <f aca="false">IF($P74=0,"",Q74*1000/AS$159*$AD$159/14.696/$BP74/42)</f>
        <v>133.11964570728</v>
      </c>
      <c r="AT74" s="100" t="n">
        <f aca="false">IF($P74=0,"",R74*1000/AT$159*$AD$159/14.696/$BP74/42)</f>
        <v>550.494188721065</v>
      </c>
      <c r="AU74" s="100" t="n">
        <f aca="false">IF($P74=0,"",S74*1000/AU$159*$AD$159/14.696/$BP74/42)</f>
        <v>76575.1652190574</v>
      </c>
      <c r="AV74" s="100" t="n">
        <f aca="false">IF($P74=0,"",T74*1000/AV$159*$AD$159/14.696/$BP74/42)</f>
        <v>17529.140908504</v>
      </c>
      <c r="AW74" s="100" t="n">
        <f aca="false">IF($P74=0,"",U74*1000/AW$159*$AD$159/14.696/$BP74/42)</f>
        <v>8073.68759196322</v>
      </c>
      <c r="AX74" s="100" t="n">
        <f aca="false">IF($P74=0,"",V74*1000/AX$159*$AD$159/14.696/$BP74/42)</f>
        <v>1457.78953090635</v>
      </c>
      <c r="AY74" s="100" t="n">
        <f aca="false">IF($P74=0,"",W74*1000/AY$159*$AD$159/14.696/$BP74/42)</f>
        <v>3218.71451300133</v>
      </c>
      <c r="AZ74" s="100" t="n">
        <f aca="false">IF($P74=0,"",X74*1000/AZ$159*$AD$159/14.696/$BP74/42)</f>
        <v>1069.21438724205</v>
      </c>
      <c r="BA74" s="100" t="n">
        <f aca="false">IF($P74=0,"",Y74*1000/BA$159*$AD$159/14.696/$BP74/42)</f>
        <v>1122.6146436238</v>
      </c>
      <c r="BB74" s="100" t="n">
        <f aca="false">IF($P74=0,"",Z74*1000/BB$159*$AD$159/14.696/$BP74/42)</f>
        <v>2076.01193737946</v>
      </c>
      <c r="BC74" s="100" t="n">
        <f aca="false">IF($P74=0,"",AA74*1000/BC$159*$AD$159/14.696/$BP74/42)</f>
        <v>0</v>
      </c>
      <c r="BD74" s="430" t="n">
        <f aca="false">SUM(AS74:BC74)</f>
        <v>111805.952566106</v>
      </c>
      <c r="BE74" s="424" t="n">
        <f aca="false">IF($P74=0,"",E74/$P74*BE$159)</f>
        <v>2.6325E-005</v>
      </c>
      <c r="BF74" s="425" t="n">
        <f aca="false">IF($P74=0,"",F74/$P74*BF$159)</f>
        <v>3.82772E-005</v>
      </c>
      <c r="BG74" s="425" t="n">
        <f aca="false">IF($P74=0,"",G74/$P74*BG$159)</f>
        <v>0.0090683</v>
      </c>
      <c r="BH74" s="425" t="n">
        <f aca="false">IF($P74=0,"",H74/$P74*BH$159)</f>
        <v>0.002699872</v>
      </c>
      <c r="BI74" s="425" t="n">
        <f aca="false">IF($P74=0,"",I74/$P74*BI$159)</f>
        <v>0.001759984</v>
      </c>
      <c r="BJ74" s="425" t="n">
        <f aca="false">IF($P74=0,"",J74/$P74*BJ$159)</f>
        <v>0.000340011</v>
      </c>
      <c r="BK74" s="425" t="n">
        <f aca="false">IF($P74=0,"",K74/$P74*BK$159)</f>
        <v>0.00083049</v>
      </c>
      <c r="BL74" s="425" t="n">
        <f aca="false">IF($P74=0,"",L74/$P74*BL$159)</f>
        <v>0.000291456</v>
      </c>
      <c r="BM74" s="425" t="n">
        <f aca="false">IF($P74=0,"",M74/$P74*BM$159)</f>
        <v>0.000324816</v>
      </c>
      <c r="BN74" s="425" t="n">
        <f aca="false">IF($P74=0,"",N74/$P74*BN$159)</f>
        <v>0.0007151436</v>
      </c>
      <c r="BO74" s="425" t="n">
        <f aca="false">IF($P74=0,"",O74/$P74*BO$159)</f>
        <v>0</v>
      </c>
      <c r="BP74" s="423" t="n">
        <f aca="false">1-AD$159*(SUM(BE74:BO74))^2</f>
        <v>0.996205085141155</v>
      </c>
    </row>
    <row r="75" customFormat="false" ht="15" hidden="false" customHeight="false" outlineLevel="0" collapsed="false">
      <c r="A75" s="413" t="s">
        <v>286</v>
      </c>
      <c r="B75" s="414" t="s">
        <v>287</v>
      </c>
      <c r="C75" s="415" t="n">
        <v>0</v>
      </c>
      <c r="D75" s="416" t="n">
        <v>0</v>
      </c>
      <c r="E75" s="417" t="n">
        <v>0.0920000000000001</v>
      </c>
      <c r="F75" s="417" t="n">
        <v>0.82</v>
      </c>
      <c r="G75" s="417" t="n">
        <v>73.125</v>
      </c>
      <c r="H75" s="417" t="n">
        <v>12.76</v>
      </c>
      <c r="I75" s="417" t="n">
        <v>6.744</v>
      </c>
      <c r="J75" s="417" t="n">
        <v>0.988</v>
      </c>
      <c r="K75" s="417" t="n">
        <v>2.458</v>
      </c>
      <c r="L75" s="417" t="n">
        <v>0.618</v>
      </c>
      <c r="M75" s="417" t="n">
        <v>0.765999999999999</v>
      </c>
      <c r="N75" s="417" t="n">
        <v>1.629</v>
      </c>
      <c r="O75" s="76"/>
      <c r="P75" s="418" t="n">
        <f aca="false">SUM(E75:O75)</f>
        <v>100</v>
      </c>
      <c r="Q75" s="14" t="n">
        <f aca="false">IF($P75=0,"",$C75*E75/$P75)</f>
        <v>0</v>
      </c>
      <c r="R75" s="15" t="n">
        <f aca="false">IF($P75=0,"",$C75*F75/$P75)</f>
        <v>0</v>
      </c>
      <c r="S75" s="15" t="n">
        <f aca="false">IF($P75=0,"",$C75*G75/$P75)</f>
        <v>0</v>
      </c>
      <c r="T75" s="15" t="n">
        <f aca="false">IF($P75=0,"",$C75*H75/$P75)</f>
        <v>0</v>
      </c>
      <c r="U75" s="15" t="n">
        <f aca="false">IF($P75=0,"",$C75*I75/$P75)</f>
        <v>0</v>
      </c>
      <c r="V75" s="15" t="n">
        <f aca="false">IF($P75=0,"",$C75*J75/$P75)</f>
        <v>0</v>
      </c>
      <c r="W75" s="15" t="n">
        <f aca="false">IF($P75=0,"",$C75*K75/$P75)</f>
        <v>0</v>
      </c>
      <c r="X75" s="15" t="n">
        <f aca="false">IF($P75=0,"",$C75*L75/$P75)</f>
        <v>0</v>
      </c>
      <c r="Y75" s="15" t="n">
        <f aca="false">IF($P75=0,"",$C75*M75/$P75)</f>
        <v>0</v>
      </c>
      <c r="Z75" s="15" t="n">
        <f aca="false">IF($P75=0,"",$C75*N75/$P75)</f>
        <v>0</v>
      </c>
      <c r="AA75" s="15" t="n">
        <f aca="false">IF($P75=0,"",$C75*O75/$P75)</f>
        <v>0</v>
      </c>
      <c r="AB75" s="16" t="n">
        <f aca="false">SUM(Q75:AA75)</f>
        <v>0</v>
      </c>
      <c r="AC75" s="419"/>
      <c r="AD75" s="420"/>
      <c r="AE75" s="15" t="n">
        <f aca="false">IF($P75=0,"",S75*AE$159/$BP75/1000)</f>
        <v>0</v>
      </c>
      <c r="AF75" s="15" t="n">
        <f aca="false">IF($P75=0,"",T75*AF$159/$BP75/1000)</f>
        <v>0</v>
      </c>
      <c r="AG75" s="15" t="n">
        <f aca="false">IF($P75=0,"",U75*AG$159/$BP75/1000)</f>
        <v>0</v>
      </c>
      <c r="AH75" s="15" t="n">
        <f aca="false">IF($P75=0,"",V75*AH$159/$BP75/1000)</f>
        <v>0</v>
      </c>
      <c r="AI75" s="15" t="n">
        <f aca="false">IF($P75=0,"",W75*AI$159/$BP75/1000)</f>
        <v>0</v>
      </c>
      <c r="AJ75" s="15" t="n">
        <f aca="false">IF($P75=0,"",X75*AJ$159/$BP75/1000)</f>
        <v>0</v>
      </c>
      <c r="AK75" s="15" t="n">
        <f aca="false">IF($P75=0,"",Y75*AK$159/$BP75/1000)</f>
        <v>0</v>
      </c>
      <c r="AL75" s="15" t="n">
        <f aca="false">IF($P75=0,"",Z75*AL$159/$BP75/1000)</f>
        <v>0</v>
      </c>
      <c r="AM75" s="15" t="n">
        <f aca="false">IF($P75=0,"",AA75*AM$159/$BP75/1000)</f>
        <v>0</v>
      </c>
      <c r="AN75" s="15" t="n">
        <f aca="false">SUM(AC75:AM75)</f>
        <v>0</v>
      </c>
      <c r="AO75" s="15" t="n">
        <f aca="false">D75-AN75</f>
        <v>0</v>
      </c>
      <c r="AP75" s="421" t="n">
        <f aca="false">IF(D75=0,0,AO75/D75)</f>
        <v>0</v>
      </c>
      <c r="AQ75" s="75" t="n">
        <f aca="false">IF(AB75=0,0,AN75/AB75)*1000</f>
        <v>0</v>
      </c>
      <c r="AR75" s="340" t="n">
        <f aca="false">IF(C75=0,0,D75/C75)*1000</f>
        <v>0</v>
      </c>
      <c r="AS75" s="422" t="n">
        <f aca="false">IF($P75=0,"",Q75*1000/AS$159*$AD$159/14.696/$BP75/42)</f>
        <v>0</v>
      </c>
      <c r="AT75" s="15" t="n">
        <f aca="false">IF($P75=0,"",R75*1000/AT$159*$AD$159/14.696/$BP75/42)</f>
        <v>0</v>
      </c>
      <c r="AU75" s="15" t="n">
        <f aca="false">IF($P75=0,"",S75*1000/AU$159*$AD$159/14.696/$BP75/42)</f>
        <v>0</v>
      </c>
      <c r="AV75" s="15" t="n">
        <f aca="false">IF($P75=0,"",T75*1000/AV$159*$AD$159/14.696/$BP75/42)</f>
        <v>0</v>
      </c>
      <c r="AW75" s="15" t="n">
        <f aca="false">IF($P75=0,"",U75*1000/AW$159*$AD$159/14.696/$BP75/42)</f>
        <v>0</v>
      </c>
      <c r="AX75" s="15" t="n">
        <f aca="false">IF($P75=0,"",V75*1000/AX$159*$AD$159/14.696/$BP75/42)</f>
        <v>0</v>
      </c>
      <c r="AY75" s="15" t="n">
        <f aca="false">IF($P75=0,"",W75*1000/AY$159*$AD$159/14.696/$BP75/42)</f>
        <v>0</v>
      </c>
      <c r="AZ75" s="15" t="n">
        <f aca="false">IF($P75=0,"",X75*1000/AZ$159*$AD$159/14.696/$BP75/42)</f>
        <v>0</v>
      </c>
      <c r="BA75" s="15" t="n">
        <f aca="false">IF($P75=0,"",Y75*1000/BA$159*$AD$159/14.696/$BP75/42)</f>
        <v>0</v>
      </c>
      <c r="BB75" s="15" t="n">
        <f aca="false">IF($P75=0,"",Z75*1000/BB$159*$AD$159/14.696/$BP75/42)</f>
        <v>0</v>
      </c>
      <c r="BC75" s="15" t="n">
        <f aca="false">IF($P75=0,"",AA75*1000/BC$159*$AD$159/14.696/$BP75/42)</f>
        <v>0</v>
      </c>
      <c r="BD75" s="55" t="n">
        <f aca="false">SUM(AS75:BC75)</f>
        <v>0</v>
      </c>
      <c r="BE75" s="419" t="n">
        <f aca="false">IF($P75=0,"",E75/$P75*BE$159)</f>
        <v>1.794E-005</v>
      </c>
      <c r="BF75" s="420" t="n">
        <f aca="false">IF($P75=0,"",F75/$P75*BF$159)</f>
        <v>3.6244E-005</v>
      </c>
      <c r="BG75" s="420" t="n">
        <f aca="false">IF($P75=0,"",G75/$P75*BG$159)</f>
        <v>0.0084825</v>
      </c>
      <c r="BH75" s="420" t="n">
        <f aca="false">IF($P75=0,"",H75/$P75*BH$159)</f>
        <v>0.00303688</v>
      </c>
      <c r="BI75" s="420" t="n">
        <f aca="false">IF($P75=0,"",I75/$P75*BI$159)</f>
        <v>0.002340168</v>
      </c>
      <c r="BJ75" s="420" t="n">
        <f aca="false">IF($P75=0,"",J75/$P75*BJ$159)</f>
        <v>0.000435708</v>
      </c>
      <c r="BK75" s="420" t="n">
        <f aca="false">IF($P75=0,"",K75/$P75*BK$159)</f>
        <v>0.00115526</v>
      </c>
      <c r="BL75" s="420" t="n">
        <f aca="false">IF($P75=0,"",L75/$P75*BL$159)</f>
        <v>0.000355968</v>
      </c>
      <c r="BM75" s="420" t="n">
        <f aca="false">IF($P75=0,"",M75/$P75*BM$159)</f>
        <v>0.000464195999999999</v>
      </c>
      <c r="BN75" s="420" t="n">
        <f aca="false">IF($P75=0,"",N75/$P75*BN$159)</f>
        <v>0.0014069673</v>
      </c>
      <c r="BO75" s="420" t="n">
        <f aca="false">IF($P75=0,"",O75/$P75*BO$159)</f>
        <v>0</v>
      </c>
      <c r="BP75" s="418" t="n">
        <f aca="false">1-AD$159*(SUM(BE75:BO75))^2</f>
        <v>0.995393778625663</v>
      </c>
    </row>
    <row r="76" customFormat="false" ht="15" hidden="false" customHeight="false" outlineLevel="0" collapsed="false">
      <c r="A76" s="413" t="s">
        <v>98</v>
      </c>
      <c r="B76" s="414" t="s">
        <v>288</v>
      </c>
      <c r="C76" s="415" t="n">
        <v>4616.41</v>
      </c>
      <c r="D76" s="416" t="n">
        <v>5756.66</v>
      </c>
      <c r="E76" s="417" t="n">
        <v>0.125</v>
      </c>
      <c r="F76" s="417" t="n">
        <v>0.582</v>
      </c>
      <c r="G76" s="417" t="n">
        <v>81.076</v>
      </c>
      <c r="H76" s="417" t="n">
        <v>10.555</v>
      </c>
      <c r="I76" s="417" t="n">
        <v>4.037</v>
      </c>
      <c r="J76" s="417" t="n">
        <v>0.705</v>
      </c>
      <c r="K76" s="417" t="n">
        <v>1.318</v>
      </c>
      <c r="L76" s="417" t="n">
        <v>0.372</v>
      </c>
      <c r="M76" s="417" t="n">
        <v>0.396</v>
      </c>
      <c r="N76" s="417" t="n">
        <v>0.834</v>
      </c>
      <c r="O76" s="76"/>
      <c r="P76" s="423" t="n">
        <f aca="false">SUM(E76:O76)</f>
        <v>100</v>
      </c>
      <c r="Q76" s="99" t="n">
        <f aca="false">IF($P76=0,"",$C76*E76/$P76)</f>
        <v>5.7705125</v>
      </c>
      <c r="R76" s="100" t="n">
        <f aca="false">IF($P76=0,"",$C76*F76/$P76)</f>
        <v>26.8675062</v>
      </c>
      <c r="S76" s="100" t="n">
        <f aca="false">IF($P76=0,"",$C76*G76/$P76)</f>
        <v>3742.8005716</v>
      </c>
      <c r="T76" s="100" t="n">
        <f aca="false">IF($P76=0,"",$C76*H76/$P76)</f>
        <v>487.2620755</v>
      </c>
      <c r="U76" s="100" t="n">
        <f aca="false">IF($P76=0,"",$C76*I76/$P76)</f>
        <v>186.3644717</v>
      </c>
      <c r="V76" s="100" t="n">
        <f aca="false">IF($P76=0,"",$C76*J76/$P76)</f>
        <v>32.5456905</v>
      </c>
      <c r="W76" s="100" t="n">
        <f aca="false">IF($P76=0,"",$C76*K76/$P76)</f>
        <v>60.8442838</v>
      </c>
      <c r="X76" s="100" t="n">
        <f aca="false">IF($P76=0,"",$C76*L76/$P76)</f>
        <v>17.1730452</v>
      </c>
      <c r="Y76" s="100" t="n">
        <f aca="false">IF($P76=0,"",$C76*M76/$P76)</f>
        <v>18.2809836</v>
      </c>
      <c r="Z76" s="100" t="n">
        <f aca="false">IF($P76=0,"",$C76*N76/$P76)</f>
        <v>38.5008594</v>
      </c>
      <c r="AA76" s="100" t="n">
        <f aca="false">IF($P76=0,"",$C76*O76/$P76)</f>
        <v>0</v>
      </c>
      <c r="AB76" s="101" t="n">
        <f aca="false">SUM(Q76:AA76)</f>
        <v>4616.41</v>
      </c>
      <c r="AC76" s="424"/>
      <c r="AD76" s="425"/>
      <c r="AE76" s="100" t="n">
        <f aca="false">IF($P76=0,"",S76*AE$159/$BP76/1000)</f>
        <v>3781.51457010205</v>
      </c>
      <c r="AF76" s="100" t="n">
        <f aca="false">IF($P76=0,"",T76*AF$159/$BP76/1000)</f>
        <v>862.653348765704</v>
      </c>
      <c r="AG76" s="100" t="n">
        <f aca="false">IF($P76=0,"",U76*AG$159/$BP76/1000)</f>
        <v>469.084594339807</v>
      </c>
      <c r="AH76" s="100" t="n">
        <f aca="false">IF($P76=0,"",V76*AH$159/$BP76/1000)</f>
        <v>105.87470059091</v>
      </c>
      <c r="AI76" s="100" t="n">
        <f aca="false">IF($P76=0,"",W76*AI$159/$BP76/1000)</f>
        <v>198.568135919167</v>
      </c>
      <c r="AJ76" s="100" t="n">
        <f aca="false">IF($P76=0,"",X76*AJ$159/$BP76/1000)</f>
        <v>68.7340452753796</v>
      </c>
      <c r="AK76" s="100" t="n">
        <f aca="false">IF($P76=0,"",Y76*AK$159/$BP76/1000)</f>
        <v>73.3115933551863</v>
      </c>
      <c r="AL76" s="100" t="n">
        <f aca="false">IF($P76=0,"",Z76*AL$159/$BP76/1000)</f>
        <v>197.555483167265</v>
      </c>
      <c r="AM76" s="100" t="n">
        <f aca="false">IF($P76=0,"",AA76*AM$159/$BP76/1000)</f>
        <v>0</v>
      </c>
      <c r="AN76" s="100" t="n">
        <f aca="false">SUM(AC76:AM76)</f>
        <v>5757.29647151547</v>
      </c>
      <c r="AO76" s="100" t="n">
        <f aca="false">D76-AN76</f>
        <v>-0.636471515472294</v>
      </c>
      <c r="AP76" s="426" t="n">
        <f aca="false">IF(D76=0,0,AO76/D76)</f>
        <v>-0.000110562637965816</v>
      </c>
      <c r="AQ76" s="427" t="n">
        <f aca="false">IF(AB76=0,0,AN76/AB76)*1000</f>
        <v>1247.1371631886</v>
      </c>
      <c r="AR76" s="428" t="n">
        <f aca="false">IF(C76=0,0,D76/C76)*1000</f>
        <v>1246.99929165737</v>
      </c>
      <c r="AS76" s="429" t="n">
        <f aca="false">IF($P76=0,"",Q76*1000/AS$159*$AD$159/14.696/$BP76/42)</f>
        <v>2.3396514343593</v>
      </c>
      <c r="AT76" s="100" t="n">
        <f aca="false">IF($P76=0,"",R76*1000/AT$159*$AD$159/14.696/$BP76/42)</f>
        <v>7.02248134147933</v>
      </c>
      <c r="AU76" s="100" t="n">
        <f aca="false">IF($P76=0,"",S76*1000/AU$159*$AD$159/14.696/$BP76/42)</f>
        <v>1507.45768184152</v>
      </c>
      <c r="AV76" s="100" t="n">
        <f aca="false">IF($P76=0,"",T76*1000/AV$159*$AD$159/14.696/$BP76/42)</f>
        <v>309.588923854909</v>
      </c>
      <c r="AW76" s="100" t="n">
        <f aca="false">IF($P76=0,"",U76*1000/AW$159*$AD$159/14.696/$BP76/42)</f>
        <v>121.97875819593</v>
      </c>
      <c r="AX76" s="100" t="n">
        <f aca="false">IF($P76=0,"",V76*1000/AX$159*$AD$159/14.696/$BP76/42)</f>
        <v>25.3024356248521</v>
      </c>
      <c r="AY76" s="100" t="n">
        <f aca="false">IF($P76=0,"",W76*1000/AY$159*$AD$159/14.696/$BP76/42)</f>
        <v>45.5715795223205</v>
      </c>
      <c r="AZ76" s="100" t="n">
        <f aca="false">IF($P76=0,"",X76*1000/AZ$159*$AD$159/14.696/$BP76/42)</f>
        <v>14.9207268393049</v>
      </c>
      <c r="BA76" s="100" t="n">
        <f aca="false">IF($P76=0,"",Y76*1000/BA$159*$AD$159/14.696/$BP76/42)</f>
        <v>15.7432307795204</v>
      </c>
      <c r="BB76" s="100" t="n">
        <f aca="false">IF($P76=0,"",Z76*1000/BB$159*$AD$159/14.696/$BP76/42)</f>
        <v>39.691574126674</v>
      </c>
      <c r="BC76" s="100" t="n">
        <f aca="false">IF($P76=0,"",AA76*1000/BC$159*$AD$159/14.696/$BP76/42)</f>
        <v>0</v>
      </c>
      <c r="BD76" s="430" t="n">
        <f aca="false">SUM(AS76:BC76)</f>
        <v>2089.61704356087</v>
      </c>
      <c r="BE76" s="424" t="n">
        <f aca="false">IF($P76=0,"",E76/$P76*BE$159)</f>
        <v>2.4375E-005</v>
      </c>
      <c r="BF76" s="425" t="n">
        <f aca="false">IF($P76=0,"",F76/$P76*BF$159)</f>
        <v>2.57244E-005</v>
      </c>
      <c r="BG76" s="425" t="n">
        <f aca="false">IF($P76=0,"",G76/$P76*BG$159)</f>
        <v>0.009404816</v>
      </c>
      <c r="BH76" s="425" t="n">
        <f aca="false">IF($P76=0,"",H76/$P76*BH$159)</f>
        <v>0.00251209</v>
      </c>
      <c r="BI76" s="425" t="n">
        <f aca="false">IF($P76=0,"",I76/$P76*BI$159)</f>
        <v>0.001400839</v>
      </c>
      <c r="BJ76" s="425" t="n">
        <f aca="false">IF($P76=0,"",J76/$P76*BJ$159)</f>
        <v>0.000310905</v>
      </c>
      <c r="BK76" s="425" t="n">
        <f aca="false">IF($P76=0,"",K76/$P76*BK$159)</f>
        <v>0.00061946</v>
      </c>
      <c r="BL76" s="425" t="n">
        <f aca="false">IF($P76=0,"",L76/$P76*BL$159)</f>
        <v>0.000214272</v>
      </c>
      <c r="BM76" s="425" t="n">
        <f aca="false">IF($P76=0,"",M76/$P76*BM$159)</f>
        <v>0.000239976</v>
      </c>
      <c r="BN76" s="425" t="n">
        <f aca="false">IF($P76=0,"",N76/$P76*BN$159)</f>
        <v>0.0007203258</v>
      </c>
      <c r="BO76" s="425" t="n">
        <f aca="false">IF($P76=0,"",O76/$P76*BO$159)</f>
        <v>0</v>
      </c>
      <c r="BP76" s="423" t="n">
        <f aca="false">1-AD$159*(SUM(BE76:BO76))^2</f>
        <v>0.996492687157671</v>
      </c>
    </row>
    <row r="77" customFormat="false" ht="15" hidden="false" customHeight="false" outlineLevel="0" collapsed="false">
      <c r="A77" s="413" t="s">
        <v>89</v>
      </c>
      <c r="B77" s="414" t="s">
        <v>289</v>
      </c>
      <c r="C77" s="415" t="n">
        <v>76284.56</v>
      </c>
      <c r="D77" s="416" t="n">
        <v>98178.22</v>
      </c>
      <c r="E77" s="417" t="n">
        <v>0.112</v>
      </c>
      <c r="F77" s="417" t="n">
        <v>0.9</v>
      </c>
      <c r="G77" s="417" t="n">
        <v>77.819</v>
      </c>
      <c r="H77" s="417" t="n">
        <v>11.063</v>
      </c>
      <c r="I77" s="417" t="n">
        <v>5.419</v>
      </c>
      <c r="J77" s="417" t="n">
        <v>0.984</v>
      </c>
      <c r="K77" s="417" t="n">
        <v>2.135</v>
      </c>
      <c r="L77" s="417" t="n">
        <v>0.61</v>
      </c>
      <c r="M77" s="417" t="n">
        <v>0.603</v>
      </c>
      <c r="N77" s="417" t="n">
        <v>0.355</v>
      </c>
      <c r="O77" s="76"/>
      <c r="P77" s="418" t="n">
        <f aca="false">SUM(E77:O77)</f>
        <v>100</v>
      </c>
      <c r="Q77" s="14" t="n">
        <f aca="false">IF($P77=0,"",$C77*E77/$P77)</f>
        <v>85.4387072</v>
      </c>
      <c r="R77" s="15" t="n">
        <f aca="false">IF($P77=0,"",$C77*F77/$P77)</f>
        <v>686.56104</v>
      </c>
      <c r="S77" s="15" t="n">
        <f aca="false">IF($P77=0,"",$C77*G77/$P77)</f>
        <v>59363.8817464</v>
      </c>
      <c r="T77" s="15" t="n">
        <f aca="false">IF($P77=0,"",$C77*H77/$P77)</f>
        <v>8439.3608728</v>
      </c>
      <c r="U77" s="15" t="n">
        <f aca="false">IF($P77=0,"",$C77*I77/$P77)</f>
        <v>4133.8603064</v>
      </c>
      <c r="V77" s="15" t="n">
        <f aca="false">IF($P77=0,"",$C77*J77/$P77)</f>
        <v>750.6400704</v>
      </c>
      <c r="W77" s="15" t="n">
        <f aca="false">IF($P77=0,"",$C77*K77/$P77)</f>
        <v>1628.675356</v>
      </c>
      <c r="X77" s="15" t="n">
        <f aca="false">IF($P77=0,"",$C77*L77/$P77)</f>
        <v>465.335816</v>
      </c>
      <c r="Y77" s="15" t="n">
        <f aca="false">IF($P77=0,"",$C77*M77/$P77)</f>
        <v>459.9958968</v>
      </c>
      <c r="Z77" s="15" t="n">
        <f aca="false">IF($P77=0,"",$C77*N77/$P77)</f>
        <v>270.810188</v>
      </c>
      <c r="AA77" s="15" t="n">
        <f aca="false">IF($P77=0,"",$C77*O77/$P77)</f>
        <v>0</v>
      </c>
      <c r="AB77" s="16" t="n">
        <f aca="false">SUM(Q77:AA77)</f>
        <v>76284.56</v>
      </c>
      <c r="AC77" s="419"/>
      <c r="AD77" s="420"/>
      <c r="AE77" s="15" t="n">
        <f aca="false">IF($P77=0,"",S77*AE$159/$BP77/1000)</f>
        <v>59994.3285108329</v>
      </c>
      <c r="AF77" s="15" t="n">
        <f aca="false">IF($P77=0,"",T77*AF$159/$BP77/1000)</f>
        <v>14945.2118096402</v>
      </c>
      <c r="AG77" s="15" t="n">
        <f aca="false">IF($P77=0,"",U77*AG$159/$BP77/1000)</f>
        <v>10407.8891671581</v>
      </c>
      <c r="AH77" s="15" t="n">
        <f aca="false">IF($P77=0,"",V77*AH$159/$BP77/1000)</f>
        <v>2442.58262639569</v>
      </c>
      <c r="AI77" s="15" t="n">
        <f aca="false">IF($P77=0,"",W77*AI$159/$BP77/1000)</f>
        <v>5316.71174680646</v>
      </c>
      <c r="AJ77" s="15" t="n">
        <f aca="false">IF($P77=0,"",X77*AJ$159/$BP77/1000)</f>
        <v>1862.98726809164</v>
      </c>
      <c r="AK77" s="15" t="n">
        <f aca="false">IF($P77=0,"",Y77*AK$159/$BP77/1000)</f>
        <v>1845.21030727262</v>
      </c>
      <c r="AL77" s="15" t="n">
        <f aca="false">IF($P77=0,"",Z77*AL$159/$BP77/1000)</f>
        <v>1389.9605607155</v>
      </c>
      <c r="AM77" s="15" t="n">
        <f aca="false">IF($P77=0,"",AA77*AM$159/$BP77/1000)</f>
        <v>0</v>
      </c>
      <c r="AN77" s="15" t="n">
        <f aca="false">SUM(AC77:AM77)</f>
        <v>98204.8819969131</v>
      </c>
      <c r="AO77" s="15" t="n">
        <f aca="false">D77-AN77</f>
        <v>-26.661996913128</v>
      </c>
      <c r="AP77" s="421" t="n">
        <f aca="false">IF(D77=0,0,AO77/D77)</f>
        <v>-0.000271567328406728</v>
      </c>
      <c r="AQ77" s="75" t="n">
        <f aca="false">IF(AB77=0,0,AN77/AB77)*1000</f>
        <v>1287.34939281177</v>
      </c>
      <c r="AR77" s="340" t="n">
        <f aca="false">IF(C77=0,0,D77/C77)*1000</f>
        <v>1286.99988569115</v>
      </c>
      <c r="AS77" s="422" t="n">
        <f aca="false">IF($P77=0,"",Q77*1000/AS$159*$AD$159/14.696/$BP77/42)</f>
        <v>34.6505599366495</v>
      </c>
      <c r="AT77" s="15" t="n">
        <f aca="false">IF($P77=0,"",R77*1000/AT$159*$AD$159/14.696/$BP77/42)</f>
        <v>179.498657954683</v>
      </c>
      <c r="AU77" s="15" t="n">
        <f aca="false">IF($P77=0,"",S77*1000/AU$159*$AD$159/14.696/$BP77/42)</f>
        <v>23916.0552482382</v>
      </c>
      <c r="AV77" s="15" t="n">
        <f aca="false">IF($P77=0,"",T77*1000/AV$159*$AD$159/14.696/$BP77/42)</f>
        <v>5363.53570939056</v>
      </c>
      <c r="AW77" s="15" t="n">
        <f aca="false">IF($P77=0,"",U77*1000/AW$159*$AD$159/14.696/$BP77/42)</f>
        <v>2706.42313000618</v>
      </c>
      <c r="AX77" s="15" t="n">
        <f aca="false">IF($P77=0,"",V77*1000/AX$159*$AD$159/14.696/$BP77/42)</f>
        <v>583.739923870587</v>
      </c>
      <c r="AY77" s="15" t="n">
        <f aca="false">IF($P77=0,"",W77*1000/AY$159*$AD$159/14.696/$BP77/42)</f>
        <v>1220.19049554596</v>
      </c>
      <c r="AZ77" s="15" t="n">
        <f aca="false">IF($P77=0,"",X77*1000/AZ$159*$AD$159/14.696/$BP77/42)</f>
        <v>404.415657785461</v>
      </c>
      <c r="BA77" s="15" t="n">
        <f aca="false">IF($P77=0,"",Y77*1000/BA$159*$AD$159/14.696/$BP77/42)</f>
        <v>396.247992638774</v>
      </c>
      <c r="BB77" s="15" t="n">
        <f aca="false">IF($P77=0,"",Z77*1000/BB$159*$AD$159/14.696/$BP77/42)</f>
        <v>279.261915408755</v>
      </c>
      <c r="BC77" s="15" t="n">
        <f aca="false">IF($P77=0,"",AA77*1000/BC$159*$AD$159/14.696/$BP77/42)</f>
        <v>0</v>
      </c>
      <c r="BD77" s="55" t="n">
        <f aca="false">SUM(AS77:BC77)</f>
        <v>35084.0192907758</v>
      </c>
      <c r="BE77" s="419" t="n">
        <f aca="false">IF($P77=0,"",E77/$P77*BE$159)</f>
        <v>2.184E-005</v>
      </c>
      <c r="BF77" s="420" t="n">
        <f aca="false">IF($P77=0,"",F77/$P77*BF$159)</f>
        <v>3.978E-005</v>
      </c>
      <c r="BG77" s="420" t="n">
        <f aca="false">IF($P77=0,"",G77/$P77*BG$159)</f>
        <v>0.009027004</v>
      </c>
      <c r="BH77" s="420" t="n">
        <f aca="false">IF($P77=0,"",H77/$P77*BH$159)</f>
        <v>0.002632994</v>
      </c>
      <c r="BI77" s="420" t="n">
        <f aca="false">IF($P77=0,"",I77/$P77*BI$159)</f>
        <v>0.001880393</v>
      </c>
      <c r="BJ77" s="420" t="n">
        <f aca="false">IF($P77=0,"",J77/$P77*BJ$159)</f>
        <v>0.000433944</v>
      </c>
      <c r="BK77" s="420" t="n">
        <f aca="false">IF($P77=0,"",K77/$P77*BK$159)</f>
        <v>0.00100345</v>
      </c>
      <c r="BL77" s="420" t="n">
        <f aca="false">IF($P77=0,"",L77/$P77*BL$159)</f>
        <v>0.00035136</v>
      </c>
      <c r="BM77" s="420" t="n">
        <f aca="false">IF($P77=0,"",M77/$P77*BM$159)</f>
        <v>0.000365418</v>
      </c>
      <c r="BN77" s="420" t="n">
        <f aca="false">IF($P77=0,"",N77/$P77*BN$159)</f>
        <v>0.0003066135</v>
      </c>
      <c r="BO77" s="420" t="n">
        <f aca="false">IF($P77=0,"",O77/$P77*BO$159)</f>
        <v>0</v>
      </c>
      <c r="BP77" s="418" t="n">
        <f aca="false">1-AD$159*(SUM(BE77:BO77))^2</f>
        <v>0.996220103229984</v>
      </c>
    </row>
    <row r="78" customFormat="false" ht="15" hidden="false" customHeight="false" outlineLevel="0" collapsed="false">
      <c r="A78" s="413" t="s">
        <v>90</v>
      </c>
      <c r="B78" s="414" t="s">
        <v>290</v>
      </c>
      <c r="C78" s="415" t="n">
        <v>198846.02</v>
      </c>
      <c r="D78" s="416" t="n">
        <v>247563.3</v>
      </c>
      <c r="E78" s="417" t="n">
        <v>0.169</v>
      </c>
      <c r="F78" s="417" t="n">
        <v>1.369</v>
      </c>
      <c r="G78" s="417" t="n">
        <v>79.224</v>
      </c>
      <c r="H78" s="417" t="n">
        <v>10.904</v>
      </c>
      <c r="I78" s="417" t="n">
        <v>4.714</v>
      </c>
      <c r="J78" s="417" t="n">
        <v>0.747</v>
      </c>
      <c r="K78" s="417" t="n">
        <v>1.59</v>
      </c>
      <c r="L78" s="417" t="n">
        <v>0.395</v>
      </c>
      <c r="M78" s="417" t="n">
        <v>0.426</v>
      </c>
      <c r="N78" s="417" t="n">
        <v>0.462</v>
      </c>
      <c r="O78" s="76"/>
      <c r="P78" s="423" t="n">
        <f aca="false">SUM(E78:O78)</f>
        <v>100</v>
      </c>
      <c r="Q78" s="99" t="n">
        <f aca="false">IF($P78=0,"",$C78*E78/$P78)</f>
        <v>336.0497738</v>
      </c>
      <c r="R78" s="100" t="n">
        <f aca="false">IF($P78=0,"",$C78*F78/$P78)</f>
        <v>2722.2020138</v>
      </c>
      <c r="S78" s="100" t="n">
        <f aca="false">IF($P78=0,"",$C78*G78/$P78)</f>
        <v>157533.7708848</v>
      </c>
      <c r="T78" s="100" t="n">
        <f aca="false">IF($P78=0,"",$C78*H78/$P78)</f>
        <v>21682.1700208</v>
      </c>
      <c r="U78" s="100" t="n">
        <f aca="false">IF($P78=0,"",$C78*I78/$P78)</f>
        <v>9373.6013828</v>
      </c>
      <c r="V78" s="100" t="n">
        <f aca="false">IF($P78=0,"",$C78*J78/$P78)</f>
        <v>1485.3797694</v>
      </c>
      <c r="W78" s="100" t="n">
        <f aca="false">IF($P78=0,"",$C78*K78/$P78)</f>
        <v>3161.651718</v>
      </c>
      <c r="X78" s="100" t="n">
        <f aca="false">IF($P78=0,"",$C78*L78/$P78)</f>
        <v>785.441779</v>
      </c>
      <c r="Y78" s="100" t="n">
        <f aca="false">IF($P78=0,"",$C78*M78/$P78)</f>
        <v>847.0840452</v>
      </c>
      <c r="Z78" s="100" t="n">
        <f aca="false">IF($P78=0,"",$C78*N78/$P78)</f>
        <v>918.6686124</v>
      </c>
      <c r="AA78" s="100" t="n">
        <f aca="false">IF($P78=0,"",$C78*O78/$P78)</f>
        <v>0</v>
      </c>
      <c r="AB78" s="101" t="n">
        <f aca="false">SUM(Q78:AA78)</f>
        <v>198846.02</v>
      </c>
      <c r="AC78" s="424"/>
      <c r="AD78" s="425"/>
      <c r="AE78" s="100" t="n">
        <f aca="false">IF($P78=0,"",S78*AE$159/$BP78/1000)</f>
        <v>159163.45362156</v>
      </c>
      <c r="AF78" s="100" t="n">
        <f aca="false">IF($P78=0,"",T78*AF$159/$BP78/1000)</f>
        <v>38386.3697101344</v>
      </c>
      <c r="AG78" s="100" t="n">
        <f aca="false">IF($P78=0,"",U78*AG$159/$BP78/1000)</f>
        <v>23593.6494755627</v>
      </c>
      <c r="AH78" s="100" t="n">
        <f aca="false">IF($P78=0,"",V78*AH$159/$BP78/1000)</f>
        <v>4832.10990971961</v>
      </c>
      <c r="AI78" s="100" t="n">
        <f aca="false">IF($P78=0,"",W78*AI$159/$BP78/1000)</f>
        <v>10318.2108175696</v>
      </c>
      <c r="AJ78" s="100" t="n">
        <f aca="false">IF($P78=0,"",X78*AJ$159/$BP78/1000)</f>
        <v>3143.68616965137</v>
      </c>
      <c r="AK78" s="100" t="n">
        <f aca="false">IF($P78=0,"",Y78*AK$159/$BP78/1000)</f>
        <v>3397.03636362825</v>
      </c>
      <c r="AL78" s="100" t="n">
        <f aca="false">IF($P78=0,"",Z78*AL$159/$BP78/1000)</f>
        <v>4713.87581497073</v>
      </c>
      <c r="AM78" s="100" t="n">
        <f aca="false">IF($P78=0,"",AA78*AM$159/$BP78/1000)</f>
        <v>0</v>
      </c>
      <c r="AN78" s="100" t="n">
        <f aca="false">SUM(AC78:AM78)</f>
        <v>247548.391882796</v>
      </c>
      <c r="AO78" s="100" t="n">
        <f aca="false">D78-AN78</f>
        <v>14.9081172036822</v>
      </c>
      <c r="AP78" s="426" t="n">
        <f aca="false">IF(D78=0,0,AO78/D78)</f>
        <v>6.0219415412875E-005</v>
      </c>
      <c r="AQ78" s="427" t="n">
        <f aca="false">IF(AB78=0,0,AN78/AB78)*1000</f>
        <v>1244.92505247425</v>
      </c>
      <c r="AR78" s="428" t="n">
        <f aca="false">IF(C78=0,0,D78/C78)*1000</f>
        <v>1245.00002564799</v>
      </c>
      <c r="AS78" s="429" t="n">
        <f aca="false">IF($P78=0,"",Q78*1000/AS$159*$AD$159/14.696/$BP78/42)</f>
        <v>136.251400781027</v>
      </c>
      <c r="AT78" s="100" t="n">
        <f aca="false">IF($P78=0,"",R78*1000/AT$159*$AD$159/14.696/$BP78/42)</f>
        <v>711.51519872018</v>
      </c>
      <c r="AU78" s="100" t="n">
        <f aca="false">IF($P78=0,"",S78*1000/AU$159*$AD$159/14.696/$BP78/42)</f>
        <v>63448.6966484889</v>
      </c>
      <c r="AV78" s="100" t="n">
        <f aca="false">IF($P78=0,"",T78*1000/AV$159*$AD$159/14.696/$BP78/42)</f>
        <v>13776.0954690096</v>
      </c>
      <c r="AW78" s="100" t="n">
        <f aca="false">IF($P78=0,"",U78*1000/AW$159*$AD$159/14.696/$BP78/42)</f>
        <v>6135.19202946668</v>
      </c>
      <c r="AX78" s="100" t="n">
        <f aca="false">IF($P78=0,"",V78*1000/AX$159*$AD$159/14.696/$BP78/42)</f>
        <v>1154.8004314582</v>
      </c>
      <c r="AY78" s="100" t="n">
        <f aca="false">IF($P78=0,"",W78*1000/AY$159*$AD$159/14.696/$BP78/42)</f>
        <v>2368.0393766317</v>
      </c>
      <c r="AZ78" s="100" t="n">
        <f aca="false">IF($P78=0,"",X78*1000/AZ$159*$AD$159/14.696/$BP78/42)</f>
        <v>682.428662796463</v>
      </c>
      <c r="BA78" s="100" t="n">
        <f aca="false">IF($P78=0,"",Y78*1000/BA$159*$AD$159/14.696/$BP78/42)</f>
        <v>729.493453783175</v>
      </c>
      <c r="BB78" s="100" t="n">
        <f aca="false">IF($P78=0,"",Z78*1000/BB$159*$AD$159/14.696/$BP78/42)</f>
        <v>947.081540507954</v>
      </c>
      <c r="BC78" s="100" t="n">
        <f aca="false">IF($P78=0,"",AA78*1000/BC$159*$AD$159/14.696/$BP78/42)</f>
        <v>0</v>
      </c>
      <c r="BD78" s="430" t="n">
        <f aca="false">SUM(AS78:BC78)</f>
        <v>90089.5942116438</v>
      </c>
      <c r="BE78" s="424" t="n">
        <f aca="false">IF($P78=0,"",E78/$P78*BE$159)</f>
        <v>3.2955E-005</v>
      </c>
      <c r="BF78" s="425" t="n">
        <f aca="false">IF($P78=0,"",F78/$P78*BF$159)</f>
        <v>6.05098E-005</v>
      </c>
      <c r="BG78" s="425" t="n">
        <f aca="false">IF($P78=0,"",G78/$P78*BG$159)</f>
        <v>0.009189984</v>
      </c>
      <c r="BH78" s="425" t="n">
        <f aca="false">IF($P78=0,"",H78/$P78*BH$159)</f>
        <v>0.002595152</v>
      </c>
      <c r="BI78" s="425" t="n">
        <f aca="false">IF($P78=0,"",I78/$P78*BI$159)</f>
        <v>0.001635758</v>
      </c>
      <c r="BJ78" s="425" t="n">
        <f aca="false">IF($P78=0,"",J78/$P78*BJ$159)</f>
        <v>0.000329427</v>
      </c>
      <c r="BK78" s="425" t="n">
        <f aca="false">IF($P78=0,"",K78/$P78*BK$159)</f>
        <v>0.0007473</v>
      </c>
      <c r="BL78" s="425" t="n">
        <f aca="false">IF($P78=0,"",L78/$P78*BL$159)</f>
        <v>0.00022752</v>
      </c>
      <c r="BM78" s="425" t="n">
        <f aca="false">IF($P78=0,"",M78/$P78*BM$159)</f>
        <v>0.000258156</v>
      </c>
      <c r="BN78" s="425" t="n">
        <f aca="false">IF($P78=0,"",N78/$P78*BN$159)</f>
        <v>0.0003990294</v>
      </c>
      <c r="BO78" s="425" t="n">
        <f aca="false">IF($P78=0,"",O78/$P78*BO$159)</f>
        <v>0</v>
      </c>
      <c r="BP78" s="423" t="n">
        <f aca="false">1-AD$159*(SUM(BE78:BO78))^2</f>
        <v>0.996491323340653</v>
      </c>
    </row>
    <row r="79" customFormat="false" ht="15" hidden="false" customHeight="false" outlineLevel="0" collapsed="false">
      <c r="A79" s="413" t="s">
        <v>91</v>
      </c>
      <c r="B79" s="414" t="s">
        <v>291</v>
      </c>
      <c r="C79" s="415" t="n">
        <v>172222.81</v>
      </c>
      <c r="D79" s="416" t="n">
        <v>221478.54</v>
      </c>
      <c r="E79" s="417" t="n">
        <v>0.165</v>
      </c>
      <c r="F79" s="417" t="n">
        <v>0.914</v>
      </c>
      <c r="G79" s="417" t="n">
        <v>77.476</v>
      </c>
      <c r="H79" s="417" t="n">
        <v>11.587</v>
      </c>
      <c r="I79" s="417" t="n">
        <v>5.416</v>
      </c>
      <c r="J79" s="417" t="n">
        <v>0.908</v>
      </c>
      <c r="K79" s="417" t="n">
        <v>2.013</v>
      </c>
      <c r="L79" s="417" t="n">
        <v>0.514</v>
      </c>
      <c r="M79" s="417" t="n">
        <v>0.569</v>
      </c>
      <c r="N79" s="417" t="n">
        <v>0.438</v>
      </c>
      <c r="O79" s="76"/>
      <c r="P79" s="418" t="n">
        <f aca="false">SUM(E79:O79)</f>
        <v>100</v>
      </c>
      <c r="Q79" s="14" t="n">
        <f aca="false">IF($P79=0,"",$C79*E79/$P79)</f>
        <v>284.1676365</v>
      </c>
      <c r="R79" s="15" t="n">
        <f aca="false">IF($P79=0,"",$C79*F79/$P79)</f>
        <v>1574.1164834</v>
      </c>
      <c r="S79" s="15" t="n">
        <f aca="false">IF($P79=0,"",$C79*G79/$P79)</f>
        <v>133431.3442756</v>
      </c>
      <c r="T79" s="15" t="n">
        <f aca="false">IF($P79=0,"",$C79*H79/$P79)</f>
        <v>19955.4569947</v>
      </c>
      <c r="U79" s="15" t="n">
        <f aca="false">IF($P79=0,"",$C79*I79/$P79)</f>
        <v>9327.5873896</v>
      </c>
      <c r="V79" s="15" t="n">
        <f aca="false">IF($P79=0,"",$C79*J79/$P79)</f>
        <v>1563.7831148</v>
      </c>
      <c r="W79" s="15" t="n">
        <f aca="false">IF($P79=0,"",$C79*K79/$P79)</f>
        <v>3466.8451653</v>
      </c>
      <c r="X79" s="15" t="n">
        <f aca="false">IF($P79=0,"",$C79*L79/$P79)</f>
        <v>885.2252434</v>
      </c>
      <c r="Y79" s="15" t="n">
        <f aca="false">IF($P79=0,"",$C79*M79/$P79)</f>
        <v>979.9477889</v>
      </c>
      <c r="Z79" s="15" t="n">
        <f aca="false">IF($P79=0,"",$C79*N79/$P79)</f>
        <v>754.3359078</v>
      </c>
      <c r="AA79" s="15" t="n">
        <f aca="false">IF($P79=0,"",$C79*O79/$P79)</f>
        <v>0</v>
      </c>
      <c r="AB79" s="16" t="n">
        <f aca="false">SUM(Q79:AA79)</f>
        <v>172222.81</v>
      </c>
      <c r="AC79" s="419"/>
      <c r="AD79" s="420"/>
      <c r="AE79" s="15" t="n">
        <f aca="false">IF($P79=0,"",S79*AE$159/$BP79/1000)</f>
        <v>134848.375626017</v>
      </c>
      <c r="AF79" s="15" t="n">
        <f aca="false">IF($P79=0,"",T79*AF$159/$BP79/1000)</f>
        <v>35338.9911081495</v>
      </c>
      <c r="AG79" s="15" t="n">
        <f aca="false">IF($P79=0,"",U79*AG$159/$BP79/1000)</f>
        <v>23484.2200528261</v>
      </c>
      <c r="AH79" s="15" t="n">
        <f aca="false">IF($P79=0,"",V79*AH$159/$BP79/1000)</f>
        <v>5088.54935868576</v>
      </c>
      <c r="AI79" s="15" t="n">
        <f aca="false">IF($P79=0,"",W79*AI$159/$BP79/1000)</f>
        <v>11317.3041672966</v>
      </c>
      <c r="AJ79" s="15" t="n">
        <f aca="false">IF($P79=0,"",X79*AJ$159/$BP79/1000)</f>
        <v>3544.02803376325</v>
      </c>
      <c r="AK79" s="15" t="n">
        <f aca="false">IF($P79=0,"",Y79*AK$159/$BP79/1000)</f>
        <v>3930.92541689506</v>
      </c>
      <c r="AL79" s="15" t="n">
        <f aca="false">IF($P79=0,"",Z79*AL$159/$BP79/1000)</f>
        <v>3871.70458449169</v>
      </c>
      <c r="AM79" s="15" t="n">
        <f aca="false">IF($P79=0,"",AA79*AM$159/$BP79/1000)</f>
        <v>0</v>
      </c>
      <c r="AN79" s="15" t="n">
        <f aca="false">SUM(AC79:AM79)</f>
        <v>221424.098348125</v>
      </c>
      <c r="AO79" s="15" t="n">
        <f aca="false">D79-AN79</f>
        <v>54.4416518746002</v>
      </c>
      <c r="AP79" s="421" t="n">
        <f aca="false">IF(D79=0,0,AO79/D79)</f>
        <v>0.000245810053988076</v>
      </c>
      <c r="AQ79" s="75" t="n">
        <f aca="false">IF(AB79=0,0,AN79/AB79)*1000</f>
        <v>1285.6839250743</v>
      </c>
      <c r="AR79" s="340" t="n">
        <f aca="false">IF(C79=0,0,D79/C79)*1000</f>
        <v>1286.00003681278</v>
      </c>
      <c r="AS79" s="422" t="n">
        <f aca="false">IF($P79=0,"",Q79*1000/AS$159*$AD$159/14.696/$BP79/42)</f>
        <v>115.247139892715</v>
      </c>
      <c r="AT79" s="15" t="n">
        <f aca="false">IF($P79=0,"",R79*1000/AT$159*$AD$159/14.696/$BP79/42)</f>
        <v>411.546459515194</v>
      </c>
      <c r="AU79" s="15" t="n">
        <f aca="false">IF($P79=0,"",S79*1000/AU$159*$AD$159/14.696/$BP79/42)</f>
        <v>53755.76794771</v>
      </c>
      <c r="AV79" s="15" t="n">
        <f aca="false">IF($P79=0,"",T79*1000/AV$159*$AD$159/14.696/$BP79/42)</f>
        <v>12682.4526247352</v>
      </c>
      <c r="AW79" s="15" t="n">
        <f aca="false">IF($P79=0,"",U79*1000/AW$159*$AD$159/14.696/$BP79/42)</f>
        <v>6106.73646887787</v>
      </c>
      <c r="AX79" s="15" t="n">
        <f aca="false">IF($P79=0,"",V79*1000/AX$159*$AD$159/14.696/$BP79/42)</f>
        <v>1216.08554124292</v>
      </c>
      <c r="AY79" s="15" t="n">
        <f aca="false">IF($P79=0,"",W79*1000/AY$159*$AD$159/14.696/$BP79/42)</f>
        <v>2597.3322680946</v>
      </c>
      <c r="AZ79" s="15" t="n">
        <f aca="false">IF($P79=0,"",X79*1000/AZ$159*$AD$159/14.696/$BP79/42)</f>
        <v>769.334526882002</v>
      </c>
      <c r="BA79" s="15" t="n">
        <f aca="false">IF($P79=0,"",Y79*1000/BA$159*$AD$159/14.696/$BP79/42)</f>
        <v>844.142968158303</v>
      </c>
      <c r="BB79" s="15" t="n">
        <f aca="false">IF($P79=0,"",Z79*1000/BB$159*$AD$159/14.696/$BP79/42)</f>
        <v>777.877925979021</v>
      </c>
      <c r="BC79" s="15" t="n">
        <f aca="false">IF($P79=0,"",AA79*1000/BC$159*$AD$159/14.696/$BP79/42)</f>
        <v>0</v>
      </c>
      <c r="BD79" s="55" t="n">
        <f aca="false">SUM(AS79:BC79)</f>
        <v>79276.5238710878</v>
      </c>
      <c r="BE79" s="419" t="n">
        <f aca="false">IF($P79=0,"",E79/$P79*BE$159)</f>
        <v>3.2175E-005</v>
      </c>
      <c r="BF79" s="420" t="n">
        <f aca="false">IF($P79=0,"",F79/$P79*BF$159)</f>
        <v>4.03988E-005</v>
      </c>
      <c r="BG79" s="420" t="n">
        <f aca="false">IF($P79=0,"",G79/$P79*BG$159)</f>
        <v>0.008987216</v>
      </c>
      <c r="BH79" s="420" t="n">
        <f aca="false">IF($P79=0,"",H79/$P79*BH$159)</f>
        <v>0.002757706</v>
      </c>
      <c r="BI79" s="420" t="n">
        <f aca="false">IF($P79=0,"",I79/$P79*BI$159)</f>
        <v>0.001879352</v>
      </c>
      <c r="BJ79" s="420" t="n">
        <f aca="false">IF($P79=0,"",J79/$P79*BJ$159)</f>
        <v>0.000400428</v>
      </c>
      <c r="BK79" s="420" t="n">
        <f aca="false">IF($P79=0,"",K79/$P79*BK$159)</f>
        <v>0.00094611</v>
      </c>
      <c r="BL79" s="420" t="n">
        <f aca="false">IF($P79=0,"",L79/$P79*BL$159)</f>
        <v>0.000296064</v>
      </c>
      <c r="BM79" s="420" t="n">
        <f aca="false">IF($P79=0,"",M79/$P79*BM$159)</f>
        <v>0.000344814</v>
      </c>
      <c r="BN79" s="420" t="n">
        <f aca="false">IF($P79=0,"",N79/$P79*BN$159)</f>
        <v>0.0003783006</v>
      </c>
      <c r="BO79" s="420" t="n">
        <f aca="false">IF($P79=0,"",O79/$P79*BO$159)</f>
        <v>0</v>
      </c>
      <c r="BP79" s="418" t="n">
        <f aca="false">1-AD$159*(SUM(BE79:BO79))^2</f>
        <v>0.996220212464724</v>
      </c>
    </row>
    <row r="80" customFormat="false" ht="15" hidden="false" customHeight="false" outlineLevel="0" collapsed="false">
      <c r="A80" s="413" t="s">
        <v>92</v>
      </c>
      <c r="B80" s="414" t="s">
        <v>292</v>
      </c>
      <c r="C80" s="415" t="n">
        <v>152794.15</v>
      </c>
      <c r="D80" s="416" t="n">
        <v>197868.43</v>
      </c>
      <c r="E80" s="417" t="n">
        <v>0.176</v>
      </c>
      <c r="F80" s="417" t="n">
        <v>1.239</v>
      </c>
      <c r="G80" s="417" t="n">
        <v>77.009</v>
      </c>
      <c r="H80" s="417" t="n">
        <v>11.315</v>
      </c>
      <c r="I80" s="417" t="n">
        <v>5.509</v>
      </c>
      <c r="J80" s="417" t="n">
        <v>0.852</v>
      </c>
      <c r="K80" s="417" t="n">
        <v>1.99</v>
      </c>
      <c r="L80" s="417" t="n">
        <v>0.53</v>
      </c>
      <c r="M80" s="417" t="n">
        <v>0.602</v>
      </c>
      <c r="N80" s="417" t="n">
        <v>0.778</v>
      </c>
      <c r="O80" s="76"/>
      <c r="P80" s="423" t="n">
        <f aca="false">SUM(E80:O80)</f>
        <v>100</v>
      </c>
      <c r="Q80" s="99" t="n">
        <f aca="false">IF($P80=0,"",$C80*E80/$P80)</f>
        <v>268.917704</v>
      </c>
      <c r="R80" s="100" t="n">
        <f aca="false">IF($P80=0,"",$C80*F80/$P80)</f>
        <v>1893.1195185</v>
      </c>
      <c r="S80" s="100" t="n">
        <f aca="false">IF($P80=0,"",$C80*G80/$P80)</f>
        <v>117665.2469735</v>
      </c>
      <c r="T80" s="100" t="n">
        <f aca="false">IF($P80=0,"",$C80*H80/$P80)</f>
        <v>17288.6580725</v>
      </c>
      <c r="U80" s="100" t="n">
        <f aca="false">IF($P80=0,"",$C80*I80/$P80)</f>
        <v>8417.4297235</v>
      </c>
      <c r="V80" s="100" t="n">
        <f aca="false">IF($P80=0,"",$C80*J80/$P80)</f>
        <v>1301.806158</v>
      </c>
      <c r="W80" s="100" t="n">
        <f aca="false">IF($P80=0,"",$C80*K80/$P80)</f>
        <v>3040.603585</v>
      </c>
      <c r="X80" s="100" t="n">
        <f aca="false">IF($P80=0,"",$C80*L80/$P80)</f>
        <v>809.808995</v>
      </c>
      <c r="Y80" s="100" t="n">
        <f aca="false">IF($P80=0,"",$C80*M80/$P80)</f>
        <v>919.820783</v>
      </c>
      <c r="Z80" s="100" t="n">
        <f aca="false">IF($P80=0,"",$C80*N80/$P80)</f>
        <v>1188.738487</v>
      </c>
      <c r="AA80" s="100" t="n">
        <f aca="false">IF($P80=0,"",$C80*O80/$P80)</f>
        <v>0</v>
      </c>
      <c r="AB80" s="101" t="n">
        <f aca="false">SUM(Q80:AA80)</f>
        <v>152794.15</v>
      </c>
      <c r="AC80" s="424"/>
      <c r="AD80" s="425"/>
      <c r="AE80" s="100" t="n">
        <f aca="false">IF($P80=0,"",S80*AE$159/$BP80/1000)</f>
        <v>118927.131259099</v>
      </c>
      <c r="AF80" s="100" t="n">
        <f aca="false">IF($P80=0,"",T80*AF$159/$BP80/1000)</f>
        <v>30619.5376253256</v>
      </c>
      <c r="AG80" s="100" t="n">
        <f aca="false">IF($P80=0,"",U80*AG$159/$BP80/1000)</f>
        <v>21194.8910339738</v>
      </c>
      <c r="AH80" s="100" t="n">
        <f aca="false">IF($P80=0,"",V80*AH$159/$BP80/1000)</f>
        <v>4236.51421570234</v>
      </c>
      <c r="AI80" s="100" t="n">
        <f aca="false">IF($P80=0,"",W80*AI$159/$BP80/1000)</f>
        <v>9926.89024196365</v>
      </c>
      <c r="AJ80" s="100" t="n">
        <f aca="false">IF($P80=0,"",X80*AJ$159/$BP80/1000)</f>
        <v>3242.43164590755</v>
      </c>
      <c r="AK80" s="100" t="n">
        <f aca="false">IF($P80=0,"",Y80*AK$159/$BP80/1000)</f>
        <v>3690.11549375841</v>
      </c>
      <c r="AL80" s="100" t="n">
        <f aca="false">IF($P80=0,"",Z80*AL$159/$BP80/1000)</f>
        <v>6101.94978676975</v>
      </c>
      <c r="AM80" s="100" t="n">
        <f aca="false">IF($P80=0,"",AA80*AM$159/$BP80/1000)</f>
        <v>0</v>
      </c>
      <c r="AN80" s="100" t="n">
        <f aca="false">SUM(AC80:AM80)</f>
        <v>197939.4613025</v>
      </c>
      <c r="AO80" s="100" t="n">
        <f aca="false">D80-AN80</f>
        <v>-71.0313025000505</v>
      </c>
      <c r="AP80" s="426" t="n">
        <f aca="false">IF(D80=0,0,AO80/D80)</f>
        <v>-0.000358982494074727</v>
      </c>
      <c r="AQ80" s="427" t="n">
        <f aca="false">IF(AB80=0,0,AN80/AB80)*1000</f>
        <v>1295.46491997567</v>
      </c>
      <c r="AR80" s="428" t="n">
        <f aca="false">IF(C80=0,0,D80/C80)*1000</f>
        <v>1295.00003763233</v>
      </c>
      <c r="AS80" s="429" t="n">
        <f aca="false">IF($P80=0,"",Q80*1000/AS$159*$AD$159/14.696/$BP80/42)</f>
        <v>109.073640874094</v>
      </c>
      <c r="AT80" s="100" t="n">
        <f aca="false">IF($P80=0,"",R80*1000/AT$159*$AD$159/14.696/$BP80/42)</f>
        <v>494.999671560398</v>
      </c>
      <c r="AU80" s="100" t="n">
        <f aca="false">IF($P80=0,"",S80*1000/AU$159*$AD$159/14.696/$BP80/42)</f>
        <v>47408.9453504511</v>
      </c>
      <c r="AV80" s="100" t="n">
        <f aca="false">IF($P80=0,"",T80*1000/AV$159*$AD$159/14.696/$BP80/42)</f>
        <v>10988.7357603408</v>
      </c>
      <c r="AW80" s="100" t="n">
        <f aca="false">IF($P80=0,"",U80*1000/AW$159*$AD$159/14.696/$BP80/42)</f>
        <v>5511.42911026697</v>
      </c>
      <c r="AX80" s="100" t="n">
        <f aca="false">IF($P80=0,"",V80*1000/AX$159*$AD$159/14.696/$BP80/42)</f>
        <v>1012.46216157689</v>
      </c>
      <c r="AY80" s="100" t="n">
        <f aca="false">IF($P80=0,"",W80*1000/AY$159*$AD$159/14.696/$BP80/42)</f>
        <v>2278.23092550534</v>
      </c>
      <c r="AZ80" s="100" t="n">
        <f aca="false">IF($P80=0,"",X80*1000/AZ$159*$AD$159/14.696/$BP80/42)</f>
        <v>703.864245002234</v>
      </c>
      <c r="BA80" s="100" t="n">
        <f aca="false">IF($P80=0,"",Y80*1000/BA$159*$AD$159/14.696/$BP80/42)</f>
        <v>792.43046239443</v>
      </c>
      <c r="BB80" s="100" t="n">
        <f aca="false">IF($P80=0,"",Z80*1000/BB$159*$AD$159/14.696/$BP80/42)</f>
        <v>1225.9644146336</v>
      </c>
      <c r="BC80" s="100" t="n">
        <f aca="false">IF($P80=0,"",AA80*1000/BC$159*$AD$159/14.696/$BP80/42)</f>
        <v>0</v>
      </c>
      <c r="BD80" s="430" t="n">
        <f aca="false">SUM(AS80:BC80)</f>
        <v>70526.1357426059</v>
      </c>
      <c r="BE80" s="424" t="n">
        <f aca="false">IF($P80=0,"",E80/$P80*BE$159)</f>
        <v>3.432E-005</v>
      </c>
      <c r="BF80" s="425" t="n">
        <f aca="false">IF($P80=0,"",F80/$P80*BF$159)</f>
        <v>5.47638E-005</v>
      </c>
      <c r="BG80" s="425" t="n">
        <f aca="false">IF($P80=0,"",G80/$P80*BG$159)</f>
        <v>0.008933044</v>
      </c>
      <c r="BH80" s="425" t="n">
        <f aca="false">IF($P80=0,"",H80/$P80*BH$159)</f>
        <v>0.00269297</v>
      </c>
      <c r="BI80" s="425" t="n">
        <f aca="false">IF($P80=0,"",I80/$P80*BI$159)</f>
        <v>0.001911623</v>
      </c>
      <c r="BJ80" s="425" t="n">
        <f aca="false">IF($P80=0,"",J80/$P80*BJ$159)</f>
        <v>0.000375732</v>
      </c>
      <c r="BK80" s="425" t="n">
        <f aca="false">IF($P80=0,"",K80/$P80*BK$159)</f>
        <v>0.0009353</v>
      </c>
      <c r="BL80" s="425" t="n">
        <f aca="false">IF($P80=0,"",L80/$P80*BL$159)</f>
        <v>0.00030528</v>
      </c>
      <c r="BM80" s="425" t="n">
        <f aca="false">IF($P80=0,"",M80/$P80*BM$159)</f>
        <v>0.000364812</v>
      </c>
      <c r="BN80" s="425" t="n">
        <f aca="false">IF($P80=0,"",N80/$P80*BN$159)</f>
        <v>0.0006719586</v>
      </c>
      <c r="BO80" s="425" t="n">
        <f aca="false">IF($P80=0,"",O80/$P80*BO$159)</f>
        <v>0</v>
      </c>
      <c r="BP80" s="423" t="n">
        <f aca="false">1-AD$159*(SUM(BE80:BO80))^2</f>
        <v>0.99611728121842</v>
      </c>
    </row>
    <row r="81" customFormat="false" ht="15" hidden="false" customHeight="false" outlineLevel="0" collapsed="false">
      <c r="A81" s="413" t="s">
        <v>93</v>
      </c>
      <c r="B81" s="414" t="s">
        <v>293</v>
      </c>
      <c r="C81" s="415" t="n">
        <v>0</v>
      </c>
      <c r="D81" s="416" t="n">
        <v>0</v>
      </c>
      <c r="E81" s="417" t="n">
        <v>0.714</v>
      </c>
      <c r="F81" s="417" t="n">
        <v>1.323</v>
      </c>
      <c r="G81" s="417" t="n">
        <v>71.66</v>
      </c>
      <c r="H81" s="417" t="n">
        <v>12.662</v>
      </c>
      <c r="I81" s="417" t="n">
        <v>8.25299999999999</v>
      </c>
      <c r="J81" s="417" t="n">
        <v>0.986000000000001</v>
      </c>
      <c r="K81" s="417" t="n">
        <v>2.889</v>
      </c>
      <c r="L81" s="417" t="n">
        <v>0.538</v>
      </c>
      <c r="M81" s="417" t="n">
        <v>0.574</v>
      </c>
      <c r="N81" s="417" t="n">
        <v>0.401</v>
      </c>
      <c r="O81" s="76"/>
      <c r="P81" s="418" t="n">
        <f aca="false">SUM(E81:O81)</f>
        <v>100</v>
      </c>
      <c r="Q81" s="14" t="n">
        <f aca="false">IF($P81=0,"",$C81*E81/$P81)</f>
        <v>0</v>
      </c>
      <c r="R81" s="15" t="n">
        <f aca="false">IF($P81=0,"",$C81*F81/$P81)</f>
        <v>0</v>
      </c>
      <c r="S81" s="15" t="n">
        <f aca="false">IF($P81=0,"",$C81*G81/$P81)</f>
        <v>0</v>
      </c>
      <c r="T81" s="15" t="n">
        <f aca="false">IF($P81=0,"",$C81*H81/$P81)</f>
        <v>0</v>
      </c>
      <c r="U81" s="15" t="n">
        <f aca="false">IF($P81=0,"",$C81*I81/$P81)</f>
        <v>0</v>
      </c>
      <c r="V81" s="15" t="n">
        <f aca="false">IF($P81=0,"",$C81*J81/$P81)</f>
        <v>0</v>
      </c>
      <c r="W81" s="15" t="n">
        <f aca="false">IF($P81=0,"",$C81*K81/$P81)</f>
        <v>0</v>
      </c>
      <c r="X81" s="15" t="n">
        <f aca="false">IF($P81=0,"",$C81*L81/$P81)</f>
        <v>0</v>
      </c>
      <c r="Y81" s="15" t="n">
        <f aca="false">IF($P81=0,"",$C81*M81/$P81)</f>
        <v>0</v>
      </c>
      <c r="Z81" s="15" t="n">
        <f aca="false">IF($P81=0,"",$C81*N81/$P81)</f>
        <v>0</v>
      </c>
      <c r="AA81" s="15" t="n">
        <f aca="false">IF($P81=0,"",$C81*O81/$P81)</f>
        <v>0</v>
      </c>
      <c r="AB81" s="16" t="n">
        <f aca="false">SUM(Q81:AA81)</f>
        <v>0</v>
      </c>
      <c r="AC81" s="419"/>
      <c r="AD81" s="420"/>
      <c r="AE81" s="15" t="n">
        <f aca="false">IF($P81=0,"",S81*AE$159/$BP81/1000)</f>
        <v>0</v>
      </c>
      <c r="AF81" s="15" t="n">
        <f aca="false">IF($P81=0,"",T81*AF$159/$BP81/1000)</f>
        <v>0</v>
      </c>
      <c r="AG81" s="15" t="n">
        <f aca="false">IF($P81=0,"",U81*AG$159/$BP81/1000)</f>
        <v>0</v>
      </c>
      <c r="AH81" s="15" t="n">
        <f aca="false">IF($P81=0,"",V81*AH$159/$BP81/1000)</f>
        <v>0</v>
      </c>
      <c r="AI81" s="15" t="n">
        <f aca="false">IF($P81=0,"",W81*AI$159/$BP81/1000)</f>
        <v>0</v>
      </c>
      <c r="AJ81" s="15" t="n">
        <f aca="false">IF($P81=0,"",X81*AJ$159/$BP81/1000)</f>
        <v>0</v>
      </c>
      <c r="AK81" s="15" t="n">
        <f aca="false">IF($P81=0,"",Y81*AK$159/$BP81/1000)</f>
        <v>0</v>
      </c>
      <c r="AL81" s="15" t="n">
        <f aca="false">IF($P81=0,"",Z81*AL$159/$BP81/1000)</f>
        <v>0</v>
      </c>
      <c r="AM81" s="15" t="n">
        <f aca="false">IF($P81=0,"",AA81*AM$159/$BP81/1000)</f>
        <v>0</v>
      </c>
      <c r="AN81" s="15" t="n">
        <f aca="false">SUM(AC81:AM81)</f>
        <v>0</v>
      </c>
      <c r="AO81" s="15" t="n">
        <f aca="false">D81-AN81</f>
        <v>0</v>
      </c>
      <c r="AP81" s="421" t="n">
        <f aca="false">IF(D81=0,0,AO81/D81)</f>
        <v>0</v>
      </c>
      <c r="AQ81" s="75" t="n">
        <f aca="false">IF(AB81=0,0,AN81/AB81)*1000</f>
        <v>0</v>
      </c>
      <c r="AR81" s="340" t="n">
        <f aca="false">IF(C81=0,0,D81/C81)*1000</f>
        <v>0</v>
      </c>
      <c r="AS81" s="422" t="n">
        <f aca="false">IF($P81=0,"",Q81*1000/AS$159*$AD$159/14.696/$BP81/42)</f>
        <v>0</v>
      </c>
      <c r="AT81" s="15" t="n">
        <f aca="false">IF($P81=0,"",R81*1000/AT$159*$AD$159/14.696/$BP81/42)</f>
        <v>0</v>
      </c>
      <c r="AU81" s="15" t="n">
        <f aca="false">IF($P81=0,"",S81*1000/AU$159*$AD$159/14.696/$BP81/42)</f>
        <v>0</v>
      </c>
      <c r="AV81" s="15" t="n">
        <f aca="false">IF($P81=0,"",T81*1000/AV$159*$AD$159/14.696/$BP81/42)</f>
        <v>0</v>
      </c>
      <c r="AW81" s="15" t="n">
        <f aca="false">IF($P81=0,"",U81*1000/AW$159*$AD$159/14.696/$BP81/42)</f>
        <v>0</v>
      </c>
      <c r="AX81" s="15" t="n">
        <f aca="false">IF($P81=0,"",V81*1000/AX$159*$AD$159/14.696/$BP81/42)</f>
        <v>0</v>
      </c>
      <c r="AY81" s="15" t="n">
        <f aca="false">IF($P81=0,"",W81*1000/AY$159*$AD$159/14.696/$BP81/42)</f>
        <v>0</v>
      </c>
      <c r="AZ81" s="15" t="n">
        <f aca="false">IF($P81=0,"",X81*1000/AZ$159*$AD$159/14.696/$BP81/42)</f>
        <v>0</v>
      </c>
      <c r="BA81" s="15" t="n">
        <f aca="false">IF($P81=0,"",Y81*1000/BA$159*$AD$159/14.696/$BP81/42)</f>
        <v>0</v>
      </c>
      <c r="BB81" s="15" t="n">
        <f aca="false">IF($P81=0,"",Z81*1000/BB$159*$AD$159/14.696/$BP81/42)</f>
        <v>0</v>
      </c>
      <c r="BC81" s="15" t="n">
        <f aca="false">IF($P81=0,"",AA81*1000/BC$159*$AD$159/14.696/$BP81/42)</f>
        <v>0</v>
      </c>
      <c r="BD81" s="55" t="n">
        <f aca="false">SUM(AS81:BC81)</f>
        <v>0</v>
      </c>
      <c r="BE81" s="419" t="n">
        <f aca="false">IF($P81=0,"",E81/$P81*BE$159)</f>
        <v>0.00013923</v>
      </c>
      <c r="BF81" s="420" t="n">
        <f aca="false">IF($P81=0,"",F81/$P81*BF$159)</f>
        <v>5.84766E-005</v>
      </c>
      <c r="BG81" s="420" t="n">
        <f aca="false">IF($P81=0,"",G81/$P81*BG$159)</f>
        <v>0.00831256</v>
      </c>
      <c r="BH81" s="420" t="n">
        <f aca="false">IF($P81=0,"",H81/$P81*BH$159)</f>
        <v>0.003013556</v>
      </c>
      <c r="BI81" s="420" t="n">
        <f aca="false">IF($P81=0,"",I81/$P81*BI$159)</f>
        <v>0.002863791</v>
      </c>
      <c r="BJ81" s="420" t="n">
        <f aca="false">IF($P81=0,"",J81/$P81*BJ$159)</f>
        <v>0.000434826000000001</v>
      </c>
      <c r="BK81" s="420" t="n">
        <f aca="false">IF($P81=0,"",K81/$P81*BK$159)</f>
        <v>0.00135783</v>
      </c>
      <c r="BL81" s="420" t="n">
        <f aca="false">IF($P81=0,"",L81/$P81*BL$159)</f>
        <v>0.000309888</v>
      </c>
      <c r="BM81" s="420" t="n">
        <f aca="false">IF($P81=0,"",M81/$P81*BM$159)</f>
        <v>0.000347844</v>
      </c>
      <c r="BN81" s="420" t="n">
        <f aca="false">IF($P81=0,"",N81/$P81*BN$159)</f>
        <v>0.0003463437</v>
      </c>
      <c r="BO81" s="420" t="n">
        <f aca="false">IF($P81=0,"",O81/$P81*BO$159)</f>
        <v>0</v>
      </c>
      <c r="BP81" s="418" t="n">
        <f aca="false">1-AD$159*(SUM(BE81:BO81))^2</f>
        <v>0.995673829752342</v>
      </c>
    </row>
    <row r="82" customFormat="false" ht="15" hidden="false" customHeight="false" outlineLevel="0" collapsed="false">
      <c r="A82" s="413" t="s">
        <v>100</v>
      </c>
      <c r="B82" s="414" t="s">
        <v>294</v>
      </c>
      <c r="C82" s="415" t="n">
        <v>19998.06</v>
      </c>
      <c r="D82" s="416" t="n">
        <v>24537.62</v>
      </c>
      <c r="E82" s="417" t="n">
        <v>0.052</v>
      </c>
      <c r="F82" s="417" t="n">
        <v>0.586</v>
      </c>
      <c r="G82" s="417" t="n">
        <v>80.843</v>
      </c>
      <c r="H82" s="417" t="n">
        <v>11.222</v>
      </c>
      <c r="I82" s="417" t="n">
        <v>4.513</v>
      </c>
      <c r="J82" s="417" t="n">
        <v>0.709</v>
      </c>
      <c r="K82" s="417" t="n">
        <v>1.339</v>
      </c>
      <c r="L82" s="417" t="n">
        <v>0.285</v>
      </c>
      <c r="M82" s="417" t="n">
        <v>0.286</v>
      </c>
      <c r="N82" s="417" t="n">
        <v>0.165</v>
      </c>
      <c r="O82" s="76"/>
      <c r="P82" s="423" t="n">
        <f aca="false">SUM(E82:O82)</f>
        <v>100</v>
      </c>
      <c r="Q82" s="99" t="n">
        <f aca="false">IF($P82=0,"",$C82*E82/$P82)</f>
        <v>10.3989912</v>
      </c>
      <c r="R82" s="100" t="n">
        <f aca="false">IF($P82=0,"",$C82*F82/$P82)</f>
        <v>117.1886316</v>
      </c>
      <c r="S82" s="100" t="n">
        <f aca="false">IF($P82=0,"",$C82*G82/$P82)</f>
        <v>16167.0316458</v>
      </c>
      <c r="T82" s="100" t="n">
        <f aca="false">IF($P82=0,"",$C82*H82/$P82)</f>
        <v>2244.1822932</v>
      </c>
      <c r="U82" s="100" t="n">
        <f aca="false">IF($P82=0,"",$C82*I82/$P82)</f>
        <v>902.5124478</v>
      </c>
      <c r="V82" s="100" t="n">
        <f aca="false">IF($P82=0,"",$C82*J82/$P82)</f>
        <v>141.7862454</v>
      </c>
      <c r="W82" s="100" t="n">
        <f aca="false">IF($P82=0,"",$C82*K82/$P82)</f>
        <v>267.7740234</v>
      </c>
      <c r="X82" s="100" t="n">
        <f aca="false">IF($P82=0,"",$C82*L82/$P82)</f>
        <v>56.994471</v>
      </c>
      <c r="Y82" s="100" t="n">
        <f aca="false">IF($P82=0,"",$C82*M82/$P82)</f>
        <v>57.1944516</v>
      </c>
      <c r="Z82" s="100" t="n">
        <f aca="false">IF($P82=0,"",$C82*N82/$P82)</f>
        <v>32.996799</v>
      </c>
      <c r="AA82" s="100" t="n">
        <f aca="false">IF($P82=0,"",$C82*O82/$P82)</f>
        <v>0</v>
      </c>
      <c r="AB82" s="101" t="n">
        <f aca="false">SUM(Q82:AA82)</f>
        <v>19998.06</v>
      </c>
      <c r="AC82" s="424"/>
      <c r="AD82" s="425"/>
      <c r="AE82" s="100" t="n">
        <f aca="false">IF($P82=0,"",S82*AE$159/$BP82/1000)</f>
        <v>16331.3223833859</v>
      </c>
      <c r="AF82" s="100" t="n">
        <f aca="false">IF($P82=0,"",T82*AF$159/$BP82/1000)</f>
        <v>3972.40761563486</v>
      </c>
      <c r="AG82" s="100" t="n">
        <f aca="false">IF($P82=0,"",U82*AG$159/$BP82/1000)</f>
        <v>2271.24100708363</v>
      </c>
      <c r="AH82" s="100" t="n">
        <f aca="false">IF($P82=0,"",V82*AH$159/$BP82/1000)</f>
        <v>461.163344223685</v>
      </c>
      <c r="AI82" s="100" t="n">
        <f aca="false">IF($P82=0,"",W82*AI$159/$BP82/1000)</f>
        <v>873.735923716322</v>
      </c>
      <c r="AJ82" s="100" t="n">
        <f aca="false">IF($P82=0,"",X82*AJ$159/$BP82/1000)</f>
        <v>228.075844339887</v>
      </c>
      <c r="AK82" s="100" t="n">
        <f aca="false">IF($P82=0,"",Y82*AK$159/$BP82/1000)</f>
        <v>229.32371693455</v>
      </c>
      <c r="AL82" s="100" t="n">
        <f aca="false">IF($P82=0,"",Z82*AL$159/$BP82/1000)</f>
        <v>169.282649684952</v>
      </c>
      <c r="AM82" s="100" t="n">
        <f aca="false">IF($P82=0,"",AA82*AM$159/$BP82/1000)</f>
        <v>0</v>
      </c>
      <c r="AN82" s="100" t="n">
        <f aca="false">SUM(AC82:AM82)</f>
        <v>24536.5524850038</v>
      </c>
      <c r="AO82" s="100" t="n">
        <f aca="false">D82-AN82</f>
        <v>1.06751499621532</v>
      </c>
      <c r="AP82" s="426" t="n">
        <f aca="false">IF(D82=0,0,AO82/D82)</f>
        <v>4.35052379250849E-005</v>
      </c>
      <c r="AQ82" s="427" t="n">
        <f aca="false">IF(AB82=0,0,AN82/AB82)*1000</f>
        <v>1226.94663807408</v>
      </c>
      <c r="AR82" s="428" t="n">
        <f aca="false">IF(C82=0,0,D82/C82)*1000</f>
        <v>1227.00001900184</v>
      </c>
      <c r="AS82" s="429" t="n">
        <f aca="false">IF($P82=0,"",Q82*1000/AS$159*$AD$159/14.696/$BP82/42)</f>
        <v>4.21550838405081</v>
      </c>
      <c r="AT82" s="100" t="n">
        <f aca="false">IF($P82=0,"",R82*1000/AT$159*$AD$159/14.696/$BP82/42)</f>
        <v>30.6246188244635</v>
      </c>
      <c r="AU82" s="100" t="n">
        <f aca="false">IF($P82=0,"",S82*1000/AU$159*$AD$159/14.696/$BP82/42)</f>
        <v>6510.29552447314</v>
      </c>
      <c r="AV82" s="100" t="n">
        <f aca="false">IF($P82=0,"",T82*1000/AV$159*$AD$159/14.696/$BP82/42)</f>
        <v>1425.61713879286</v>
      </c>
      <c r="AW82" s="100" t="n">
        <f aca="false">IF($P82=0,"",U82*1000/AW$159*$AD$159/14.696/$BP82/42)</f>
        <v>590.60382914013</v>
      </c>
      <c r="AX82" s="100" t="n">
        <f aca="false">IF($P82=0,"",V82*1000/AX$159*$AD$159/14.696/$BP82/42)</f>
        <v>110.210992471634</v>
      </c>
      <c r="AY82" s="100" t="n">
        <f aca="false">IF($P82=0,"",W82*1000/AY$159*$AD$159/14.696/$BP82/42)</f>
        <v>200.523240774922</v>
      </c>
      <c r="AZ82" s="100" t="n">
        <f aca="false">IF($P82=0,"",X82*1000/AZ$159*$AD$159/14.696/$BP82/42)</f>
        <v>49.5105061604492</v>
      </c>
      <c r="BA82" s="100" t="n">
        <f aca="false">IF($P82=0,"",Y82*1000/BA$159*$AD$159/14.696/$BP82/42)</f>
        <v>49.2459109629029</v>
      </c>
      <c r="BB82" s="100" t="n">
        <f aca="false">IF($P82=0,"",Z82*1000/BB$159*$AD$159/14.696/$BP82/42)</f>
        <v>34.0111786856414</v>
      </c>
      <c r="BC82" s="100" t="n">
        <f aca="false">IF($P82=0,"",AA82*1000/BC$159*$AD$159/14.696/$BP82/42)</f>
        <v>0</v>
      </c>
      <c r="BD82" s="430" t="n">
        <f aca="false">SUM(AS82:BC82)</f>
        <v>9004.8584486702</v>
      </c>
      <c r="BE82" s="424" t="n">
        <f aca="false">IF($P82=0,"",E82/$P82*BE$159)</f>
        <v>1.014E-005</v>
      </c>
      <c r="BF82" s="425" t="n">
        <f aca="false">IF($P82=0,"",F82/$P82*BF$159)</f>
        <v>2.59012E-005</v>
      </c>
      <c r="BG82" s="425" t="n">
        <f aca="false">IF($P82=0,"",G82/$P82*BG$159)</f>
        <v>0.009377788</v>
      </c>
      <c r="BH82" s="425" t="n">
        <f aca="false">IF($P82=0,"",H82/$P82*BH$159)</f>
        <v>0.002670836</v>
      </c>
      <c r="BI82" s="425" t="n">
        <f aca="false">IF($P82=0,"",I82/$P82*BI$159)</f>
        <v>0.001566011</v>
      </c>
      <c r="BJ82" s="425" t="n">
        <f aca="false">IF($P82=0,"",J82/$P82*BJ$159)</f>
        <v>0.000312669</v>
      </c>
      <c r="BK82" s="425" t="n">
        <f aca="false">IF($P82=0,"",K82/$P82*BK$159)</f>
        <v>0.00062933</v>
      </c>
      <c r="BL82" s="425" t="n">
        <f aca="false">IF($P82=0,"",L82/$P82*BL$159)</f>
        <v>0.00016416</v>
      </c>
      <c r="BM82" s="425" t="n">
        <f aca="false">IF($P82=0,"",M82/$P82*BM$159)</f>
        <v>0.000173316</v>
      </c>
      <c r="BN82" s="425" t="n">
        <f aca="false">IF($P82=0,"",N82/$P82*BN$159)</f>
        <v>0.0001425105</v>
      </c>
      <c r="BO82" s="425" t="n">
        <f aca="false">IF($P82=0,"",O82/$P82*BO$159)</f>
        <v>0</v>
      </c>
      <c r="BP82" s="423" t="n">
        <f aca="false">1-AD$159*(SUM(BE82:BO82))^2</f>
        <v>0.996671737834913</v>
      </c>
    </row>
    <row r="83" customFormat="false" ht="15" hidden="false" customHeight="false" outlineLevel="0" collapsed="false">
      <c r="A83" s="413" t="s">
        <v>163</v>
      </c>
      <c r="B83" s="414" t="s">
        <v>295</v>
      </c>
      <c r="C83" s="415" t="n">
        <v>0</v>
      </c>
      <c r="D83" s="416" t="n">
        <v>0</v>
      </c>
      <c r="E83" s="417" t="n">
        <v>0</v>
      </c>
      <c r="F83" s="417" t="n">
        <v>1</v>
      </c>
      <c r="G83" s="417" t="n">
        <v>96</v>
      </c>
      <c r="H83" s="417" t="n">
        <v>3</v>
      </c>
      <c r="I83" s="417" t="n">
        <v>0</v>
      </c>
      <c r="J83" s="417" t="n">
        <v>0</v>
      </c>
      <c r="K83" s="417" t="n">
        <v>0</v>
      </c>
      <c r="L83" s="417" t="n">
        <v>0</v>
      </c>
      <c r="M83" s="417" t="n">
        <v>0</v>
      </c>
      <c r="N83" s="417" t="n">
        <v>0</v>
      </c>
      <c r="O83" s="76"/>
      <c r="P83" s="418" t="n">
        <f aca="false">SUM(E83:O83)</f>
        <v>100</v>
      </c>
      <c r="Q83" s="14" t="n">
        <f aca="false">IF($P83=0,"",$C83*E83/$P83)</f>
        <v>0</v>
      </c>
      <c r="R83" s="15" t="n">
        <f aca="false">IF($P83=0,"",$C83*F83/$P83)</f>
        <v>0</v>
      </c>
      <c r="S83" s="15" t="n">
        <f aca="false">IF($P83=0,"",$C83*G83/$P83)</f>
        <v>0</v>
      </c>
      <c r="T83" s="15" t="n">
        <f aca="false">IF($P83=0,"",$C83*H83/$P83)</f>
        <v>0</v>
      </c>
      <c r="U83" s="15" t="n">
        <f aca="false">IF($P83=0,"",$C83*I83/$P83)</f>
        <v>0</v>
      </c>
      <c r="V83" s="15" t="n">
        <f aca="false">IF($P83=0,"",$C83*J83/$P83)</f>
        <v>0</v>
      </c>
      <c r="W83" s="15" t="n">
        <f aca="false">IF($P83=0,"",$C83*K83/$P83)</f>
        <v>0</v>
      </c>
      <c r="X83" s="15" t="n">
        <f aca="false">IF($P83=0,"",$C83*L83/$P83)</f>
        <v>0</v>
      </c>
      <c r="Y83" s="15" t="n">
        <f aca="false">IF($P83=0,"",$C83*M83/$P83)</f>
        <v>0</v>
      </c>
      <c r="Z83" s="15" t="n">
        <f aca="false">IF($P83=0,"",$C83*N83/$P83)</f>
        <v>0</v>
      </c>
      <c r="AA83" s="15" t="n">
        <f aca="false">IF($P83=0,"",$C83*O83/$P83)</f>
        <v>0</v>
      </c>
      <c r="AB83" s="16" t="n">
        <f aca="false">SUM(Q83:AA83)</f>
        <v>0</v>
      </c>
      <c r="AC83" s="419"/>
      <c r="AD83" s="420"/>
      <c r="AE83" s="15" t="n">
        <f aca="false">IF($P83=0,"",S83*AE$159/$BP83/1000)</f>
        <v>0</v>
      </c>
      <c r="AF83" s="15" t="n">
        <f aca="false">IF($P83=0,"",T83*AF$159/$BP83/1000)</f>
        <v>0</v>
      </c>
      <c r="AG83" s="15" t="n">
        <f aca="false">IF($P83=0,"",U83*AG$159/$BP83/1000)</f>
        <v>0</v>
      </c>
      <c r="AH83" s="15" t="n">
        <f aca="false">IF($P83=0,"",V83*AH$159/$BP83/1000)</f>
        <v>0</v>
      </c>
      <c r="AI83" s="15" t="n">
        <f aca="false">IF($P83=0,"",W83*AI$159/$BP83/1000)</f>
        <v>0</v>
      </c>
      <c r="AJ83" s="15" t="n">
        <f aca="false">IF($P83=0,"",X83*AJ$159/$BP83/1000)</f>
        <v>0</v>
      </c>
      <c r="AK83" s="15" t="n">
        <f aca="false">IF($P83=0,"",Y83*AK$159/$BP83/1000)</f>
        <v>0</v>
      </c>
      <c r="AL83" s="15" t="n">
        <f aca="false">IF($P83=0,"",Z83*AL$159/$BP83/1000)</f>
        <v>0</v>
      </c>
      <c r="AM83" s="15" t="n">
        <f aca="false">IF($P83=0,"",AA83*AM$159/$BP83/1000)</f>
        <v>0</v>
      </c>
      <c r="AN83" s="15" t="n">
        <f aca="false">SUM(AC83:AM83)</f>
        <v>0</v>
      </c>
      <c r="AO83" s="15" t="n">
        <f aca="false">D83-AN83</f>
        <v>0</v>
      </c>
      <c r="AP83" s="421" t="n">
        <f aca="false">IF(D83=0,0,AO83/D83)</f>
        <v>0</v>
      </c>
      <c r="AQ83" s="75" t="n">
        <f aca="false">IF(AB83=0,0,AN83/AB83)*1000</f>
        <v>0</v>
      </c>
      <c r="AR83" s="340" t="n">
        <f aca="false">IF(C83=0,0,D83/C83)*1000</f>
        <v>0</v>
      </c>
      <c r="AS83" s="422" t="n">
        <f aca="false">IF($P83=0,"",Q83*1000/AS$159*$AD$159/14.696/$BP83/42)</f>
        <v>0</v>
      </c>
      <c r="AT83" s="15" t="n">
        <f aca="false">IF($P83=0,"",R83*1000/AT$159*$AD$159/14.696/$BP83/42)</f>
        <v>0</v>
      </c>
      <c r="AU83" s="15" t="n">
        <f aca="false">IF($P83=0,"",S83*1000/AU$159*$AD$159/14.696/$BP83/42)</f>
        <v>0</v>
      </c>
      <c r="AV83" s="15" t="n">
        <f aca="false">IF($P83=0,"",T83*1000/AV$159*$AD$159/14.696/$BP83/42)</f>
        <v>0</v>
      </c>
      <c r="AW83" s="15" t="n">
        <f aca="false">IF($P83=0,"",U83*1000/AW$159*$AD$159/14.696/$BP83/42)</f>
        <v>0</v>
      </c>
      <c r="AX83" s="15" t="n">
        <f aca="false">IF($P83=0,"",V83*1000/AX$159*$AD$159/14.696/$BP83/42)</f>
        <v>0</v>
      </c>
      <c r="AY83" s="15" t="n">
        <f aca="false">IF($P83=0,"",W83*1000/AY$159*$AD$159/14.696/$BP83/42)</f>
        <v>0</v>
      </c>
      <c r="AZ83" s="15" t="n">
        <f aca="false">IF($P83=0,"",X83*1000/AZ$159*$AD$159/14.696/$BP83/42)</f>
        <v>0</v>
      </c>
      <c r="BA83" s="15" t="n">
        <f aca="false">IF($P83=0,"",Y83*1000/BA$159*$AD$159/14.696/$BP83/42)</f>
        <v>0</v>
      </c>
      <c r="BB83" s="15" t="n">
        <f aca="false">IF($P83=0,"",Z83*1000/BB$159*$AD$159/14.696/$BP83/42)</f>
        <v>0</v>
      </c>
      <c r="BC83" s="15" t="n">
        <f aca="false">IF($P83=0,"",AA83*1000/BC$159*$AD$159/14.696/$BP83/42)</f>
        <v>0</v>
      </c>
      <c r="BD83" s="55" t="n">
        <f aca="false">SUM(AS83:BC83)</f>
        <v>0</v>
      </c>
      <c r="BE83" s="419" t="n">
        <f aca="false">IF($P83=0,"",E83/$P83*BE$159)</f>
        <v>0</v>
      </c>
      <c r="BF83" s="420" t="n">
        <f aca="false">IF($P83=0,"",F83/$P83*BF$159)</f>
        <v>4.42E-005</v>
      </c>
      <c r="BG83" s="420" t="n">
        <f aca="false">IF($P83=0,"",G83/$P83*BG$159)</f>
        <v>0.011136</v>
      </c>
      <c r="BH83" s="420" t="n">
        <f aca="false">IF($P83=0,"",H83/$P83*BH$159)</f>
        <v>0.000714</v>
      </c>
      <c r="BI83" s="420" t="n">
        <f aca="false">IF($P83=0,"",I83/$P83*BI$159)</f>
        <v>0</v>
      </c>
      <c r="BJ83" s="420" t="n">
        <f aca="false">IF($P83=0,"",J83/$P83*BJ$159)</f>
        <v>0</v>
      </c>
      <c r="BK83" s="420" t="n">
        <f aca="false">IF($P83=0,"",K83/$P83*BK$159)</f>
        <v>0</v>
      </c>
      <c r="BL83" s="420" t="n">
        <f aca="false">IF($P83=0,"",L83/$P83*BL$159)</f>
        <v>0</v>
      </c>
      <c r="BM83" s="420" t="n">
        <f aca="false">IF($P83=0,"",M83/$P83*BM$159)</f>
        <v>0</v>
      </c>
      <c r="BN83" s="420" t="n">
        <f aca="false">IF($P83=0,"",N83/$P83*BN$159)</f>
        <v>0</v>
      </c>
      <c r="BO83" s="420" t="n">
        <f aca="false">IF($P83=0,"",O83/$P83*BO$159)</f>
        <v>0</v>
      </c>
      <c r="BP83" s="418" t="n">
        <f aca="false">1-AD$159*(SUM(BE83:BO83))^2</f>
        <v>0.997927435293174</v>
      </c>
    </row>
    <row r="84" customFormat="false" ht="15" hidden="false" customHeight="false" outlineLevel="0" collapsed="false">
      <c r="A84" s="413" t="s">
        <v>134</v>
      </c>
      <c r="B84" s="414" t="s">
        <v>296</v>
      </c>
      <c r="C84" s="415" t="n">
        <v>11319.04</v>
      </c>
      <c r="D84" s="416" t="n">
        <v>11851.04</v>
      </c>
      <c r="E84" s="417" t="n">
        <v>0.173</v>
      </c>
      <c r="F84" s="417" t="n">
        <v>1.672</v>
      </c>
      <c r="G84" s="417" t="n">
        <v>90.977</v>
      </c>
      <c r="H84" s="417" t="n">
        <v>6.867</v>
      </c>
      <c r="I84" s="417" t="n">
        <v>0.311</v>
      </c>
      <c r="J84" s="417"/>
      <c r="K84" s="417"/>
      <c r="L84" s="417"/>
      <c r="M84" s="417"/>
      <c r="N84" s="417" t="n">
        <v>0</v>
      </c>
      <c r="O84" s="76"/>
      <c r="P84" s="423" t="n">
        <f aca="false">SUM(E84:O84)</f>
        <v>100</v>
      </c>
      <c r="Q84" s="99" t="n">
        <f aca="false">IF($P84=0,"",$C84*E84/$P84)</f>
        <v>19.5819392</v>
      </c>
      <c r="R84" s="100" t="n">
        <f aca="false">IF($P84=0,"",$C84*F84/$P84)</f>
        <v>189.2543488</v>
      </c>
      <c r="S84" s="100" t="n">
        <f aca="false">IF($P84=0,"",$C84*G84/$P84)</f>
        <v>10297.7230208</v>
      </c>
      <c r="T84" s="100" t="n">
        <f aca="false">IF($P84=0,"",$C84*H84/$P84)</f>
        <v>777.2784768</v>
      </c>
      <c r="U84" s="100" t="n">
        <f aca="false">IF($P84=0,"",$C84*I84/$P84)</f>
        <v>35.2022144</v>
      </c>
      <c r="V84" s="100" t="n">
        <f aca="false">IF($P84=0,"",$C84*J84/$P84)</f>
        <v>0</v>
      </c>
      <c r="W84" s="100" t="n">
        <f aca="false">IF($P84=0,"",$C84*K84/$P84)</f>
        <v>0</v>
      </c>
      <c r="X84" s="100" t="n">
        <f aca="false">IF($P84=0,"",$C84*L84/$P84)</f>
        <v>0</v>
      </c>
      <c r="Y84" s="100" t="n">
        <f aca="false">IF($P84=0,"",$C84*M84/$P84)</f>
        <v>0</v>
      </c>
      <c r="Z84" s="100" t="n">
        <f aca="false">IF($P84=0,"",$C84*N84/$P84)</f>
        <v>0</v>
      </c>
      <c r="AA84" s="100" t="n">
        <f aca="false">IF($P84=0,"",$C84*O84/$P84)</f>
        <v>0</v>
      </c>
      <c r="AB84" s="101" t="n">
        <f aca="false">SUM(Q84:AA84)</f>
        <v>11319.04</v>
      </c>
      <c r="AC84" s="424"/>
      <c r="AD84" s="425"/>
      <c r="AE84" s="100" t="n">
        <f aca="false">IF($P84=0,"",S84*AE$159/$BP84/1000)</f>
        <v>10391.1667181628</v>
      </c>
      <c r="AF84" s="100" t="n">
        <f aca="false">IF($P84=0,"",T84*AF$159/$BP84/1000)</f>
        <v>1374.37219184694</v>
      </c>
      <c r="AG84" s="100" t="n">
        <f aca="false">IF($P84=0,"",U84*AG$159/$BP84/1000)</f>
        <v>88.4936374499829</v>
      </c>
      <c r="AH84" s="100" t="n">
        <f aca="false">IF($P84=0,"",V84*AH$159/$BP84/1000)</f>
        <v>0</v>
      </c>
      <c r="AI84" s="100" t="n">
        <f aca="false">IF($P84=0,"",W84*AI$159/$BP84/1000)</f>
        <v>0</v>
      </c>
      <c r="AJ84" s="100" t="n">
        <f aca="false">IF($P84=0,"",X84*AJ$159/$BP84/1000)</f>
        <v>0</v>
      </c>
      <c r="AK84" s="100" t="n">
        <f aca="false">IF($P84=0,"",Y84*AK$159/$BP84/1000)</f>
        <v>0</v>
      </c>
      <c r="AL84" s="100" t="n">
        <f aca="false">IF($P84=0,"",Z84*AL$159/$BP84/1000)</f>
        <v>0</v>
      </c>
      <c r="AM84" s="100" t="n">
        <f aca="false">IF($P84=0,"",AA84*AM$159/$BP84/1000)</f>
        <v>0</v>
      </c>
      <c r="AN84" s="100" t="n">
        <f aca="false">SUM(AC84:AM84)</f>
        <v>11854.0325474597</v>
      </c>
      <c r="AO84" s="100" t="n">
        <f aca="false">D84-AN84</f>
        <v>-2.99254745974031</v>
      </c>
      <c r="AP84" s="426" t="n">
        <f aca="false">IF(D84=0,0,AO84/D84)</f>
        <v>-0.000252513489089591</v>
      </c>
      <c r="AQ84" s="427" t="n">
        <f aca="false">IF(AB84=0,0,AN84/AB84)*1000</f>
        <v>1047.26483407248</v>
      </c>
      <c r="AR84" s="428" t="n">
        <f aca="false">IF(C84=0,0,D84/C84)*1000</f>
        <v>1047.00045233518</v>
      </c>
      <c r="AS84" s="429" t="n">
        <f aca="false">IF($P84=0,"",Q84*1000/AS$159*$AD$159/14.696/$BP84/42)</f>
        <v>7.92951248748282</v>
      </c>
      <c r="AT84" s="100" t="n">
        <f aca="false">IF($P84=0,"",R84*1000/AT$159*$AD$159/14.696/$BP84/42)</f>
        <v>49.4041144861044</v>
      </c>
      <c r="AU84" s="100" t="n">
        <f aca="false">IF($P84=0,"",S84*1000/AU$159*$AD$159/14.696/$BP84/42)</f>
        <v>4142.32017415384</v>
      </c>
      <c r="AV84" s="100" t="n">
        <f aca="false">IF($P84=0,"",T84*1000/AV$159*$AD$159/14.696/$BP84/42)</f>
        <v>493.234517038398</v>
      </c>
      <c r="AW84" s="100" t="n">
        <f aca="false">IF($P84=0,"",U84*1000/AW$159*$AD$159/14.696/$BP84/42)</f>
        <v>23.0115082325008</v>
      </c>
      <c r="AX84" s="100" t="n">
        <f aca="false">IF($P84=0,"",V84*1000/AX$159*$AD$159/14.696/$BP84/42)</f>
        <v>0</v>
      </c>
      <c r="AY84" s="100" t="n">
        <f aca="false">IF($P84=0,"",W84*1000/AY$159*$AD$159/14.696/$BP84/42)</f>
        <v>0</v>
      </c>
      <c r="AZ84" s="100" t="n">
        <f aca="false">IF($P84=0,"",X84*1000/AZ$159*$AD$159/14.696/$BP84/42)</f>
        <v>0</v>
      </c>
      <c r="BA84" s="100" t="n">
        <f aca="false">IF($P84=0,"",Y84*1000/BA$159*$AD$159/14.696/$BP84/42)</f>
        <v>0</v>
      </c>
      <c r="BB84" s="100" t="n">
        <f aca="false">IF($P84=0,"",Z84*1000/BB$159*$AD$159/14.696/$BP84/42)</f>
        <v>0</v>
      </c>
      <c r="BC84" s="100" t="n">
        <f aca="false">IF($P84=0,"",AA84*1000/BC$159*$AD$159/14.696/$BP84/42)</f>
        <v>0</v>
      </c>
      <c r="BD84" s="430" t="n">
        <f aca="false">SUM(AS84:BC84)</f>
        <v>4715.89982639833</v>
      </c>
      <c r="BE84" s="424" t="n">
        <f aca="false">IF($P84=0,"",E84/$P84*BE$159)</f>
        <v>3.3735E-005</v>
      </c>
      <c r="BF84" s="425" t="n">
        <f aca="false">IF($P84=0,"",F84/$P84*BF$159)</f>
        <v>7.39024E-005</v>
      </c>
      <c r="BG84" s="425" t="n">
        <f aca="false">IF($P84=0,"",G84/$P84*BG$159)</f>
        <v>0.010553332</v>
      </c>
      <c r="BH84" s="425" t="n">
        <f aca="false">IF($P84=0,"",H84/$P84*BH$159)</f>
        <v>0.001634346</v>
      </c>
      <c r="BI84" s="425" t="n">
        <f aca="false">IF($P84=0,"",I84/$P84*BI$159)</f>
        <v>0.000107917</v>
      </c>
      <c r="BJ84" s="425" t="n">
        <f aca="false">IF($P84=0,"",J84/$P84*BJ$159)</f>
        <v>0</v>
      </c>
      <c r="BK84" s="425" t="n">
        <f aca="false">IF($P84=0,"",K84/$P84*BK$159)</f>
        <v>0</v>
      </c>
      <c r="BL84" s="425" t="n">
        <f aca="false">IF($P84=0,"",L84/$P84*BL$159)</f>
        <v>0</v>
      </c>
      <c r="BM84" s="425" t="n">
        <f aca="false">IF($P84=0,"",M84/$P84*BM$159)</f>
        <v>0</v>
      </c>
      <c r="BN84" s="425" t="n">
        <f aca="false">IF($P84=0,"",N84/$P84*BN$159)</f>
        <v>0</v>
      </c>
      <c r="BO84" s="425" t="n">
        <f aca="false">IF($P84=0,"",O84/$P84*BO$159)</f>
        <v>0</v>
      </c>
      <c r="BP84" s="423" t="n">
        <f aca="false">1-AD$159*(SUM(BE84:BO84))^2</f>
        <v>0.997746241451363</v>
      </c>
    </row>
    <row r="85" customFormat="false" ht="15" hidden="false" customHeight="false" outlineLevel="0" collapsed="false">
      <c r="A85" s="413" t="s">
        <v>118</v>
      </c>
      <c r="B85" s="414" t="s">
        <v>297</v>
      </c>
      <c r="C85" s="415" t="n">
        <v>8457.51</v>
      </c>
      <c r="D85" s="416" t="n">
        <v>10757.95</v>
      </c>
      <c r="E85" s="417" t="n">
        <v>0.098</v>
      </c>
      <c r="F85" s="417" t="n">
        <v>1.188</v>
      </c>
      <c r="G85" s="417" t="n">
        <v>78.317</v>
      </c>
      <c r="H85" s="417" t="n">
        <v>10.966</v>
      </c>
      <c r="I85" s="417" t="n">
        <v>5.032</v>
      </c>
      <c r="J85" s="417" t="n">
        <v>0.888</v>
      </c>
      <c r="K85" s="417" t="n">
        <v>1.936</v>
      </c>
      <c r="L85" s="417" t="n">
        <v>0.561</v>
      </c>
      <c r="M85" s="417" t="n">
        <v>0.58</v>
      </c>
      <c r="N85" s="417" t="n">
        <v>0.434</v>
      </c>
      <c r="O85" s="76"/>
      <c r="P85" s="418" t="n">
        <f aca="false">SUM(E85:O85)</f>
        <v>100</v>
      </c>
      <c r="Q85" s="14" t="n">
        <f aca="false">IF($P85=0,"",$C85*E85/$P85)</f>
        <v>8.2883598</v>
      </c>
      <c r="R85" s="15" t="n">
        <f aca="false">IF($P85=0,"",$C85*F85/$P85)</f>
        <v>100.4752188</v>
      </c>
      <c r="S85" s="15" t="n">
        <f aca="false">IF($P85=0,"",$C85*G85/$P85)</f>
        <v>6623.6681067</v>
      </c>
      <c r="T85" s="15" t="n">
        <f aca="false">IF($P85=0,"",$C85*H85/$P85)</f>
        <v>927.4505466</v>
      </c>
      <c r="U85" s="15" t="n">
        <f aca="false">IF($P85=0,"",$C85*I85/$P85)</f>
        <v>425.5819032</v>
      </c>
      <c r="V85" s="15" t="n">
        <f aca="false">IF($P85=0,"",$C85*J85/$P85)</f>
        <v>75.1026888</v>
      </c>
      <c r="W85" s="15" t="n">
        <f aca="false">IF($P85=0,"",$C85*K85/$P85)</f>
        <v>163.7373936</v>
      </c>
      <c r="X85" s="15" t="n">
        <f aca="false">IF($P85=0,"",$C85*L85/$P85)</f>
        <v>47.4466311</v>
      </c>
      <c r="Y85" s="15" t="n">
        <f aca="false">IF($P85=0,"",$C85*M85/$P85)</f>
        <v>49.053558</v>
      </c>
      <c r="Z85" s="15" t="n">
        <f aca="false">IF($P85=0,"",$C85*N85/$P85)</f>
        <v>36.7055934</v>
      </c>
      <c r="AA85" s="15" t="n">
        <f aca="false">IF($P85=0,"",$C85*O85/$P85)</f>
        <v>0</v>
      </c>
      <c r="AB85" s="16" t="n">
        <f aca="false">SUM(Q85:AA85)</f>
        <v>8457.51</v>
      </c>
      <c r="AC85" s="419"/>
      <c r="AD85" s="420"/>
      <c r="AE85" s="15" t="n">
        <f aca="false">IF($P85=0,"",S85*AE$159/$BP85/1000)</f>
        <v>6693.38509895804</v>
      </c>
      <c r="AF85" s="15" t="n">
        <f aca="false">IF($P85=0,"",T85*AF$159/$BP85/1000)</f>
        <v>1642.26267278653</v>
      </c>
      <c r="AG85" s="15" t="n">
        <f aca="false">IF($P85=0,"",U85*AG$159/$BP85/1000)</f>
        <v>1071.39436659297</v>
      </c>
      <c r="AH85" s="15" t="n">
        <f aca="false">IF($P85=0,"",V85*AH$159/$BP85/1000)</f>
        <v>244.361256362738</v>
      </c>
      <c r="AI85" s="15" t="n">
        <f aca="false">IF($P85=0,"",W85*AI$159/$BP85/1000)</f>
        <v>534.460737900498</v>
      </c>
      <c r="AJ85" s="15" t="n">
        <f aca="false">IF($P85=0,"",X85*AJ$159/$BP85/1000)</f>
        <v>189.936369016034</v>
      </c>
      <c r="AK85" s="15" t="n">
        <f aca="false">IF($P85=0,"",Y85*AK$159/$BP85/1000)</f>
        <v>196.75318511021</v>
      </c>
      <c r="AL85" s="15" t="n">
        <f aca="false">IF($P85=0,"",Z85*AL$159/$BP85/1000)</f>
        <v>188.377518802258</v>
      </c>
      <c r="AM85" s="15" t="n">
        <f aca="false">IF($P85=0,"",AA85*AM$159/$BP85/1000)</f>
        <v>0</v>
      </c>
      <c r="AN85" s="15" t="n">
        <f aca="false">SUM(AC85:AM85)</f>
        <v>10760.9312055293</v>
      </c>
      <c r="AO85" s="15" t="n">
        <f aca="false">D85-AN85</f>
        <v>-2.98120552927867</v>
      </c>
      <c r="AP85" s="421" t="n">
        <f aca="false">IF(D85=0,0,AO85/D85)</f>
        <v>-0.000277116507260088</v>
      </c>
      <c r="AQ85" s="75" t="n">
        <f aca="false">IF(AB85=0,0,AN85/AB85)*1000</f>
        <v>1272.35217050045</v>
      </c>
      <c r="AR85" s="340" t="n">
        <f aca="false">IF(C85=0,0,D85/C85)*1000</f>
        <v>1271.99967839234</v>
      </c>
      <c r="AS85" s="422" t="n">
        <f aca="false">IF($P85=0,"",Q85*1000/AS$159*$AD$159/14.696/$BP85/42)</f>
        <v>3.36111620937317</v>
      </c>
      <c r="AT85" s="15" t="n">
        <f aca="false">IF($P85=0,"",R85*1000/AT$159*$AD$159/14.696/$BP85/42)</f>
        <v>26.2663880060357</v>
      </c>
      <c r="AU85" s="15" t="n">
        <f aca="false">IF($P85=0,"",S85*1000/AU$159*$AD$159/14.696/$BP85/42)</f>
        <v>2668.24167880319</v>
      </c>
      <c r="AV85" s="15" t="n">
        <f aca="false">IF($P85=0,"",T85*1000/AV$159*$AD$159/14.696/$BP85/42)</f>
        <v>589.375018693814</v>
      </c>
      <c r="AW85" s="15" t="n">
        <f aca="false">IF($P85=0,"",U85*1000/AW$159*$AD$159/14.696/$BP85/42)</f>
        <v>278.600823715083</v>
      </c>
      <c r="AX85" s="15" t="n">
        <f aca="false">IF($P85=0,"",V85*1000/AX$159*$AD$159/14.696/$BP85/42)</f>
        <v>58.3986063131024</v>
      </c>
      <c r="AY85" s="15" t="n">
        <f aca="false">IF($P85=0,"",W85*1000/AY$159*$AD$159/14.696/$BP85/42)</f>
        <v>122.659257015464</v>
      </c>
      <c r="AZ85" s="15" t="n">
        <f aca="false">IF($P85=0,"",X85*1000/AZ$159*$AD$159/14.696/$BP85/42)</f>
        <v>41.2312219888037</v>
      </c>
      <c r="BA85" s="15" t="n">
        <f aca="false">IF($P85=0,"",Y85*1000/BA$159*$AD$159/14.696/$BP85/42)</f>
        <v>42.2515820218032</v>
      </c>
      <c r="BB85" s="15" t="n">
        <f aca="false">IF($P85=0,"",Z85*1000/BB$159*$AD$159/14.696/$BP85/42)</f>
        <v>37.8475966926626</v>
      </c>
      <c r="BC85" s="15" t="n">
        <f aca="false">IF($P85=0,"",AA85*1000/BC$159*$AD$159/14.696/$BP85/42)</f>
        <v>0</v>
      </c>
      <c r="BD85" s="55" t="n">
        <f aca="false">SUM(AS85:BC85)</f>
        <v>3868.23328945934</v>
      </c>
      <c r="BE85" s="419" t="n">
        <f aca="false">IF($P85=0,"",E85/$P85*BE$159)</f>
        <v>1.911E-005</v>
      </c>
      <c r="BF85" s="420" t="n">
        <f aca="false">IF($P85=0,"",F85/$P85*BF$159)</f>
        <v>5.25096E-005</v>
      </c>
      <c r="BG85" s="420" t="n">
        <f aca="false">IF($P85=0,"",G85/$P85*BG$159)</f>
        <v>0.009084772</v>
      </c>
      <c r="BH85" s="420" t="n">
        <f aca="false">IF($P85=0,"",H85/$P85*BH$159)</f>
        <v>0.002609908</v>
      </c>
      <c r="BI85" s="420" t="n">
        <f aca="false">IF($P85=0,"",I85/$P85*BI$159)</f>
        <v>0.001746104</v>
      </c>
      <c r="BJ85" s="420" t="n">
        <f aca="false">IF($P85=0,"",J85/$P85*BJ$159)</f>
        <v>0.000391608</v>
      </c>
      <c r="BK85" s="420" t="n">
        <f aca="false">IF($P85=0,"",K85/$P85*BK$159)</f>
        <v>0.00090992</v>
      </c>
      <c r="BL85" s="420" t="n">
        <f aca="false">IF($P85=0,"",L85/$P85*BL$159)</f>
        <v>0.000323136</v>
      </c>
      <c r="BM85" s="420" t="n">
        <f aca="false">IF($P85=0,"",M85/$P85*BM$159)</f>
        <v>0.00035148</v>
      </c>
      <c r="BN85" s="420" t="n">
        <f aca="false">IF($P85=0,"",N85/$P85*BN$159)</f>
        <v>0.0003748458</v>
      </c>
      <c r="BO85" s="420" t="n">
        <f aca="false">IF($P85=0,"",O85/$P85*BO$159)</f>
        <v>0</v>
      </c>
      <c r="BP85" s="418" t="n">
        <f aca="false">1-AD$159*(SUM(BE85:BO85))^2</f>
        <v>0.99631336778511</v>
      </c>
    </row>
    <row r="86" customFormat="false" ht="15" hidden="false" customHeight="false" outlineLevel="0" collapsed="false">
      <c r="A86" s="413" t="s">
        <v>135</v>
      </c>
      <c r="B86" s="414" t="s">
        <v>298</v>
      </c>
      <c r="C86" s="415" t="n">
        <v>216704.95</v>
      </c>
      <c r="D86" s="416" t="n">
        <v>218005.18</v>
      </c>
      <c r="E86" s="417"/>
      <c r="F86" s="417" t="n">
        <v>1.262</v>
      </c>
      <c r="G86" s="417" t="n">
        <v>97.633</v>
      </c>
      <c r="H86" s="417" t="n">
        <v>0.961</v>
      </c>
      <c r="I86" s="417" t="n">
        <v>0.122</v>
      </c>
      <c r="J86" s="417" t="n">
        <v>0.009</v>
      </c>
      <c r="K86" s="417" t="n">
        <v>0.013</v>
      </c>
      <c r="L86" s="417"/>
      <c r="M86" s="417"/>
      <c r="N86" s="417" t="n">
        <v>0</v>
      </c>
      <c r="O86" s="76"/>
      <c r="P86" s="423" t="n">
        <f aca="false">SUM(E86:O86)</f>
        <v>100</v>
      </c>
      <c r="Q86" s="99" t="n">
        <f aca="false">IF($P86=0,"",$C86*E86/$P86)</f>
        <v>0</v>
      </c>
      <c r="R86" s="100" t="n">
        <f aca="false">IF($P86=0,"",$C86*F86/$P86)</f>
        <v>2734.816469</v>
      </c>
      <c r="S86" s="100" t="n">
        <f aca="false">IF($P86=0,"",$C86*G86/$P86)</f>
        <v>211575.5438335</v>
      </c>
      <c r="T86" s="100" t="n">
        <f aca="false">IF($P86=0,"",$C86*H86/$P86)</f>
        <v>2082.5345695</v>
      </c>
      <c r="U86" s="100" t="n">
        <f aca="false">IF($P86=0,"",$C86*I86/$P86)</f>
        <v>264.380039</v>
      </c>
      <c r="V86" s="100" t="n">
        <f aca="false">IF($P86=0,"",$C86*J86/$P86)</f>
        <v>19.5034455</v>
      </c>
      <c r="W86" s="100" t="n">
        <f aca="false">IF($P86=0,"",$C86*K86/$P86)</f>
        <v>28.1716435</v>
      </c>
      <c r="X86" s="100" t="n">
        <f aca="false">IF($P86=0,"",$C86*L86/$P86)</f>
        <v>0</v>
      </c>
      <c r="Y86" s="100" t="n">
        <f aca="false">IF($P86=0,"",$C86*M86/$P86)</f>
        <v>0</v>
      </c>
      <c r="Z86" s="100" t="n">
        <f aca="false">IF($P86=0,"",$C86*N86/$P86)</f>
        <v>0</v>
      </c>
      <c r="AA86" s="100" t="n">
        <f aca="false">IF($P86=0,"",$C86*O86/$P86)</f>
        <v>0</v>
      </c>
      <c r="AB86" s="101" t="n">
        <f aca="false">SUM(Q86:AA86)</f>
        <v>216704.95</v>
      </c>
      <c r="AC86" s="424"/>
      <c r="AD86" s="425"/>
      <c r="AE86" s="100" t="n">
        <f aca="false">IF($P86=0,"",S86*AE$159/$BP86/1000)</f>
        <v>213439.546253597</v>
      </c>
      <c r="AF86" s="100" t="n">
        <f aca="false">IF($P86=0,"",T86*AF$159/$BP86/1000)</f>
        <v>3681.34274275349</v>
      </c>
      <c r="AG86" s="100" t="n">
        <f aca="false">IF($P86=0,"",U86*AG$159/$BP86/1000)</f>
        <v>664.441946855646</v>
      </c>
      <c r="AH86" s="100" t="n">
        <f aca="false">IF($P86=0,"",V86*AH$159/$BP86/1000)</f>
        <v>63.3505483394712</v>
      </c>
      <c r="AI86" s="100" t="n">
        <f aca="false">IF($P86=0,"",W86*AI$159/$BP86/1000)</f>
        <v>91.7999176465135</v>
      </c>
      <c r="AJ86" s="100" t="n">
        <f aca="false">IF($P86=0,"",X86*AJ$159/$BP86/1000)</f>
        <v>0</v>
      </c>
      <c r="AK86" s="100" t="n">
        <f aca="false">IF($P86=0,"",Y86*AK$159/$BP86/1000)</f>
        <v>0</v>
      </c>
      <c r="AL86" s="100" t="n">
        <f aca="false">IF($P86=0,"",Z86*AL$159/$BP86/1000)</f>
        <v>0</v>
      </c>
      <c r="AM86" s="100" t="n">
        <f aca="false">IF($P86=0,"",AA86*AM$159/$BP86/1000)</f>
        <v>0</v>
      </c>
      <c r="AN86" s="100" t="n">
        <f aca="false">SUM(AC86:AM86)</f>
        <v>217940.481409192</v>
      </c>
      <c r="AO86" s="100" t="n">
        <f aca="false">D86-AN86</f>
        <v>64.6985908075585</v>
      </c>
      <c r="AP86" s="426" t="n">
        <f aca="false">IF(D86=0,0,AO86/D86)</f>
        <v>0.000296775474819261</v>
      </c>
      <c r="AQ86" s="427" t="n">
        <f aca="false">IF(AB86=0,0,AN86/AB86)*1000</f>
        <v>1005.70144525629</v>
      </c>
      <c r="AR86" s="428" t="n">
        <f aca="false">IF(C86=0,0,D86/C86)*1000</f>
        <v>1006.00000138437</v>
      </c>
      <c r="AS86" s="429" t="n">
        <f aca="false">IF($P86=0,"",Q86*1000/AS$159*$AD$159/14.696/$BP86/42)</f>
        <v>0</v>
      </c>
      <c r="AT86" s="100" t="n">
        <f aca="false">IF($P86=0,"",R86*1000/AT$159*$AD$159/14.696/$BP86/42)</f>
        <v>713.726389775881</v>
      </c>
      <c r="AU86" s="100" t="n">
        <f aca="false">IF($P86=0,"",S86*1000/AU$159*$AD$159/14.696/$BP86/42)</f>
        <v>85085.2423398357</v>
      </c>
      <c r="AV86" s="100" t="n">
        <f aca="false">IF($P86=0,"",T86*1000/AV$159*$AD$159/14.696/$BP86/42)</f>
        <v>1321.15981431108</v>
      </c>
      <c r="AW86" s="100" t="n">
        <f aca="false">IF($P86=0,"",U86*1000/AW$159*$AD$159/14.696/$BP86/42)</f>
        <v>172.778651332187</v>
      </c>
      <c r="AX86" s="100" t="n">
        <f aca="false">IF($P86=0,"",V86*1000/AX$159*$AD$159/14.696/$BP86/42)</f>
        <v>15.1398130262686</v>
      </c>
      <c r="AY86" s="100" t="n">
        <f aca="false">IF($P86=0,"",W86*1000/AY$159*$AD$159/14.696/$BP86/42)</f>
        <v>21.068170015322</v>
      </c>
      <c r="AZ86" s="100" t="n">
        <f aca="false">IF($P86=0,"",X86*1000/AZ$159*$AD$159/14.696/$BP86/42)</f>
        <v>0</v>
      </c>
      <c r="BA86" s="100" t="n">
        <f aca="false">IF($P86=0,"",Y86*1000/BA$159*$AD$159/14.696/$BP86/42)</f>
        <v>0</v>
      </c>
      <c r="BB86" s="100" t="n">
        <f aca="false">IF($P86=0,"",Z86*1000/BB$159*$AD$159/14.696/$BP86/42)</f>
        <v>0</v>
      </c>
      <c r="BC86" s="100" t="n">
        <f aca="false">IF($P86=0,"",AA86*1000/BC$159*$AD$159/14.696/$BP86/42)</f>
        <v>0</v>
      </c>
      <c r="BD86" s="430" t="n">
        <f aca="false">SUM(AS86:BC86)</f>
        <v>87329.1151782965</v>
      </c>
      <c r="BE86" s="424" t="n">
        <f aca="false">IF($P86=0,"",E86/$P86*BE$159)</f>
        <v>0</v>
      </c>
      <c r="BF86" s="425" t="n">
        <f aca="false">IF($P86=0,"",F86/$P86*BF$159)</f>
        <v>5.57804E-005</v>
      </c>
      <c r="BG86" s="425" t="n">
        <f aca="false">IF($P86=0,"",G86/$P86*BG$159)</f>
        <v>0.011325428</v>
      </c>
      <c r="BH86" s="425" t="n">
        <f aca="false">IF($P86=0,"",H86/$P86*BH$159)</f>
        <v>0.000228718</v>
      </c>
      <c r="BI86" s="425" t="n">
        <f aca="false">IF($P86=0,"",I86/$P86*BI$159)</f>
        <v>4.2334E-005</v>
      </c>
      <c r="BJ86" s="425" t="n">
        <f aca="false">IF($P86=0,"",J86/$P86*BJ$159)</f>
        <v>3.969E-006</v>
      </c>
      <c r="BK86" s="425" t="n">
        <f aca="false">IF($P86=0,"",K86/$P86*BK$159)</f>
        <v>6.11E-006</v>
      </c>
      <c r="BL86" s="425" t="n">
        <f aca="false">IF($P86=0,"",L86/$P86*BL$159)</f>
        <v>0</v>
      </c>
      <c r="BM86" s="425" t="n">
        <f aca="false">IF($P86=0,"",M86/$P86*BM$159)</f>
        <v>0</v>
      </c>
      <c r="BN86" s="425" t="n">
        <f aca="false">IF($P86=0,"",N86/$P86*BN$159)</f>
        <v>0</v>
      </c>
      <c r="BO86" s="425" t="n">
        <f aca="false">IF($P86=0,"",O86/$P86*BO$159)</f>
        <v>0</v>
      </c>
      <c r="BP86" s="423" t="n">
        <f aca="false">1-AD$159*(SUM(BE86:BO86))^2</f>
        <v>0.998007451151886</v>
      </c>
    </row>
    <row r="87" customFormat="false" ht="15" hidden="false" customHeight="false" outlineLevel="0" collapsed="false">
      <c r="A87" s="413" t="s">
        <v>136</v>
      </c>
      <c r="B87" s="414" t="s">
        <v>299</v>
      </c>
      <c r="C87" s="415" t="n">
        <v>42390.88</v>
      </c>
      <c r="D87" s="416" t="n">
        <v>44425.64</v>
      </c>
      <c r="E87" s="417" t="n">
        <v>0.17</v>
      </c>
      <c r="F87" s="417" t="n">
        <v>1.625</v>
      </c>
      <c r="G87" s="417" t="n">
        <v>91.001</v>
      </c>
      <c r="H87" s="417" t="n">
        <v>6.877</v>
      </c>
      <c r="I87" s="417" t="n">
        <v>0.327</v>
      </c>
      <c r="J87" s="417"/>
      <c r="K87" s="417"/>
      <c r="L87" s="417"/>
      <c r="M87" s="417"/>
      <c r="N87" s="417" t="n">
        <v>0</v>
      </c>
      <c r="O87" s="76"/>
      <c r="P87" s="418" t="n">
        <f aca="false">SUM(E87:O87)</f>
        <v>100</v>
      </c>
      <c r="Q87" s="14" t="n">
        <f aca="false">IF($P87=0,"",$C87*E87/$P87)</f>
        <v>72.064496</v>
      </c>
      <c r="R87" s="15" t="n">
        <f aca="false">IF($P87=0,"",$C87*F87/$P87)</f>
        <v>688.8518</v>
      </c>
      <c r="S87" s="15" t="n">
        <f aca="false">IF($P87=0,"",$C87*G87/$P87)</f>
        <v>38576.1247088</v>
      </c>
      <c r="T87" s="15" t="n">
        <f aca="false">IF($P87=0,"",$C87*H87/$P87)</f>
        <v>2915.2208176</v>
      </c>
      <c r="U87" s="15" t="n">
        <f aca="false">IF($P87=0,"",$C87*I87/$P87)</f>
        <v>138.6181776</v>
      </c>
      <c r="V87" s="15" t="n">
        <f aca="false">IF($P87=0,"",$C87*J87/$P87)</f>
        <v>0</v>
      </c>
      <c r="W87" s="15" t="n">
        <f aca="false">IF($P87=0,"",$C87*K87/$P87)</f>
        <v>0</v>
      </c>
      <c r="X87" s="15" t="n">
        <f aca="false">IF($P87=0,"",$C87*L87/$P87)</f>
        <v>0</v>
      </c>
      <c r="Y87" s="15" t="n">
        <f aca="false">IF($P87=0,"",$C87*M87/$P87)</f>
        <v>0</v>
      </c>
      <c r="Z87" s="15" t="n">
        <f aca="false">IF($P87=0,"",$C87*N87/$P87)</f>
        <v>0</v>
      </c>
      <c r="AA87" s="15" t="n">
        <f aca="false">IF($P87=0,"",$C87*O87/$P87)</f>
        <v>0</v>
      </c>
      <c r="AB87" s="16" t="n">
        <f aca="false">SUM(Q87:AA87)</f>
        <v>42390.88</v>
      </c>
      <c r="AC87" s="419"/>
      <c r="AD87" s="420"/>
      <c r="AE87" s="15" t="n">
        <f aca="false">IF($P87=0,"",S87*AE$159/$BP87/1000)</f>
        <v>38926.2867747209</v>
      </c>
      <c r="AF87" s="15" t="n">
        <f aca="false">IF($P87=0,"",T87*AF$159/$BP87/1000)</f>
        <v>5154.6650283375</v>
      </c>
      <c r="AG87" s="15" t="n">
        <f aca="false">IF($P87=0,"",U87*AG$159/$BP87/1000)</f>
        <v>348.468497138241</v>
      </c>
      <c r="AH87" s="15" t="n">
        <f aca="false">IF($P87=0,"",V87*AH$159/$BP87/1000)</f>
        <v>0</v>
      </c>
      <c r="AI87" s="15" t="n">
        <f aca="false">IF($P87=0,"",W87*AI$159/$BP87/1000)</f>
        <v>0</v>
      </c>
      <c r="AJ87" s="15" t="n">
        <f aca="false">IF($P87=0,"",X87*AJ$159/$BP87/1000)</f>
        <v>0</v>
      </c>
      <c r="AK87" s="15" t="n">
        <f aca="false">IF($P87=0,"",Y87*AK$159/$BP87/1000)</f>
        <v>0</v>
      </c>
      <c r="AL87" s="15" t="n">
        <f aca="false">IF($P87=0,"",Z87*AL$159/$BP87/1000)</f>
        <v>0</v>
      </c>
      <c r="AM87" s="15" t="n">
        <f aca="false">IF($P87=0,"",AA87*AM$159/$BP87/1000)</f>
        <v>0</v>
      </c>
      <c r="AN87" s="15" t="n">
        <f aca="false">SUM(AC87:AM87)</f>
        <v>44429.4203001966</v>
      </c>
      <c r="AO87" s="15" t="n">
        <f aca="false">D87-AN87</f>
        <v>-3.78030019659491</v>
      </c>
      <c r="AP87" s="421" t="n">
        <f aca="false">IF(D87=0,0,AO87/D87)</f>
        <v>-8.50927571689436E-005</v>
      </c>
      <c r="AQ87" s="75" t="n">
        <f aca="false">IF(AB87=0,0,AN87/AB87)*1000</f>
        <v>1048.08912436346</v>
      </c>
      <c r="AR87" s="340" t="n">
        <f aca="false">IF(C87=0,0,D87/C87)*1000</f>
        <v>1047.99994715845</v>
      </c>
      <c r="AS87" s="422" t="n">
        <f aca="false">IF($P87=0,"",Q87*1000/AS$159*$AD$159/14.696/$BP87/42)</f>
        <v>29.1818901031569</v>
      </c>
      <c r="AT87" s="15" t="n">
        <f aca="false">IF($P87=0,"",R87*1000/AT$159*$AD$159/14.696/$BP87/42)</f>
        <v>179.822621090186</v>
      </c>
      <c r="AU87" s="15" t="n">
        <f aca="false">IF($P87=0,"",S87*1000/AU$159*$AD$159/14.696/$BP87/42)</f>
        <v>15517.5205427108</v>
      </c>
      <c r="AV87" s="15" t="n">
        <f aca="false">IF($P87=0,"",T87*1000/AV$159*$AD$159/14.696/$BP87/42)</f>
        <v>1849.90552837808</v>
      </c>
      <c r="AW87" s="15" t="n">
        <f aca="false">IF($P87=0,"",U87*1000/AW$159*$AD$159/14.696/$BP87/42)</f>
        <v>90.6142624682603</v>
      </c>
      <c r="AX87" s="15" t="n">
        <f aca="false">IF($P87=0,"",V87*1000/AX$159*$AD$159/14.696/$BP87/42)</f>
        <v>0</v>
      </c>
      <c r="AY87" s="15" t="n">
        <f aca="false">IF($P87=0,"",W87*1000/AY$159*$AD$159/14.696/$BP87/42)</f>
        <v>0</v>
      </c>
      <c r="AZ87" s="15" t="n">
        <f aca="false">IF($P87=0,"",X87*1000/AZ$159*$AD$159/14.696/$BP87/42)</f>
        <v>0</v>
      </c>
      <c r="BA87" s="15" t="n">
        <f aca="false">IF($P87=0,"",Y87*1000/BA$159*$AD$159/14.696/$BP87/42)</f>
        <v>0</v>
      </c>
      <c r="BB87" s="15" t="n">
        <f aca="false">IF($P87=0,"",Z87*1000/BB$159*$AD$159/14.696/$BP87/42)</f>
        <v>0</v>
      </c>
      <c r="BC87" s="15" t="n">
        <f aca="false">IF($P87=0,"",AA87*1000/BC$159*$AD$159/14.696/$BP87/42)</f>
        <v>0</v>
      </c>
      <c r="BD87" s="55" t="n">
        <f aca="false">SUM(AS87:BC87)</f>
        <v>17667.0448447505</v>
      </c>
      <c r="BE87" s="419" t="n">
        <f aca="false">IF($P87=0,"",E87/$P87*BE$159)</f>
        <v>3.315E-005</v>
      </c>
      <c r="BF87" s="420" t="n">
        <f aca="false">IF($P87=0,"",F87/$P87*BF$159)</f>
        <v>7.1825E-005</v>
      </c>
      <c r="BG87" s="420" t="n">
        <f aca="false">IF($P87=0,"",G87/$P87*BG$159)</f>
        <v>0.010556116</v>
      </c>
      <c r="BH87" s="420" t="n">
        <f aca="false">IF($P87=0,"",H87/$P87*BH$159)</f>
        <v>0.001636726</v>
      </c>
      <c r="BI87" s="420" t="n">
        <f aca="false">IF($P87=0,"",I87/$P87*BI$159)</f>
        <v>0.000113469</v>
      </c>
      <c r="BJ87" s="420" t="n">
        <f aca="false">IF($P87=0,"",J87/$P87*BJ$159)</f>
        <v>0</v>
      </c>
      <c r="BK87" s="420" t="n">
        <f aca="false">IF($P87=0,"",K87/$P87*BK$159)</f>
        <v>0</v>
      </c>
      <c r="BL87" s="420" t="n">
        <f aca="false">IF($P87=0,"",L87/$P87*BL$159)</f>
        <v>0</v>
      </c>
      <c r="BM87" s="420" t="n">
        <f aca="false">IF($P87=0,"",M87/$P87*BM$159)</f>
        <v>0</v>
      </c>
      <c r="BN87" s="420" t="n">
        <f aca="false">IF($P87=0,"",N87/$P87*BN$159)</f>
        <v>0</v>
      </c>
      <c r="BO87" s="420" t="n">
        <f aca="false">IF($P87=0,"",O87/$P87*BO$159)</f>
        <v>0</v>
      </c>
      <c r="BP87" s="418" t="n">
        <f aca="false">1-AD$159*(SUM(BE87:BO87))^2</f>
        <v>0.997743313704454</v>
      </c>
    </row>
    <row r="88" customFormat="false" ht="15" hidden="false" customHeight="false" outlineLevel="0" collapsed="false">
      <c r="A88" s="413" t="s">
        <v>129</v>
      </c>
      <c r="B88" s="414" t="s">
        <v>300</v>
      </c>
      <c r="C88" s="415" t="n">
        <v>28805.14</v>
      </c>
      <c r="D88" s="416" t="n">
        <v>36006.43</v>
      </c>
      <c r="E88" s="417" t="n">
        <v>0.125</v>
      </c>
      <c r="F88" s="417" t="n">
        <v>0.594</v>
      </c>
      <c r="G88" s="417" t="n">
        <v>80.708</v>
      </c>
      <c r="H88" s="417" t="n">
        <v>10.699</v>
      </c>
      <c r="I88" s="417" t="n">
        <v>4.223</v>
      </c>
      <c r="J88" s="417" t="n">
        <v>0.728</v>
      </c>
      <c r="K88" s="417" t="n">
        <v>1.381</v>
      </c>
      <c r="L88" s="417" t="n">
        <v>0.387</v>
      </c>
      <c r="M88" s="417" t="n">
        <v>0.416</v>
      </c>
      <c r="N88" s="417" t="n">
        <v>0.739</v>
      </c>
      <c r="O88" s="76"/>
      <c r="P88" s="423" t="n">
        <f aca="false">SUM(E88:O88)</f>
        <v>100</v>
      </c>
      <c r="Q88" s="99" t="n">
        <f aca="false">IF($P88=0,"",$C88*E88/$P88)</f>
        <v>36.006425</v>
      </c>
      <c r="R88" s="100" t="n">
        <f aca="false">IF($P88=0,"",$C88*F88/$P88)</f>
        <v>171.1025316</v>
      </c>
      <c r="S88" s="100" t="n">
        <f aca="false">IF($P88=0,"",$C88*G88/$P88)</f>
        <v>23248.0523912</v>
      </c>
      <c r="T88" s="100" t="n">
        <f aca="false">IF($P88=0,"",$C88*H88/$P88)</f>
        <v>3081.8619286</v>
      </c>
      <c r="U88" s="100" t="n">
        <f aca="false">IF($P88=0,"",$C88*I88/$P88)</f>
        <v>1216.4410622</v>
      </c>
      <c r="V88" s="100" t="n">
        <f aca="false">IF($P88=0,"",$C88*J88/$P88)</f>
        <v>209.7014192</v>
      </c>
      <c r="W88" s="100" t="n">
        <f aca="false">IF($P88=0,"",$C88*K88/$P88)</f>
        <v>397.7989834</v>
      </c>
      <c r="X88" s="100" t="n">
        <f aca="false">IF($P88=0,"",$C88*L88/$P88)</f>
        <v>111.4758918</v>
      </c>
      <c r="Y88" s="100" t="n">
        <f aca="false">IF($P88=0,"",$C88*M88/$P88)</f>
        <v>119.8293824</v>
      </c>
      <c r="Z88" s="100" t="n">
        <f aca="false">IF($P88=0,"",$C88*N88/$P88)</f>
        <v>212.8699846</v>
      </c>
      <c r="AA88" s="100" t="n">
        <f aca="false">IF($P88=0,"",$C88*O88/$P88)</f>
        <v>0</v>
      </c>
      <c r="AB88" s="101" t="n">
        <f aca="false">SUM(Q88:AA88)</f>
        <v>28805.14</v>
      </c>
      <c r="AC88" s="424"/>
      <c r="AD88" s="425"/>
      <c r="AE88" s="100" t="n">
        <f aca="false">IF($P88=0,"",S88*AE$159/$BP88/1000)</f>
        <v>23488.8964417592</v>
      </c>
      <c r="AF88" s="100" t="n">
        <f aca="false">IF($P88=0,"",T88*AF$159/$BP88/1000)</f>
        <v>5456.24453727292</v>
      </c>
      <c r="AG88" s="100" t="n">
        <f aca="false">IF($P88=0,"",U88*AG$159/$BP88/1000)</f>
        <v>3061.86519395714</v>
      </c>
      <c r="AH88" s="100" t="n">
        <f aca="false">IF($P88=0,"",V88*AH$159/$BP88/1000)</f>
        <v>682.192626952682</v>
      </c>
      <c r="AI88" s="100" t="n">
        <f aca="false">IF($P88=0,"",W88*AI$159/$BP88/1000)</f>
        <v>1298.25615712664</v>
      </c>
      <c r="AJ88" s="100" t="n">
        <f aca="false">IF($P88=0,"",X88*AJ$159/$BP88/1000)</f>
        <v>446.182459965313</v>
      </c>
      <c r="AK88" s="100" t="n">
        <f aca="false">IF($P88=0,"",Y88*AK$159/$BP88/1000)</f>
        <v>480.555295207243</v>
      </c>
      <c r="AL88" s="100" t="n">
        <f aca="false">IF($P88=0,"",Z88*AL$159/$BP88/1000)</f>
        <v>1092.29523630398</v>
      </c>
      <c r="AM88" s="100" t="n">
        <f aca="false">IF($P88=0,"",AA88*AM$159/$BP88/1000)</f>
        <v>0</v>
      </c>
      <c r="AN88" s="100" t="n">
        <f aca="false">SUM(AC88:AM88)</f>
        <v>36006.4879485451</v>
      </c>
      <c r="AO88" s="100" t="n">
        <f aca="false">D88-AN88</f>
        <v>-0.0579485451016808</v>
      </c>
      <c r="AP88" s="426" t="n">
        <f aca="false">IF(D88=0,0,AO88/D88)</f>
        <v>-1.60939435266648E-006</v>
      </c>
      <c r="AQ88" s="427" t="n">
        <f aca="false">IF(AB88=0,0,AN88/AB88)*1000</f>
        <v>1250.00218532335</v>
      </c>
      <c r="AR88" s="428" t="n">
        <f aca="false">IF(C88=0,0,D88/C88)*1000</f>
        <v>1250.00017358013</v>
      </c>
      <c r="AS88" s="429" t="n">
        <f aca="false">IF($P88=0,"",Q88*1000/AS$159*$AD$159/14.696/$BP88/42)</f>
        <v>14.5990206890265</v>
      </c>
      <c r="AT88" s="100" t="n">
        <f aca="false">IF($P88=0,"",R88*1000/AT$159*$AD$159/14.696/$BP88/42)</f>
        <v>44.7225561603147</v>
      </c>
      <c r="AU88" s="100" t="n">
        <f aca="false">IF($P88=0,"",S88*1000/AU$159*$AD$159/14.696/$BP88/42)</f>
        <v>9363.58084114275</v>
      </c>
      <c r="AV88" s="100" t="n">
        <f aca="false">IF($P88=0,"",T88*1000/AV$159*$AD$159/14.696/$BP88/42)</f>
        <v>1958.13634410678</v>
      </c>
      <c r="AW88" s="100" t="n">
        <f aca="false">IF($P88=0,"",U88*1000/AW$159*$AD$159/14.696/$BP88/42)</f>
        <v>796.19437224937</v>
      </c>
      <c r="AX88" s="100" t="n">
        <f aca="false">IF($P88=0,"",V88*1000/AX$159*$AD$159/14.696/$BP88/42)</f>
        <v>163.033613610058</v>
      </c>
      <c r="AY88" s="100" t="n">
        <f aca="false">IF($P88=0,"",W88*1000/AY$159*$AD$159/14.696/$BP88/42)</f>
        <v>297.951045523856</v>
      </c>
      <c r="AZ88" s="100" t="n">
        <f aca="false">IF($P88=0,"",X88*1000/AZ$159*$AD$159/14.696/$BP88/42)</f>
        <v>96.8569008118048</v>
      </c>
      <c r="BA88" s="100" t="n">
        <f aca="false">IF($P88=0,"",Y88*1000/BA$159*$AD$159/14.696/$BP88/42)</f>
        <v>103.196405486841</v>
      </c>
      <c r="BB88" s="100" t="n">
        <f aca="false">IF($P88=0,"",Z88*1000/BB$159*$AD$159/14.696/$BP88/42)</f>
        <v>219.456917342379</v>
      </c>
      <c r="BC88" s="100" t="n">
        <f aca="false">IF($P88=0,"",AA88*1000/BC$159*$AD$159/14.696/$BP88/42)</f>
        <v>0</v>
      </c>
      <c r="BD88" s="430" t="n">
        <f aca="false">SUM(AS88:BC88)</f>
        <v>13057.7280171232</v>
      </c>
      <c r="BE88" s="424" t="n">
        <f aca="false">IF($P88=0,"",E88/$P88*BE$159)</f>
        <v>2.4375E-005</v>
      </c>
      <c r="BF88" s="425" t="n">
        <f aca="false">IF($P88=0,"",F88/$P88*BF$159)</f>
        <v>2.62548E-005</v>
      </c>
      <c r="BG88" s="425" t="n">
        <f aca="false">IF($P88=0,"",G88/$P88*BG$159)</f>
        <v>0.009362128</v>
      </c>
      <c r="BH88" s="425" t="n">
        <f aca="false">IF($P88=0,"",H88/$P88*BH$159)</f>
        <v>0.002546362</v>
      </c>
      <c r="BI88" s="425" t="n">
        <f aca="false">IF($P88=0,"",I88/$P88*BI$159)</f>
        <v>0.001465381</v>
      </c>
      <c r="BJ88" s="425" t="n">
        <f aca="false">IF($P88=0,"",J88/$P88*BJ$159)</f>
        <v>0.000321048</v>
      </c>
      <c r="BK88" s="425" t="n">
        <f aca="false">IF($P88=0,"",K88/$P88*BK$159)</f>
        <v>0.00064907</v>
      </c>
      <c r="BL88" s="425" t="n">
        <f aca="false">IF($P88=0,"",L88/$P88*BL$159)</f>
        <v>0.000222912</v>
      </c>
      <c r="BM88" s="425" t="n">
        <f aca="false">IF($P88=0,"",M88/$P88*BM$159)</f>
        <v>0.000252096</v>
      </c>
      <c r="BN88" s="425" t="n">
        <f aca="false">IF($P88=0,"",N88/$P88*BN$159)</f>
        <v>0.0006382743</v>
      </c>
      <c r="BO88" s="425" t="n">
        <f aca="false">IF($P88=0,"",O88/$P88*BO$159)</f>
        <v>0</v>
      </c>
      <c r="BP88" s="423" t="n">
        <f aca="false">1-AD$159*(SUM(BE88:BO88))^2</f>
        <v>0.996476748300874</v>
      </c>
    </row>
    <row r="89" customFormat="false" ht="15" hidden="false" customHeight="false" outlineLevel="0" collapsed="false">
      <c r="A89" s="413" t="s">
        <v>119</v>
      </c>
      <c r="B89" s="414" t="s">
        <v>301</v>
      </c>
      <c r="C89" s="415" t="n">
        <v>19006.73</v>
      </c>
      <c r="D89" s="416" t="n">
        <v>24062.52</v>
      </c>
      <c r="E89" s="417" t="n">
        <v>0.172</v>
      </c>
      <c r="F89" s="417" t="n">
        <v>0.803</v>
      </c>
      <c r="G89" s="417" t="n">
        <v>78.701</v>
      </c>
      <c r="H89" s="417" t="n">
        <v>11.447</v>
      </c>
      <c r="I89" s="417" t="n">
        <v>5.059</v>
      </c>
      <c r="J89" s="417" t="n">
        <v>0.769</v>
      </c>
      <c r="K89" s="417" t="n">
        <v>1.687</v>
      </c>
      <c r="L89" s="417" t="n">
        <v>0.402</v>
      </c>
      <c r="M89" s="417" t="n">
        <v>0.452</v>
      </c>
      <c r="N89" s="417" t="n">
        <v>0.508</v>
      </c>
      <c r="O89" s="76"/>
      <c r="P89" s="418" t="n">
        <f aca="false">SUM(E89:O89)</f>
        <v>100</v>
      </c>
      <c r="Q89" s="14" t="n">
        <f aca="false">IF($P89=0,"",$C89*E89/$P89)</f>
        <v>32.6915756</v>
      </c>
      <c r="R89" s="15" t="n">
        <f aca="false">IF($P89=0,"",$C89*F89/$P89)</f>
        <v>152.6240419</v>
      </c>
      <c r="S89" s="15" t="n">
        <f aca="false">IF($P89=0,"",$C89*G89/$P89)</f>
        <v>14958.4865773</v>
      </c>
      <c r="T89" s="15" t="n">
        <f aca="false">IF($P89=0,"",$C89*H89/$P89)</f>
        <v>2175.7003831</v>
      </c>
      <c r="U89" s="15" t="n">
        <f aca="false">IF($P89=0,"",$C89*I89/$P89)</f>
        <v>961.5504707</v>
      </c>
      <c r="V89" s="15" t="n">
        <f aca="false">IF($P89=0,"",$C89*J89/$P89)</f>
        <v>146.1617537</v>
      </c>
      <c r="W89" s="15" t="n">
        <f aca="false">IF($P89=0,"",$C89*K89/$P89)</f>
        <v>320.6435351</v>
      </c>
      <c r="X89" s="15" t="n">
        <f aca="false">IF($P89=0,"",$C89*L89/$P89)</f>
        <v>76.4070546</v>
      </c>
      <c r="Y89" s="15" t="n">
        <f aca="false">IF($P89=0,"",$C89*M89/$P89)</f>
        <v>85.9104196</v>
      </c>
      <c r="Z89" s="15" t="n">
        <f aca="false">IF($P89=0,"",$C89*N89/$P89)</f>
        <v>96.5541884</v>
      </c>
      <c r="AA89" s="15" t="n">
        <f aca="false">IF($P89=0,"",$C89*O89/$P89)</f>
        <v>0</v>
      </c>
      <c r="AB89" s="16" t="n">
        <f aca="false">SUM(Q89:AA89)</f>
        <v>19006.73</v>
      </c>
      <c r="AC89" s="419"/>
      <c r="AD89" s="420"/>
      <c r="AE89" s="15" t="n">
        <f aca="false">IF($P89=0,"",S89*AE$159/$BP89/1000)</f>
        <v>15115.1655912117</v>
      </c>
      <c r="AF89" s="15" t="n">
        <f aca="false">IF($P89=0,"",T89*AF$159/$BP89/1000)</f>
        <v>3852.37851740667</v>
      </c>
      <c r="AG89" s="15" t="n">
        <f aca="false">IF($P89=0,"",U89*AG$159/$BP89/1000)</f>
        <v>2420.56246619445</v>
      </c>
      <c r="AH89" s="15" t="n">
        <f aca="false">IF($P89=0,"",V89*AH$159/$BP89/1000)</f>
        <v>475.541707255037</v>
      </c>
      <c r="AI89" s="15" t="n">
        <f aca="false">IF($P89=0,"",W89*AI$159/$BP89/1000)</f>
        <v>1046.5703477513</v>
      </c>
      <c r="AJ89" s="15" t="n">
        <f aca="false">IF($P89=0,"",X89*AJ$159/$BP89/1000)</f>
        <v>305.854033697192</v>
      </c>
      <c r="AK89" s="15" t="n">
        <f aca="false">IF($P89=0,"",Y89*AK$159/$BP89/1000)</f>
        <v>344.568126943911</v>
      </c>
      <c r="AL89" s="15" t="n">
        <f aca="false">IF($P89=0,"",Z89*AL$159/$BP89/1000)</f>
        <v>495.502607631188</v>
      </c>
      <c r="AM89" s="15" t="n">
        <f aca="false">IF($P89=0,"",AA89*AM$159/$BP89/1000)</f>
        <v>0</v>
      </c>
      <c r="AN89" s="15" t="n">
        <f aca="false">SUM(AC89:AM89)</f>
        <v>24056.1433980915</v>
      </c>
      <c r="AO89" s="15" t="n">
        <f aca="false">D89-AN89</f>
        <v>6.37660190853421</v>
      </c>
      <c r="AP89" s="421" t="n">
        <f aca="false">IF(D89=0,0,AO89/D89)</f>
        <v>0.000265001417496347</v>
      </c>
      <c r="AQ89" s="75" t="n">
        <f aca="false">IF(AB89=0,0,AN89/AB89)*1000</f>
        <v>1265.66449873763</v>
      </c>
      <c r="AR89" s="340" t="n">
        <f aca="false">IF(C89=0,0,D89/C89)*1000</f>
        <v>1265.99999052967</v>
      </c>
      <c r="AS89" s="422" t="n">
        <f aca="false">IF($P89=0,"",Q89*1000/AS$159*$AD$159/14.696/$BP89/42)</f>
        <v>13.2564973324305</v>
      </c>
      <c r="AT89" s="15" t="n">
        <f aca="false">IF($P89=0,"",R89*1000/AT$159*$AD$159/14.696/$BP89/42)</f>
        <v>39.8971937000473</v>
      </c>
      <c r="AU89" s="15" t="n">
        <f aca="false">IF($P89=0,"",S89*1000/AU$159*$AD$159/14.696/$BP89/42)</f>
        <v>6025.48848097225</v>
      </c>
      <c r="AV89" s="15" t="n">
        <f aca="false">IF($P89=0,"",T89*1000/AV$159*$AD$159/14.696/$BP89/42)</f>
        <v>1382.54111131913</v>
      </c>
      <c r="AW89" s="15" t="n">
        <f aca="false">IF($P89=0,"",U89*1000/AW$159*$AD$159/14.696/$BP89/42)</f>
        <v>629.432744807201</v>
      </c>
      <c r="AX89" s="15" t="n">
        <f aca="false">IF($P89=0,"",V89*1000/AX$159*$AD$159/14.696/$BP89/42)</f>
        <v>113.64720152782</v>
      </c>
      <c r="AY89" s="15" t="n">
        <f aca="false">IF($P89=0,"",W89*1000/AY$159*$AD$159/14.696/$BP89/42)</f>
        <v>240.188908494696</v>
      </c>
      <c r="AZ89" s="15" t="n">
        <f aca="false">IF($P89=0,"",X89*1000/AZ$159*$AD$159/14.696/$BP89/42)</f>
        <v>66.3945279404356</v>
      </c>
      <c r="BA89" s="15" t="n">
        <f aca="false">IF($P89=0,"",Y89*1000/BA$159*$AD$159/14.696/$BP89/42)</f>
        <v>73.9939659401951</v>
      </c>
      <c r="BB89" s="15" t="n">
        <f aca="false">IF($P89=0,"",Z89*1000/BB$159*$AD$159/14.696/$BP89/42)</f>
        <v>99.5531896429409</v>
      </c>
      <c r="BC89" s="15" t="n">
        <f aca="false">IF($P89=0,"",AA89*1000/BC$159*$AD$159/14.696/$BP89/42)</f>
        <v>0</v>
      </c>
      <c r="BD89" s="55" t="n">
        <f aca="false">SUM(AS89:BC89)</f>
        <v>8684.39382167715</v>
      </c>
      <c r="BE89" s="419" t="n">
        <f aca="false">IF($P89=0,"",E89/$P89*BE$159)</f>
        <v>3.354E-005</v>
      </c>
      <c r="BF89" s="420" t="n">
        <f aca="false">IF($P89=0,"",F89/$P89*BF$159)</f>
        <v>3.54926E-005</v>
      </c>
      <c r="BG89" s="420" t="n">
        <f aca="false">IF($P89=0,"",G89/$P89*BG$159)</f>
        <v>0.009129316</v>
      </c>
      <c r="BH89" s="420" t="n">
        <f aca="false">IF($P89=0,"",H89/$P89*BH$159)</f>
        <v>0.002724386</v>
      </c>
      <c r="BI89" s="420" t="n">
        <f aca="false">IF($P89=0,"",I89/$P89*BI$159)</f>
        <v>0.001755473</v>
      </c>
      <c r="BJ89" s="420" t="n">
        <f aca="false">IF($P89=0,"",J89/$P89*BJ$159)</f>
        <v>0.000339129</v>
      </c>
      <c r="BK89" s="420" t="n">
        <f aca="false">IF($P89=0,"",K89/$P89*BK$159)</f>
        <v>0.00079289</v>
      </c>
      <c r="BL89" s="420" t="n">
        <f aca="false">IF($P89=0,"",L89/$P89*BL$159)</f>
        <v>0.000231552</v>
      </c>
      <c r="BM89" s="420" t="n">
        <f aca="false">IF($P89=0,"",M89/$P89*BM$159)</f>
        <v>0.000273912</v>
      </c>
      <c r="BN89" s="420" t="n">
        <f aca="false">IF($P89=0,"",N89/$P89*BN$159)</f>
        <v>0.0004387596</v>
      </c>
      <c r="BO89" s="420" t="n">
        <f aca="false">IF($P89=0,"",O89/$P89*BO$159)</f>
        <v>0</v>
      </c>
      <c r="BP89" s="418" t="n">
        <f aca="false">1-AD$159*(SUM(BE89:BO89))^2</f>
        <v>0.996363830428822</v>
      </c>
    </row>
    <row r="90" customFormat="false" ht="15" hidden="false" customHeight="false" outlineLevel="0" collapsed="false">
      <c r="A90" s="413" t="s">
        <v>120</v>
      </c>
      <c r="B90" s="414" t="s">
        <v>302</v>
      </c>
      <c r="C90" s="415" t="n">
        <v>0</v>
      </c>
      <c r="D90" s="416" t="n">
        <v>0</v>
      </c>
      <c r="E90" s="417" t="n">
        <v>0.089</v>
      </c>
      <c r="F90" s="417" t="n">
        <v>0.754</v>
      </c>
      <c r="G90" s="417" t="n">
        <v>81.445</v>
      </c>
      <c r="H90" s="417" t="n">
        <v>10.582</v>
      </c>
      <c r="I90" s="417" t="n">
        <v>3.952</v>
      </c>
      <c r="J90" s="417" t="n">
        <v>0.612</v>
      </c>
      <c r="K90" s="417" t="n">
        <v>1.202</v>
      </c>
      <c r="L90" s="417" t="n">
        <v>0.318</v>
      </c>
      <c r="M90" s="417" t="n">
        <v>0.355</v>
      </c>
      <c r="N90" s="417" t="n">
        <v>0.691</v>
      </c>
      <c r="O90" s="76"/>
      <c r="P90" s="423" t="n">
        <f aca="false">SUM(E90:O90)</f>
        <v>100</v>
      </c>
      <c r="Q90" s="99" t="n">
        <f aca="false">IF($P90=0,"",$C90*E90/$P90)</f>
        <v>0</v>
      </c>
      <c r="R90" s="100" t="n">
        <f aca="false">IF($P90=0,"",$C90*F90/$P90)</f>
        <v>0</v>
      </c>
      <c r="S90" s="100" t="n">
        <f aca="false">IF($P90=0,"",$C90*G90/$P90)</f>
        <v>0</v>
      </c>
      <c r="T90" s="100" t="n">
        <f aca="false">IF($P90=0,"",$C90*H90/$P90)</f>
        <v>0</v>
      </c>
      <c r="U90" s="100" t="n">
        <f aca="false">IF($P90=0,"",$C90*I90/$P90)</f>
        <v>0</v>
      </c>
      <c r="V90" s="100" t="n">
        <f aca="false">IF($P90=0,"",$C90*J90/$P90)</f>
        <v>0</v>
      </c>
      <c r="W90" s="100" t="n">
        <f aca="false">IF($P90=0,"",$C90*K90/$P90)</f>
        <v>0</v>
      </c>
      <c r="X90" s="100" t="n">
        <f aca="false">IF($P90=0,"",$C90*L90/$P90)</f>
        <v>0</v>
      </c>
      <c r="Y90" s="100" t="n">
        <f aca="false">IF($P90=0,"",$C90*M90/$P90)</f>
        <v>0</v>
      </c>
      <c r="Z90" s="100" t="n">
        <f aca="false">IF($P90=0,"",$C90*N90/$P90)</f>
        <v>0</v>
      </c>
      <c r="AA90" s="100" t="n">
        <f aca="false">IF($P90=0,"",$C90*O90/$P90)</f>
        <v>0</v>
      </c>
      <c r="AB90" s="101" t="n">
        <f aca="false">SUM(Q90:AA90)</f>
        <v>0</v>
      </c>
      <c r="AC90" s="424"/>
      <c r="AD90" s="425"/>
      <c r="AE90" s="100" t="n">
        <f aca="false">IF($P90=0,"",S90*AE$159/$BP90/1000)</f>
        <v>0</v>
      </c>
      <c r="AF90" s="100" t="n">
        <f aca="false">IF($P90=0,"",T90*AF$159/$BP90/1000)</f>
        <v>0</v>
      </c>
      <c r="AG90" s="100" t="n">
        <f aca="false">IF($P90=0,"",U90*AG$159/$BP90/1000)</f>
        <v>0</v>
      </c>
      <c r="AH90" s="100" t="n">
        <f aca="false">IF($P90=0,"",V90*AH$159/$BP90/1000)</f>
        <v>0</v>
      </c>
      <c r="AI90" s="100" t="n">
        <f aca="false">IF($P90=0,"",W90*AI$159/$BP90/1000)</f>
        <v>0</v>
      </c>
      <c r="AJ90" s="100" t="n">
        <f aca="false">IF($P90=0,"",X90*AJ$159/$BP90/1000)</f>
        <v>0</v>
      </c>
      <c r="AK90" s="100" t="n">
        <f aca="false">IF($P90=0,"",Y90*AK$159/$BP90/1000)</f>
        <v>0</v>
      </c>
      <c r="AL90" s="100" t="n">
        <f aca="false">IF($P90=0,"",Z90*AL$159/$BP90/1000)</f>
        <v>0</v>
      </c>
      <c r="AM90" s="100" t="n">
        <f aca="false">IF($P90=0,"",AA90*AM$159/$BP90/1000)</f>
        <v>0</v>
      </c>
      <c r="AN90" s="100" t="n">
        <f aca="false">SUM(AC90:AM90)</f>
        <v>0</v>
      </c>
      <c r="AO90" s="100" t="n">
        <f aca="false">D90-AN90</f>
        <v>0</v>
      </c>
      <c r="AP90" s="426" t="n">
        <f aca="false">IF(D90=0,0,AO90/D90)</f>
        <v>0</v>
      </c>
      <c r="AQ90" s="427" t="n">
        <f aca="false">IF(AB90=0,0,AN90/AB90)*1000</f>
        <v>0</v>
      </c>
      <c r="AR90" s="428" t="n">
        <f aca="false">IF(C90=0,0,D90/C90)*1000</f>
        <v>0</v>
      </c>
      <c r="AS90" s="429" t="n">
        <f aca="false">IF($P90=0,"",Q90*1000/AS$159*$AD$159/14.696/$BP90/42)</f>
        <v>0</v>
      </c>
      <c r="AT90" s="100" t="n">
        <f aca="false">IF($P90=0,"",R90*1000/AT$159*$AD$159/14.696/$BP90/42)</f>
        <v>0</v>
      </c>
      <c r="AU90" s="100" t="n">
        <f aca="false">IF($P90=0,"",S90*1000/AU$159*$AD$159/14.696/$BP90/42)</f>
        <v>0</v>
      </c>
      <c r="AV90" s="100" t="n">
        <f aca="false">IF($P90=0,"",T90*1000/AV$159*$AD$159/14.696/$BP90/42)</f>
        <v>0</v>
      </c>
      <c r="AW90" s="100" t="n">
        <f aca="false">IF($P90=0,"",U90*1000/AW$159*$AD$159/14.696/$BP90/42)</f>
        <v>0</v>
      </c>
      <c r="AX90" s="100" t="n">
        <f aca="false">IF($P90=0,"",V90*1000/AX$159*$AD$159/14.696/$BP90/42)</f>
        <v>0</v>
      </c>
      <c r="AY90" s="100" t="n">
        <f aca="false">IF($P90=0,"",W90*1000/AY$159*$AD$159/14.696/$BP90/42)</f>
        <v>0</v>
      </c>
      <c r="AZ90" s="100" t="n">
        <f aca="false">IF($P90=0,"",X90*1000/AZ$159*$AD$159/14.696/$BP90/42)</f>
        <v>0</v>
      </c>
      <c r="BA90" s="100" t="n">
        <f aca="false">IF($P90=0,"",Y90*1000/BA$159*$AD$159/14.696/$BP90/42)</f>
        <v>0</v>
      </c>
      <c r="BB90" s="100" t="n">
        <f aca="false">IF($P90=0,"",Z90*1000/BB$159*$AD$159/14.696/$BP90/42)</f>
        <v>0</v>
      </c>
      <c r="BC90" s="100" t="n">
        <f aca="false">IF($P90=0,"",AA90*1000/BC$159*$AD$159/14.696/$BP90/42)</f>
        <v>0</v>
      </c>
      <c r="BD90" s="430" t="n">
        <f aca="false">SUM(AS90:BC90)</f>
        <v>0</v>
      </c>
      <c r="BE90" s="424" t="n">
        <f aca="false">IF($P90=0,"",E90/$P90*BE$159)</f>
        <v>1.7355E-005</v>
      </c>
      <c r="BF90" s="425" t="n">
        <f aca="false">IF($P90=0,"",F90/$P90*BF$159)</f>
        <v>3.33268E-005</v>
      </c>
      <c r="BG90" s="425" t="n">
        <f aca="false">IF($P90=0,"",G90/$P90*BG$159)</f>
        <v>0.00944762</v>
      </c>
      <c r="BH90" s="425" t="n">
        <f aca="false">IF($P90=0,"",H90/$P90*BH$159)</f>
        <v>0.002518516</v>
      </c>
      <c r="BI90" s="425" t="n">
        <f aca="false">IF($P90=0,"",I90/$P90*BI$159)</f>
        <v>0.001371344</v>
      </c>
      <c r="BJ90" s="425" t="n">
        <f aca="false">IF($P90=0,"",J90/$P90*BJ$159)</f>
        <v>0.000269892</v>
      </c>
      <c r="BK90" s="425" t="n">
        <f aca="false">IF($P90=0,"",K90/$P90*BK$159)</f>
        <v>0.00056494</v>
      </c>
      <c r="BL90" s="425" t="n">
        <f aca="false">IF($P90=0,"",L90/$P90*BL$159)</f>
        <v>0.000183168</v>
      </c>
      <c r="BM90" s="425" t="n">
        <f aca="false">IF($P90=0,"",M90/$P90*BM$159)</f>
        <v>0.00021513</v>
      </c>
      <c r="BN90" s="425" t="n">
        <f aca="false">IF($P90=0,"",N90/$P90*BN$159)</f>
        <v>0.0005968167</v>
      </c>
      <c r="BO90" s="425" t="n">
        <f aca="false">IF($P90=0,"",O90/$P90*BO$159)</f>
        <v>0</v>
      </c>
      <c r="BP90" s="423" t="n">
        <f aca="false">1-AD$159*(SUM(BE90:BO90))^2</f>
        <v>0.996607194394445</v>
      </c>
    </row>
    <row r="91" customFormat="false" ht="15" hidden="false" customHeight="false" outlineLevel="0" collapsed="false">
      <c r="A91" s="413" t="s">
        <v>121</v>
      </c>
      <c r="B91" s="414" t="s">
        <v>303</v>
      </c>
      <c r="C91" s="415" t="n">
        <v>4687.64</v>
      </c>
      <c r="D91" s="416" t="n">
        <v>5770.49</v>
      </c>
      <c r="E91" s="417" t="n">
        <v>0.089</v>
      </c>
      <c r="F91" s="417" t="n">
        <v>0.754</v>
      </c>
      <c r="G91" s="417" t="n">
        <v>81.445</v>
      </c>
      <c r="H91" s="417" t="n">
        <v>10.582</v>
      </c>
      <c r="I91" s="417" t="n">
        <v>3.952</v>
      </c>
      <c r="J91" s="417" t="n">
        <v>0.612</v>
      </c>
      <c r="K91" s="417" t="n">
        <v>1.202</v>
      </c>
      <c r="L91" s="417" t="n">
        <v>0.318</v>
      </c>
      <c r="M91" s="417" t="n">
        <v>0.355</v>
      </c>
      <c r="N91" s="417" t="n">
        <v>0.691</v>
      </c>
      <c r="O91" s="76"/>
      <c r="P91" s="418" t="n">
        <f aca="false">SUM(E91:O91)</f>
        <v>100</v>
      </c>
      <c r="Q91" s="14" t="n">
        <f aca="false">IF($P91=0,"",$C91*E91/$P91)</f>
        <v>4.1719996</v>
      </c>
      <c r="R91" s="15" t="n">
        <f aca="false">IF($P91=0,"",$C91*F91/$P91)</f>
        <v>35.3448056</v>
      </c>
      <c r="S91" s="15" t="n">
        <f aca="false">IF($P91=0,"",$C91*G91/$P91)</f>
        <v>3817.848398</v>
      </c>
      <c r="T91" s="15" t="n">
        <f aca="false">IF($P91=0,"",$C91*H91/$P91)</f>
        <v>496.0460648</v>
      </c>
      <c r="U91" s="15" t="n">
        <f aca="false">IF($P91=0,"",$C91*I91/$P91)</f>
        <v>185.2555328</v>
      </c>
      <c r="V91" s="15" t="n">
        <f aca="false">IF($P91=0,"",$C91*J91/$P91)</f>
        <v>28.6883568</v>
      </c>
      <c r="W91" s="15" t="n">
        <f aca="false">IF($P91=0,"",$C91*K91/$P91)</f>
        <v>56.3454328</v>
      </c>
      <c r="X91" s="15" t="n">
        <f aca="false">IF($P91=0,"",$C91*L91/$P91)</f>
        <v>14.9066952</v>
      </c>
      <c r="Y91" s="15" t="n">
        <f aca="false">IF($P91=0,"",$C91*M91/$P91)</f>
        <v>16.641122</v>
      </c>
      <c r="Z91" s="15" t="n">
        <f aca="false">IF($P91=0,"",$C91*N91/$P91)</f>
        <v>32.3915924</v>
      </c>
      <c r="AA91" s="15" t="n">
        <f aca="false">IF($P91=0,"",$C91*O91/$P91)</f>
        <v>0</v>
      </c>
      <c r="AB91" s="16" t="n">
        <f aca="false">SUM(Q91:AA91)</f>
        <v>4687.64</v>
      </c>
      <c r="AC91" s="419"/>
      <c r="AD91" s="420"/>
      <c r="AE91" s="15" t="n">
        <f aca="false">IF($P91=0,"",S91*AE$159/$BP91/1000)</f>
        <v>3856.89546365553</v>
      </c>
      <c r="AF91" s="15" t="n">
        <f aca="false">IF($P91=0,"",T91*AF$159/$BP91/1000)</f>
        <v>878.103702684888</v>
      </c>
      <c r="AG91" s="15" t="n">
        <f aca="false">IF($P91=0,"",U91*AG$159/$BP91/1000)</f>
        <v>466.239788336361</v>
      </c>
      <c r="AH91" s="15" t="n">
        <f aca="false">IF($P91=0,"",V91*AH$159/$BP91/1000)</f>
        <v>93.3156480924943</v>
      </c>
      <c r="AI91" s="15" t="n">
        <f aca="false">IF($P91=0,"",W91*AI$159/$BP91/1000)</f>
        <v>183.864799531394</v>
      </c>
      <c r="AJ91" s="15" t="n">
        <f aca="false">IF($P91=0,"",X91*AJ$159/$BP91/1000)</f>
        <v>59.6562652468159</v>
      </c>
      <c r="AK91" s="15" t="n">
        <f aca="false">IF($P91=0,"",Y91*AK$159/$BP91/1000)</f>
        <v>66.7276456666634</v>
      </c>
      <c r="AL91" s="15" t="n">
        <f aca="false">IF($P91=0,"",Z91*AL$159/$BP91/1000)</f>
        <v>166.188535655029</v>
      </c>
      <c r="AM91" s="15" t="n">
        <f aca="false">IF($P91=0,"",AA91*AM$159/$BP91/1000)</f>
        <v>0</v>
      </c>
      <c r="AN91" s="15" t="n">
        <f aca="false">SUM(AC91:AM91)</f>
        <v>5770.99184886918</v>
      </c>
      <c r="AO91" s="15" t="n">
        <f aca="false">D91-AN91</f>
        <v>-0.501848869177593</v>
      </c>
      <c r="AP91" s="421" t="n">
        <f aca="false">IF(D91=0,0,AO91/D91)</f>
        <v>-8.69681550748018E-005</v>
      </c>
      <c r="AQ91" s="75" t="n">
        <f aca="false">IF(AB91=0,0,AN91/AB91)*1000</f>
        <v>1231.10815866175</v>
      </c>
      <c r="AR91" s="340" t="n">
        <f aca="false">IF(C91=0,0,D91/C91)*1000</f>
        <v>1231.00110076712</v>
      </c>
      <c r="AS91" s="422" t="n">
        <f aca="false">IF($P91=0,"",Q91*1000/AS$159*$AD$159/14.696/$BP91/42)</f>
        <v>1.69134081855419</v>
      </c>
      <c r="AT91" s="15" t="n">
        <f aca="false">IF($P91=0,"",R91*1000/AT$159*$AD$159/14.696/$BP91/42)</f>
        <v>9.23716989585649</v>
      </c>
      <c r="AU91" s="15" t="n">
        <f aca="false">IF($P91=0,"",S91*1000/AU$159*$AD$159/14.696/$BP91/42)</f>
        <v>1537.50741586864</v>
      </c>
      <c r="AV91" s="15" t="n">
        <f aca="false">IF($P91=0,"",T91*1000/AV$159*$AD$159/14.696/$BP91/42)</f>
        <v>315.13374490019</v>
      </c>
      <c r="AW91" s="15" t="n">
        <f aca="false">IF($P91=0,"",U91*1000/AW$159*$AD$159/14.696/$BP91/42)</f>
        <v>121.239006970254</v>
      </c>
      <c r="AX91" s="15" t="n">
        <f aca="false">IF($P91=0,"",V91*1000/AX$159*$AD$159/14.696/$BP91/42)</f>
        <v>22.3010139860967</v>
      </c>
      <c r="AY91" s="15" t="n">
        <f aca="false">IF($P91=0,"",W91*1000/AY$159*$AD$159/14.696/$BP91/42)</f>
        <v>42.197149579988</v>
      </c>
      <c r="AZ91" s="15" t="n">
        <f aca="false">IF($P91=0,"",X91*1000/AZ$159*$AD$159/14.696/$BP91/42)</f>
        <v>12.9501302365466</v>
      </c>
      <c r="BA91" s="15" t="n">
        <f aca="false">IF($P91=0,"",Y91*1000/BA$159*$AD$159/14.696/$BP91/42)</f>
        <v>14.3293669804004</v>
      </c>
      <c r="BB91" s="15" t="n">
        <f aca="false">IF($P91=0,"",Z91*1000/BB$159*$AD$159/14.696/$BP91/42)</f>
        <v>33.38952924111</v>
      </c>
      <c r="BC91" s="15" t="n">
        <f aca="false">IF($P91=0,"",AA91*1000/BC$159*$AD$159/14.696/$BP91/42)</f>
        <v>0</v>
      </c>
      <c r="BD91" s="55" t="n">
        <f aca="false">SUM(AS91:BC91)</f>
        <v>2109.97586847764</v>
      </c>
      <c r="BE91" s="419" t="n">
        <f aca="false">IF($P91=0,"",E91/$P91*BE$159)</f>
        <v>1.7355E-005</v>
      </c>
      <c r="BF91" s="420" t="n">
        <f aca="false">IF($P91=0,"",F91/$P91*BF$159)</f>
        <v>3.33268E-005</v>
      </c>
      <c r="BG91" s="420" t="n">
        <f aca="false">IF($P91=0,"",G91/$P91*BG$159)</f>
        <v>0.00944762</v>
      </c>
      <c r="BH91" s="420" t="n">
        <f aca="false">IF($P91=0,"",H91/$P91*BH$159)</f>
        <v>0.002518516</v>
      </c>
      <c r="BI91" s="420" t="n">
        <f aca="false">IF($P91=0,"",I91/$P91*BI$159)</f>
        <v>0.001371344</v>
      </c>
      <c r="BJ91" s="420" t="n">
        <f aca="false">IF($P91=0,"",J91/$P91*BJ$159)</f>
        <v>0.000269892</v>
      </c>
      <c r="BK91" s="420" t="n">
        <f aca="false">IF($P91=0,"",K91/$P91*BK$159)</f>
        <v>0.00056494</v>
      </c>
      <c r="BL91" s="420" t="n">
        <f aca="false">IF($P91=0,"",L91/$P91*BL$159)</f>
        <v>0.000183168</v>
      </c>
      <c r="BM91" s="420" t="n">
        <f aca="false">IF($P91=0,"",M91/$P91*BM$159)</f>
        <v>0.00021513</v>
      </c>
      <c r="BN91" s="420" t="n">
        <f aca="false">IF($P91=0,"",N91/$P91*BN$159)</f>
        <v>0.0005968167</v>
      </c>
      <c r="BO91" s="420" t="n">
        <f aca="false">IF($P91=0,"",O91/$P91*BO$159)</f>
        <v>0</v>
      </c>
      <c r="BP91" s="418" t="n">
        <f aca="false">1-AD$159*(SUM(BE91:BO91))^2</f>
        <v>0.996607194394445</v>
      </c>
    </row>
    <row r="92" customFormat="false" ht="15" hidden="false" customHeight="false" outlineLevel="0" collapsed="false">
      <c r="A92" s="413" t="s">
        <v>122</v>
      </c>
      <c r="B92" s="414" t="s">
        <v>304</v>
      </c>
      <c r="C92" s="415" t="n">
        <v>17944.11</v>
      </c>
      <c r="D92" s="416" t="n">
        <v>23165.84</v>
      </c>
      <c r="E92" s="417" t="n">
        <v>0.239</v>
      </c>
      <c r="F92" s="417" t="n">
        <v>1.021</v>
      </c>
      <c r="G92" s="417" t="n">
        <v>77.21</v>
      </c>
      <c r="H92" s="417" t="n">
        <v>11.301</v>
      </c>
      <c r="I92" s="417" t="n">
        <v>5.667</v>
      </c>
      <c r="J92" s="417" t="n">
        <v>0.891</v>
      </c>
      <c r="K92" s="417" t="n">
        <v>2.046</v>
      </c>
      <c r="L92" s="417" t="n">
        <v>0.493</v>
      </c>
      <c r="M92" s="417" t="n">
        <v>0.537</v>
      </c>
      <c r="N92" s="417" t="n">
        <v>0.595</v>
      </c>
      <c r="O92" s="76"/>
      <c r="P92" s="423" t="n">
        <f aca="false">SUM(E92:O92)</f>
        <v>100</v>
      </c>
      <c r="Q92" s="99" t="n">
        <f aca="false">IF($P92=0,"",$C92*E92/$P92)</f>
        <v>42.8864229</v>
      </c>
      <c r="R92" s="100" t="n">
        <f aca="false">IF($P92=0,"",$C92*F92/$P92)</f>
        <v>183.2093631</v>
      </c>
      <c r="S92" s="100" t="n">
        <f aca="false">IF($P92=0,"",$C92*G92/$P92)</f>
        <v>13854.647331</v>
      </c>
      <c r="T92" s="100" t="n">
        <f aca="false">IF($P92=0,"",$C92*H92/$P92)</f>
        <v>2027.8638711</v>
      </c>
      <c r="U92" s="100" t="n">
        <f aca="false">IF($P92=0,"",$C92*I92/$P92)</f>
        <v>1016.8927137</v>
      </c>
      <c r="V92" s="100" t="n">
        <f aca="false">IF($P92=0,"",$C92*J92/$P92)</f>
        <v>159.8820201</v>
      </c>
      <c r="W92" s="100" t="n">
        <f aca="false">IF($P92=0,"",$C92*K92/$P92)</f>
        <v>367.1364906</v>
      </c>
      <c r="X92" s="100" t="n">
        <f aca="false">IF($P92=0,"",$C92*L92/$P92)</f>
        <v>88.4644623</v>
      </c>
      <c r="Y92" s="100" t="n">
        <f aca="false">IF($P92=0,"",$C92*M92/$P92)</f>
        <v>96.3598707</v>
      </c>
      <c r="Z92" s="100" t="n">
        <f aca="false">IF($P92=0,"",$C92*N92/$P92)</f>
        <v>106.7674545</v>
      </c>
      <c r="AA92" s="100" t="n">
        <f aca="false">IF($P92=0,"",$C92*O92/$P92)</f>
        <v>0</v>
      </c>
      <c r="AB92" s="101" t="n">
        <f aca="false">SUM(Q92:AA92)</f>
        <v>17944.11</v>
      </c>
      <c r="AC92" s="424"/>
      <c r="AD92" s="425"/>
      <c r="AE92" s="100" t="n">
        <f aca="false">IF($P92=0,"",S92*AE$159/$BP92/1000)</f>
        <v>14002.5758612269</v>
      </c>
      <c r="AF92" s="100" t="n">
        <f aca="false">IF($P92=0,"",T92*AF$159/$BP92/1000)</f>
        <v>3591.33458243289</v>
      </c>
      <c r="AG92" s="100" t="n">
        <f aca="false">IF($P92=0,"",U92*AG$159/$BP92/1000)</f>
        <v>2560.39252745439</v>
      </c>
      <c r="AH92" s="100" t="n">
        <f aca="false">IF($P92=0,"",V92*AH$159/$BP92/1000)</f>
        <v>520.285472861491</v>
      </c>
      <c r="AI92" s="100" t="n">
        <f aca="false">IF($P92=0,"",W92*AI$159/$BP92/1000)</f>
        <v>1198.56252777929</v>
      </c>
      <c r="AJ92" s="100" t="n">
        <f aca="false">IF($P92=0,"",X92*AJ$159/$BP92/1000)</f>
        <v>354.190412943625</v>
      </c>
      <c r="AK92" s="100" t="n">
        <f aca="false">IF($P92=0,"",Y92*AK$159/$BP92/1000)</f>
        <v>386.556229112221</v>
      </c>
      <c r="AL92" s="100" t="n">
        <f aca="false">IF($P92=0,"",Z92*AL$159/$BP92/1000)</f>
        <v>548.025694178782</v>
      </c>
      <c r="AM92" s="100" t="n">
        <f aca="false">IF($P92=0,"",AA92*AM$159/$BP92/1000)</f>
        <v>0</v>
      </c>
      <c r="AN92" s="100" t="n">
        <f aca="false">SUM(AC92:AM92)</f>
        <v>23161.9233079896</v>
      </c>
      <c r="AO92" s="100" t="n">
        <f aca="false">D92-AN92</f>
        <v>3.91669201042532</v>
      </c>
      <c r="AP92" s="426" t="n">
        <f aca="false">IF(D92=0,0,AO92/D92)</f>
        <v>0.000169071875244987</v>
      </c>
      <c r="AQ92" s="427" t="n">
        <f aca="false">IF(AB92=0,0,AN92/AB92)*1000</f>
        <v>1290.78139333684</v>
      </c>
      <c r="AR92" s="428" t="n">
        <f aca="false">IF(C92=0,0,D92/C92)*1000</f>
        <v>1290.99966507116</v>
      </c>
      <c r="AS92" s="429" t="n">
        <f aca="false">IF($P92=0,"",Q92*1000/AS$159*$AD$159/14.696/$BP92/42)</f>
        <v>17.394020030803</v>
      </c>
      <c r="AT92" s="100" t="n">
        <f aca="false">IF($P92=0,"",R92*1000/AT$159*$AD$159/14.696/$BP92/42)</f>
        <v>47.9020686817675</v>
      </c>
      <c r="AU92" s="100" t="n">
        <f aca="false">IF($P92=0,"",S92*1000/AU$159*$AD$159/14.696/$BP92/42)</f>
        <v>5581.96726636053</v>
      </c>
      <c r="AV92" s="100" t="n">
        <f aca="false">IF($P92=0,"",T92*1000/AV$159*$AD$159/14.696/$BP92/42)</f>
        <v>1288.85769720728</v>
      </c>
      <c r="AW92" s="100" t="n">
        <f aca="false">IF($P92=0,"",U92*1000/AW$159*$AD$159/14.696/$BP92/42)</f>
        <v>665.79355783913</v>
      </c>
      <c r="AX92" s="100" t="n">
        <f aca="false">IF($P92=0,"",V92*1000/AX$159*$AD$159/14.696/$BP92/42)</f>
        <v>124.340277801492</v>
      </c>
      <c r="AY92" s="100" t="n">
        <f aca="false">IF($P92=0,"",W92*1000/AY$159*$AD$159/14.696/$BP92/42)</f>
        <v>275.07126102751</v>
      </c>
      <c r="AZ92" s="100" t="n">
        <f aca="false">IF($P92=0,"",X92*1000/AZ$159*$AD$159/14.696/$BP92/42)</f>
        <v>76.8873471575728</v>
      </c>
      <c r="BA92" s="100" t="n">
        <f aca="false">IF($P92=0,"",Y92*1000/BA$159*$AD$159/14.696/$BP92/42)</f>
        <v>83.0106623749211</v>
      </c>
      <c r="BB92" s="100" t="n">
        <f aca="false">IF($P92=0,"",Z92*1000/BB$159*$AD$159/14.696/$BP92/42)</f>
        <v>110.105789599382</v>
      </c>
      <c r="BC92" s="100" t="n">
        <f aca="false">IF($P92=0,"",AA92*1000/BC$159*$AD$159/14.696/$BP92/42)</f>
        <v>0</v>
      </c>
      <c r="BD92" s="430" t="n">
        <f aca="false">SUM(AS92:BC92)</f>
        <v>8271.32994808039</v>
      </c>
      <c r="BE92" s="424" t="n">
        <f aca="false">IF($P92=0,"",E92/$P92*BE$159)</f>
        <v>4.6605E-005</v>
      </c>
      <c r="BF92" s="425" t="n">
        <f aca="false">IF($P92=0,"",F92/$P92*BF$159)</f>
        <v>4.51282E-005</v>
      </c>
      <c r="BG92" s="425" t="n">
        <f aca="false">IF($P92=0,"",G92/$P92*BG$159)</f>
        <v>0.00895636</v>
      </c>
      <c r="BH92" s="425" t="n">
        <f aca="false">IF($P92=0,"",H92/$P92*BH$159)</f>
        <v>0.002689638</v>
      </c>
      <c r="BI92" s="425" t="n">
        <f aca="false">IF($P92=0,"",I92/$P92*BI$159)</f>
        <v>0.001966449</v>
      </c>
      <c r="BJ92" s="425" t="n">
        <f aca="false">IF($P92=0,"",J92/$P92*BJ$159)</f>
        <v>0.000392931</v>
      </c>
      <c r="BK92" s="425" t="n">
        <f aca="false">IF($P92=0,"",K92/$P92*BK$159)</f>
        <v>0.00096162</v>
      </c>
      <c r="BL92" s="425" t="n">
        <f aca="false">IF($P92=0,"",L92/$P92*BL$159)</f>
        <v>0.000283968</v>
      </c>
      <c r="BM92" s="425" t="n">
        <f aca="false">IF($P92=0,"",M92/$P92*BM$159)</f>
        <v>0.000325422</v>
      </c>
      <c r="BN92" s="425" t="n">
        <f aca="false">IF($P92=0,"",N92/$P92*BN$159)</f>
        <v>0.0005139015</v>
      </c>
      <c r="BO92" s="425" t="n">
        <f aca="false">IF($P92=0,"",O92/$P92*BO$159)</f>
        <v>0</v>
      </c>
      <c r="BP92" s="423" t="n">
        <f aca="false">1-AD$159*(SUM(BE92:BO92))^2</f>
        <v>0.996163782370582</v>
      </c>
    </row>
    <row r="93" customFormat="false" ht="15" hidden="false" customHeight="false" outlineLevel="0" collapsed="false">
      <c r="A93" s="413" t="s">
        <v>123</v>
      </c>
      <c r="B93" s="414" t="s">
        <v>305</v>
      </c>
      <c r="C93" s="415" t="n">
        <v>24688.41</v>
      </c>
      <c r="D93" s="416" t="n">
        <v>31132.08</v>
      </c>
      <c r="E93" s="417" t="n">
        <v>0.164</v>
      </c>
      <c r="F93" s="417" t="n">
        <v>0.839</v>
      </c>
      <c r="G93" s="417" t="n">
        <v>78.305</v>
      </c>
      <c r="H93" s="417" t="n">
        <v>11.796</v>
      </c>
      <c r="I93" s="417" t="n">
        <v>5.3</v>
      </c>
      <c r="J93" s="417" t="n">
        <v>0.812</v>
      </c>
      <c r="K93" s="417" t="n">
        <v>1.743</v>
      </c>
      <c r="L93" s="417" t="n">
        <v>0.386</v>
      </c>
      <c r="M93" s="417" t="n">
        <v>0.4</v>
      </c>
      <c r="N93" s="417" t="n">
        <v>0.255</v>
      </c>
      <c r="O93" s="76"/>
      <c r="P93" s="418" t="n">
        <f aca="false">SUM(E93:O93)</f>
        <v>100</v>
      </c>
      <c r="Q93" s="14" t="n">
        <f aca="false">IF($P93=0,"",$C93*E93/$P93)</f>
        <v>40.4889924</v>
      </c>
      <c r="R93" s="15" t="n">
        <f aca="false">IF($P93=0,"",$C93*F93/$P93)</f>
        <v>207.1357599</v>
      </c>
      <c r="S93" s="15" t="n">
        <f aca="false">IF($P93=0,"",$C93*G93/$P93)</f>
        <v>19332.2594505</v>
      </c>
      <c r="T93" s="15" t="n">
        <f aca="false">IF($P93=0,"",$C93*H93/$P93)</f>
        <v>2912.2448436</v>
      </c>
      <c r="U93" s="15" t="n">
        <f aca="false">IF($P93=0,"",$C93*I93/$P93)</f>
        <v>1308.48573</v>
      </c>
      <c r="V93" s="15" t="n">
        <f aca="false">IF($P93=0,"",$C93*J93/$P93)</f>
        <v>200.4698892</v>
      </c>
      <c r="W93" s="15" t="n">
        <f aca="false">IF($P93=0,"",$C93*K93/$P93)</f>
        <v>430.3189863</v>
      </c>
      <c r="X93" s="15" t="n">
        <f aca="false">IF($P93=0,"",$C93*L93/$P93)</f>
        <v>95.2972626</v>
      </c>
      <c r="Y93" s="15" t="n">
        <f aca="false">IF($P93=0,"",$C93*M93/$P93)</f>
        <v>98.75364</v>
      </c>
      <c r="Z93" s="15" t="n">
        <f aca="false">IF($P93=0,"",$C93*N93/$P93)</f>
        <v>62.9554455</v>
      </c>
      <c r="AA93" s="15" t="n">
        <f aca="false">IF($P93=0,"",$C93*O93/$P93)</f>
        <v>0</v>
      </c>
      <c r="AB93" s="16" t="n">
        <f aca="false">SUM(Q93:AA93)</f>
        <v>24688.41</v>
      </c>
      <c r="AC93" s="419"/>
      <c r="AD93" s="420"/>
      <c r="AE93" s="15" t="n">
        <f aca="false">IF($P93=0,"",S93*AE$159/$BP93/1000)</f>
        <v>19533.9097352762</v>
      </c>
      <c r="AF93" s="15" t="n">
        <f aca="false">IF($P93=0,"",T93*AF$159/$BP93/1000)</f>
        <v>5156.31045021148</v>
      </c>
      <c r="AG93" s="15" t="n">
        <f aca="false">IF($P93=0,"",U93*AG$159/$BP93/1000)</f>
        <v>3293.77939873498</v>
      </c>
      <c r="AH93" s="15" t="n">
        <f aca="false">IF($P93=0,"",V93*AH$159/$BP93/1000)</f>
        <v>652.206805273111</v>
      </c>
      <c r="AI93" s="15" t="n">
        <f aca="false">IF($P93=0,"",W93*AI$159/$BP93/1000)</f>
        <v>1404.48709889804</v>
      </c>
      <c r="AJ93" s="15" t="n">
        <f aca="false">IF($P93=0,"",X93*AJ$159/$BP93/1000)</f>
        <v>381.45427638937</v>
      </c>
      <c r="AK93" s="15" t="n">
        <f aca="false">IF($P93=0,"",Y93*AK$159/$BP93/1000)</f>
        <v>396.062461788721</v>
      </c>
      <c r="AL93" s="15" t="n">
        <f aca="false">IF($P93=0,"",Z93*AL$159/$BP93/1000)</f>
        <v>323.064647541798</v>
      </c>
      <c r="AM93" s="15" t="n">
        <f aca="false">IF($P93=0,"",AA93*AM$159/$BP93/1000)</f>
        <v>0</v>
      </c>
      <c r="AN93" s="15" t="n">
        <f aca="false">SUM(AC93:AM93)</f>
        <v>31141.2748741137</v>
      </c>
      <c r="AO93" s="15" t="n">
        <f aca="false">D93-AN93</f>
        <v>-9.19487411368755</v>
      </c>
      <c r="AP93" s="421" t="n">
        <f aca="false">IF(D93=0,0,AO93/D93)</f>
        <v>-0.000295350458873533</v>
      </c>
      <c r="AQ93" s="75" t="n">
        <f aca="false">IF(AB93=0,0,AN93/AB93)*1000</f>
        <v>1261.37223393948</v>
      </c>
      <c r="AR93" s="340" t="n">
        <f aca="false">IF(C93=0,0,D93/C93)*1000</f>
        <v>1260.99979707077</v>
      </c>
      <c r="AS93" s="422" t="n">
        <f aca="false">IF($P93=0,"",Q93*1000/AS$159*$AD$159/14.696/$BP93/42)</f>
        <v>16.4176583525452</v>
      </c>
      <c r="AT93" s="15" t="n">
        <f aca="false">IF($P93=0,"",R93*1000/AT$159*$AD$159/14.696/$BP93/42)</f>
        <v>54.1446796765407</v>
      </c>
      <c r="AU93" s="15" t="n">
        <f aca="false">IF($P93=0,"",S93*1000/AU$159*$AD$159/14.696/$BP93/42)</f>
        <v>7786.97046936042</v>
      </c>
      <c r="AV93" s="15" t="n">
        <f aca="false">IF($P93=0,"",T93*1000/AV$159*$AD$159/14.696/$BP93/42)</f>
        <v>1850.4960371705</v>
      </c>
      <c r="AW93" s="15" t="n">
        <f aca="false">IF($P93=0,"",U93*1000/AW$159*$AD$159/14.696/$BP93/42)</f>
        <v>856.500353405308</v>
      </c>
      <c r="AX93" s="15" t="n">
        <f aca="false">IF($P93=0,"",V93*1000/AX$159*$AD$159/14.696/$BP93/42)</f>
        <v>155.867460426425</v>
      </c>
      <c r="AY93" s="15" t="n">
        <f aca="false">IF($P93=0,"",W93*1000/AY$159*$AD$159/14.696/$BP93/42)</f>
        <v>322.331149553423</v>
      </c>
      <c r="AZ93" s="15" t="n">
        <f aca="false">IF($P93=0,"",X93*1000/AZ$159*$AD$159/14.696/$BP93/42)</f>
        <v>82.8057629503325</v>
      </c>
      <c r="BA93" s="15" t="n">
        <f aca="false">IF($P93=0,"",Y93*1000/BA$159*$AD$159/14.696/$BP93/42)</f>
        <v>85.0520695797116</v>
      </c>
      <c r="BB93" s="15" t="n">
        <f aca="false">IF($P93=0,"",Z93*1000/BB$159*$AD$159/14.696/$BP93/42)</f>
        <v>64.908066331706</v>
      </c>
      <c r="BC93" s="15" t="n">
        <f aca="false">IF($P93=0,"",AA93*1000/BC$159*$AD$159/14.696/$BP93/42)</f>
        <v>0</v>
      </c>
      <c r="BD93" s="55" t="n">
        <f aca="false">SUM(AS93:BC93)</f>
        <v>11275.4937068069</v>
      </c>
      <c r="BE93" s="419" t="n">
        <f aca="false">IF($P93=0,"",E93/$P93*BE$159)</f>
        <v>3.198E-005</v>
      </c>
      <c r="BF93" s="420" t="n">
        <f aca="false">IF($P93=0,"",F93/$P93*BF$159)</f>
        <v>3.70838E-005</v>
      </c>
      <c r="BG93" s="420" t="n">
        <f aca="false">IF($P93=0,"",G93/$P93*BG$159)</f>
        <v>0.00908338</v>
      </c>
      <c r="BH93" s="420" t="n">
        <f aca="false">IF($P93=0,"",H93/$P93*BH$159)</f>
        <v>0.002807448</v>
      </c>
      <c r="BI93" s="420" t="n">
        <f aca="false">IF($P93=0,"",I93/$P93*BI$159)</f>
        <v>0.0018391</v>
      </c>
      <c r="BJ93" s="420" t="n">
        <f aca="false">IF($P93=0,"",J93/$P93*BJ$159)</f>
        <v>0.000358092</v>
      </c>
      <c r="BK93" s="420" t="n">
        <f aca="false">IF($P93=0,"",K93/$P93*BK$159)</f>
        <v>0.00081921</v>
      </c>
      <c r="BL93" s="420" t="n">
        <f aca="false">IF($P93=0,"",L93/$P93*BL$159)</f>
        <v>0.000222336</v>
      </c>
      <c r="BM93" s="420" t="n">
        <f aca="false">IF($P93=0,"",M93/$P93*BM$159)</f>
        <v>0.0002424</v>
      </c>
      <c r="BN93" s="420" t="n">
        <f aca="false">IF($P93=0,"",N93/$P93*BN$159)</f>
        <v>0.0002202435</v>
      </c>
      <c r="BO93" s="420" t="n">
        <f aca="false">IF($P93=0,"",O93/$P93*BO$159)</f>
        <v>0</v>
      </c>
      <c r="BP93" s="418" t="n">
        <f aca="false">1-AD$159*(SUM(BE93:BO93))^2</f>
        <v>0.996406714197823</v>
      </c>
    </row>
    <row r="94" customFormat="false" ht="15" hidden="false" customHeight="false" outlineLevel="0" collapsed="false">
      <c r="A94" s="413" t="s">
        <v>124</v>
      </c>
      <c r="B94" s="414" t="s">
        <v>306</v>
      </c>
      <c r="C94" s="416" t="n">
        <v>19289.82</v>
      </c>
      <c r="D94" s="416" t="n">
        <v>25694.05</v>
      </c>
      <c r="E94" s="417" t="n">
        <v>0.435</v>
      </c>
      <c r="F94" s="417" t="n">
        <v>1.102</v>
      </c>
      <c r="G94" s="417" t="n">
        <v>72.548</v>
      </c>
      <c r="H94" s="417" t="n">
        <v>12.995</v>
      </c>
      <c r="I94" s="417" t="n">
        <v>8.37</v>
      </c>
      <c r="J94" s="417" t="n">
        <v>0.903</v>
      </c>
      <c r="K94" s="417" t="n">
        <v>2.665</v>
      </c>
      <c r="L94" s="417" t="n">
        <v>0.423</v>
      </c>
      <c r="M94" s="417" t="n">
        <v>0.408</v>
      </c>
      <c r="N94" s="417" t="n">
        <v>0.151</v>
      </c>
      <c r="O94" s="76"/>
      <c r="P94" s="423" t="n">
        <f aca="false">SUM(E94:O94)</f>
        <v>100</v>
      </c>
      <c r="Q94" s="99" t="n">
        <f aca="false">IF($P94=0,"",$C94*E94/$P94)</f>
        <v>83.910717</v>
      </c>
      <c r="R94" s="100" t="n">
        <f aca="false">IF($P94=0,"",$C94*F94/$P94)</f>
        <v>212.5738164</v>
      </c>
      <c r="S94" s="100" t="n">
        <f aca="false">IF($P94=0,"",$C94*G94/$P94)</f>
        <v>13994.3786136</v>
      </c>
      <c r="T94" s="100" t="n">
        <f aca="false">IF($P94=0,"",$C94*H94/$P94)</f>
        <v>2506.712109</v>
      </c>
      <c r="U94" s="100" t="n">
        <f aca="false">IF($P94=0,"",$C94*I94/$P94)</f>
        <v>1614.557934</v>
      </c>
      <c r="V94" s="100" t="n">
        <f aca="false">IF($P94=0,"",$C94*J94/$P94)</f>
        <v>174.1870746</v>
      </c>
      <c r="W94" s="100" t="n">
        <f aca="false">IF($P94=0,"",$C94*K94/$P94)</f>
        <v>514.073703</v>
      </c>
      <c r="X94" s="100" t="n">
        <f aca="false">IF($P94=0,"",$C94*L94/$P94)</f>
        <v>81.5959386</v>
      </c>
      <c r="Y94" s="100" t="n">
        <f aca="false">IF($P94=0,"",$C94*M94/$P94)</f>
        <v>78.7024656</v>
      </c>
      <c r="Z94" s="100" t="n">
        <f aca="false">IF($P94=0,"",$C94*N94/$P94)</f>
        <v>29.1276282</v>
      </c>
      <c r="AA94" s="100" t="n">
        <f aca="false">IF($P94=0,"",$C94*O94/$P94)</f>
        <v>0</v>
      </c>
      <c r="AB94" s="101" t="n">
        <f aca="false">SUM(Q94:AA94)</f>
        <v>19289.82</v>
      </c>
      <c r="AC94" s="424"/>
      <c r="AD94" s="425"/>
      <c r="AE94" s="100" t="n">
        <f aca="false">IF($P94=0,"",S94*AE$159/$BP94/1000)</f>
        <v>14148.1685992661</v>
      </c>
      <c r="AF94" s="100" t="n">
        <f aca="false">IF($P94=0,"",T94*AF$159/$BP94/1000)</f>
        <v>4440.74337841588</v>
      </c>
      <c r="AG94" s="100" t="n">
        <f aca="false">IF($P94=0,"",U94*AG$159/$BP94/1000)</f>
        <v>4066.48520752061</v>
      </c>
      <c r="AH94" s="100" t="n">
        <f aca="false">IF($P94=0,"",V94*AH$159/$BP94/1000)</f>
        <v>567.011864777163</v>
      </c>
      <c r="AI94" s="100" t="n">
        <f aca="false">IF($P94=0,"",W94*AI$159/$BP94/1000)</f>
        <v>1678.77572258818</v>
      </c>
      <c r="AJ94" s="100" t="n">
        <f aca="false">IF($P94=0,"",X94*AJ$159/$BP94/1000)</f>
        <v>326.791423605299</v>
      </c>
      <c r="AK94" s="100" t="n">
        <f aca="false">IF($P94=0,"",Y94*AK$159/$BP94/1000)</f>
        <v>315.819508904837</v>
      </c>
      <c r="AL94" s="100" t="n">
        <f aca="false">IF($P94=0,"",Z94*AL$159/$BP94/1000)</f>
        <v>149.555125931378</v>
      </c>
      <c r="AM94" s="100" t="n">
        <f aca="false">IF($P94=0,"",AA94*AM$159/$BP94/1000)</f>
        <v>0</v>
      </c>
      <c r="AN94" s="100" t="n">
        <f aca="false">SUM(AC94:AM94)</f>
        <v>25693.3508310094</v>
      </c>
      <c r="AO94" s="100" t="n">
        <f aca="false">D94-AN94</f>
        <v>0.699168990595354</v>
      </c>
      <c r="AP94" s="426" t="n">
        <f aca="false">IF(D94=0,0,AO94/D94)</f>
        <v>2.72113189861214E-005</v>
      </c>
      <c r="AQ94" s="427" t="n">
        <f aca="false">IF(AB94=0,0,AN94/AB94)*1000</f>
        <v>1331.9642604757</v>
      </c>
      <c r="AR94" s="428" t="n">
        <f aca="false">IF(C94=0,0,D94/C94)*1000</f>
        <v>1332.00050596636</v>
      </c>
      <c r="AS94" s="429" t="n">
        <f aca="false">IF($P94=0,"",Q94*1000/AS$159*$AD$159/14.696/$BP94/42)</f>
        <v>34.0433055158794</v>
      </c>
      <c r="AT94" s="100" t="n">
        <f aca="false">IF($P94=0,"",R94*1000/AT$159*$AD$159/14.696/$BP94/42)</f>
        <v>55.5968930016111</v>
      </c>
      <c r="AU94" s="100" t="n">
        <f aca="false">IF($P94=0,"",S94*1000/AU$159*$AD$159/14.696/$BP94/42)</f>
        <v>5640.00615192049</v>
      </c>
      <c r="AV94" s="100" t="n">
        <f aca="false">IF($P94=0,"",T94*1000/AV$159*$AD$159/14.696/$BP94/42)</f>
        <v>1593.69341764763</v>
      </c>
      <c r="AW94" s="100" t="n">
        <f aca="false">IF($P94=0,"",U94*1000/AW$159*$AD$159/14.696/$BP94/42)</f>
        <v>1057.43147786295</v>
      </c>
      <c r="AX94" s="100" t="n">
        <f aca="false">IF($P94=0,"",V94*1000/AX$159*$AD$159/14.696/$BP94/42)</f>
        <v>135.507171467583</v>
      </c>
      <c r="AY94" s="100" t="n">
        <f aca="false">IF($P94=0,"",W94*1000/AY$159*$AD$159/14.696/$BP94/42)</f>
        <v>385.280654360434</v>
      </c>
      <c r="AZ94" s="100" t="n">
        <f aca="false">IF($P94=0,"",X94*1000/AZ$159*$AD$159/14.696/$BP94/42)</f>
        <v>70.939598353435</v>
      </c>
      <c r="BA94" s="100" t="n">
        <f aca="false">IF($P94=0,"",Y94*1000/BA$159*$AD$159/14.696/$BP94/42)</f>
        <v>67.8203703645451</v>
      </c>
      <c r="BB94" s="100" t="n">
        <f aca="false">IF($P94=0,"",Z94*1000/BB$159*$AD$159/14.696/$BP94/42)</f>
        <v>30.0476517875407</v>
      </c>
      <c r="BC94" s="100" t="n">
        <f aca="false">IF($P94=0,"",AA94*1000/BC$159*$AD$159/14.696/$BP94/42)</f>
        <v>0</v>
      </c>
      <c r="BD94" s="430" t="n">
        <f aca="false">SUM(AS94:BC94)</f>
        <v>9070.3666922821</v>
      </c>
      <c r="BE94" s="424" t="n">
        <f aca="false">IF($P94=0,"",E94/$P94*BE$159)</f>
        <v>8.4825E-005</v>
      </c>
      <c r="BF94" s="425" t="n">
        <f aca="false">IF($P94=0,"",F94/$P94*BF$159)</f>
        <v>4.87084E-005</v>
      </c>
      <c r="BG94" s="425" t="n">
        <f aca="false">IF($P94=0,"",G94/$P94*BG$159)</f>
        <v>0.008415568</v>
      </c>
      <c r="BH94" s="425" t="n">
        <f aca="false">IF($P94=0,"",H94/$P94*BH$159)</f>
        <v>0.00309281</v>
      </c>
      <c r="BI94" s="425" t="n">
        <f aca="false">IF($P94=0,"",I94/$P94*BI$159)</f>
        <v>0.00290439</v>
      </c>
      <c r="BJ94" s="425" t="n">
        <f aca="false">IF($P94=0,"",J94/$P94*BJ$159)</f>
        <v>0.000398223</v>
      </c>
      <c r="BK94" s="425" t="n">
        <f aca="false">IF($P94=0,"",K94/$P94*BK$159)</f>
        <v>0.00125255</v>
      </c>
      <c r="BL94" s="425" t="n">
        <f aca="false">IF($P94=0,"",L94/$P94*BL$159)</f>
        <v>0.000243648</v>
      </c>
      <c r="BM94" s="425" t="n">
        <f aca="false">IF($P94=0,"",M94/$P94*BM$159)</f>
        <v>0.000247248</v>
      </c>
      <c r="BN94" s="425" t="n">
        <f aca="false">IF($P94=0,"",N94/$P94*BN$159)</f>
        <v>0.0001304187</v>
      </c>
      <c r="BO94" s="425" t="n">
        <f aca="false">IF($P94=0,"",O94/$P94*BO$159)</f>
        <v>0</v>
      </c>
      <c r="BP94" s="423" t="n">
        <f aca="false">1-AD$159*(SUM(BE94:BO94))^2</f>
        <v>0.995856127195387</v>
      </c>
    </row>
    <row r="95" customFormat="false" ht="15" hidden="false" customHeight="false" outlineLevel="0" collapsed="false">
      <c r="A95" s="413" t="s">
        <v>125</v>
      </c>
      <c r="B95" s="414" t="s">
        <v>307</v>
      </c>
      <c r="C95" s="416" t="n">
        <v>0</v>
      </c>
      <c r="D95" s="416" t="n">
        <v>0</v>
      </c>
      <c r="E95" s="417" t="n">
        <v>0.216999992728233</v>
      </c>
      <c r="F95" s="417" t="n">
        <v>0.533999979496002</v>
      </c>
      <c r="G95" s="417" t="n">
        <v>85.2399978637695</v>
      </c>
      <c r="H95" s="417" t="n">
        <v>7.75600004196167</v>
      </c>
      <c r="I95" s="417" t="n">
        <v>3.75300002098083</v>
      </c>
      <c r="J95" s="417" t="n">
        <v>0.503000020980835</v>
      </c>
      <c r="K95" s="417" t="n">
        <v>1.21899998188019</v>
      </c>
      <c r="L95" s="417" t="n">
        <v>0.275999993085861</v>
      </c>
      <c r="M95" s="417" t="n">
        <v>0.296000003814697</v>
      </c>
      <c r="N95" s="417" t="n">
        <v>0.206000000238419</v>
      </c>
      <c r="O95" s="76"/>
      <c r="P95" s="418" t="n">
        <f aca="false">SUM(E95:O95)</f>
        <v>99.9999978989363</v>
      </c>
      <c r="Q95" s="14" t="n">
        <f aca="false">IF($P95=0,"",$C95*E95/$P95)</f>
        <v>0</v>
      </c>
      <c r="R95" s="15" t="n">
        <f aca="false">IF($P95=0,"",$C95*F95/$P95)</f>
        <v>0</v>
      </c>
      <c r="S95" s="15" t="n">
        <f aca="false">IF($P95=0,"",$C95*G95/$P95)</f>
        <v>0</v>
      </c>
      <c r="T95" s="15" t="n">
        <f aca="false">IF($P95=0,"",$C95*H95/$P95)</f>
        <v>0</v>
      </c>
      <c r="U95" s="15" t="n">
        <f aca="false">IF($P95=0,"",$C95*I95/$P95)</f>
        <v>0</v>
      </c>
      <c r="V95" s="15" t="n">
        <f aca="false">IF($P95=0,"",$C95*J95/$P95)</f>
        <v>0</v>
      </c>
      <c r="W95" s="15" t="n">
        <f aca="false">IF($P95=0,"",$C95*K95/$P95)</f>
        <v>0</v>
      </c>
      <c r="X95" s="15" t="n">
        <f aca="false">IF($P95=0,"",$C95*L95/$P95)</f>
        <v>0</v>
      </c>
      <c r="Y95" s="15" t="n">
        <f aca="false">IF($P95=0,"",$C95*M95/$P95)</f>
        <v>0</v>
      </c>
      <c r="Z95" s="15" t="n">
        <f aca="false">IF($P95=0,"",$C95*N95/$P95)</f>
        <v>0</v>
      </c>
      <c r="AA95" s="15" t="n">
        <f aca="false">IF($P95=0,"",$C95*O95/$P95)</f>
        <v>0</v>
      </c>
      <c r="AB95" s="16" t="n">
        <f aca="false">SUM(Q95:AA95)</f>
        <v>0</v>
      </c>
      <c r="AC95" s="419"/>
      <c r="AD95" s="420"/>
      <c r="AE95" s="15" t="n">
        <f aca="false">IF($P95=0,"",S95*AE$159/$BP95/1000)</f>
        <v>0</v>
      </c>
      <c r="AF95" s="15" t="n">
        <f aca="false">IF($P95=0,"",T95*AF$159/$BP95/1000)</f>
        <v>0</v>
      </c>
      <c r="AG95" s="15" t="n">
        <f aca="false">IF($P95=0,"",U95*AG$159/$BP95/1000)</f>
        <v>0</v>
      </c>
      <c r="AH95" s="15" t="n">
        <f aca="false">IF($P95=0,"",V95*AH$159/$BP95/1000)</f>
        <v>0</v>
      </c>
      <c r="AI95" s="15" t="n">
        <f aca="false">IF($P95=0,"",W95*AI$159/$BP95/1000)</f>
        <v>0</v>
      </c>
      <c r="AJ95" s="15" t="n">
        <f aca="false">IF($P95=0,"",X95*AJ$159/$BP95/1000)</f>
        <v>0</v>
      </c>
      <c r="AK95" s="15" t="n">
        <f aca="false">IF($P95=0,"",Y95*AK$159/$BP95/1000)</f>
        <v>0</v>
      </c>
      <c r="AL95" s="15" t="n">
        <f aca="false">IF($P95=0,"",Z95*AL$159/$BP95/1000)</f>
        <v>0</v>
      </c>
      <c r="AM95" s="15" t="n">
        <f aca="false">IF($P95=0,"",AA95*AM$159/$BP95/1000)</f>
        <v>0</v>
      </c>
      <c r="AN95" s="15" t="n">
        <f aca="false">SUM(AC95:AM95)</f>
        <v>0</v>
      </c>
      <c r="AO95" s="15" t="n">
        <f aca="false">D95-AN95</f>
        <v>0</v>
      </c>
      <c r="AP95" s="421" t="n">
        <f aca="false">IF(D95=0,0,AO95/D95)</f>
        <v>0</v>
      </c>
      <c r="AQ95" s="75" t="n">
        <f aca="false">IF(AB95=0,0,AN95/AB95)*1000</f>
        <v>0</v>
      </c>
      <c r="AR95" s="340" t="n">
        <f aca="false">IF(C95=0,0,D95/C95)*1000</f>
        <v>0</v>
      </c>
      <c r="AS95" s="422" t="n">
        <f aca="false">IF($P95=0,"",Q95*1000/AS$159*$AD$159/14.696/$BP95/42)</f>
        <v>0</v>
      </c>
      <c r="AT95" s="15" t="n">
        <f aca="false">IF($P95=0,"",R95*1000/AT$159*$AD$159/14.696/$BP95/42)</f>
        <v>0</v>
      </c>
      <c r="AU95" s="15" t="n">
        <f aca="false">IF($P95=0,"",S95*1000/AU$159*$AD$159/14.696/$BP95/42)</f>
        <v>0</v>
      </c>
      <c r="AV95" s="15" t="n">
        <f aca="false">IF($P95=0,"",T95*1000/AV$159*$AD$159/14.696/$BP95/42)</f>
        <v>0</v>
      </c>
      <c r="AW95" s="15" t="n">
        <f aca="false">IF($P95=0,"",U95*1000/AW$159*$AD$159/14.696/$BP95/42)</f>
        <v>0</v>
      </c>
      <c r="AX95" s="15" t="n">
        <f aca="false">IF($P95=0,"",V95*1000/AX$159*$AD$159/14.696/$BP95/42)</f>
        <v>0</v>
      </c>
      <c r="AY95" s="15" t="n">
        <f aca="false">IF($P95=0,"",W95*1000/AY$159*$AD$159/14.696/$BP95/42)</f>
        <v>0</v>
      </c>
      <c r="AZ95" s="15" t="n">
        <f aca="false">IF($P95=0,"",X95*1000/AZ$159*$AD$159/14.696/$BP95/42)</f>
        <v>0</v>
      </c>
      <c r="BA95" s="15" t="n">
        <f aca="false">IF($P95=0,"",Y95*1000/BA$159*$AD$159/14.696/$BP95/42)</f>
        <v>0</v>
      </c>
      <c r="BB95" s="15" t="n">
        <f aca="false">IF($P95=0,"",Z95*1000/BB$159*$AD$159/14.696/$BP95/42)</f>
        <v>0</v>
      </c>
      <c r="BC95" s="15" t="n">
        <f aca="false">IF($P95=0,"",AA95*1000/BC$159*$AD$159/14.696/$BP95/42)</f>
        <v>0</v>
      </c>
      <c r="BD95" s="55" t="n">
        <f aca="false">SUM(AS95:BC95)</f>
        <v>0</v>
      </c>
      <c r="BE95" s="419" t="n">
        <f aca="false">IF($P95=0,"",E95/$P95*BE$159)</f>
        <v>4.23149994710706E-005</v>
      </c>
      <c r="BF95" s="420" t="n">
        <f aca="false">IF($P95=0,"",F95/$P95*BF$159)</f>
        <v>2.36027995896332E-005</v>
      </c>
      <c r="BG95" s="420" t="n">
        <f aca="false">IF($P95=0,"",G95/$P95*BG$159)</f>
        <v>0.00988783995994709</v>
      </c>
      <c r="BH95" s="420" t="n">
        <f aca="false">IF($P95=0,"",H95/$P95*BH$159)</f>
        <v>0.001845928048771</v>
      </c>
      <c r="BI95" s="420" t="n">
        <f aca="false">IF($P95=0,"",I95/$P95*BI$159)</f>
        <v>0.00130229103464231</v>
      </c>
      <c r="BJ95" s="420" t="n">
        <f aca="false">IF($P95=0,"",J95/$P95*BJ$159)</f>
        <v>0.000221823013913191</v>
      </c>
      <c r="BK95" s="420" t="n">
        <f aca="false">IF($P95=0,"",K95/$P95*BK$159)</f>
        <v>0.000572930003521314</v>
      </c>
      <c r="BL95" s="420" t="n">
        <f aca="false">IF($P95=0,"",L95/$P95*BL$159)</f>
        <v>0.000158975999357643</v>
      </c>
      <c r="BM95" s="420" t="n">
        <f aca="false">IF($P95=0,"",M95/$P95*BM$159)</f>
        <v>0.000179376006080511</v>
      </c>
      <c r="BN95" s="420" t="n">
        <f aca="false">IF($P95=0,"",N95/$P95*BN$159)</f>
        <v>0.000177922203944182</v>
      </c>
      <c r="BO95" s="420" t="n">
        <f aca="false">IF($P95=0,"",O95/$P95*BO$159)</f>
        <v>0</v>
      </c>
      <c r="BP95" s="418" t="n">
        <f aca="false">1-AD$159*(SUM(BE95:BO95))^2</f>
        <v>0.996956686845707</v>
      </c>
    </row>
    <row r="96" customFormat="false" ht="15" hidden="false" customHeight="false" outlineLevel="0" collapsed="false">
      <c r="A96" s="413" t="s">
        <v>126</v>
      </c>
      <c r="B96" s="414" t="s">
        <v>308</v>
      </c>
      <c r="C96" s="415" t="n">
        <v>3684.48</v>
      </c>
      <c r="D96" s="416" t="n">
        <v>4454.54</v>
      </c>
      <c r="E96" s="417" t="n">
        <v>0.318</v>
      </c>
      <c r="F96" s="417" t="n">
        <v>0.55</v>
      </c>
      <c r="G96" s="417" t="n">
        <v>84.27</v>
      </c>
      <c r="H96" s="417" t="n">
        <v>7.86</v>
      </c>
      <c r="I96" s="417" t="n">
        <v>3.738</v>
      </c>
      <c r="J96" s="417" t="n">
        <v>0.516</v>
      </c>
      <c r="K96" s="417" t="n">
        <v>1.299</v>
      </c>
      <c r="L96" s="417" t="n">
        <v>0.349</v>
      </c>
      <c r="M96" s="417" t="n">
        <v>0.422</v>
      </c>
      <c r="N96" s="417" t="n">
        <v>0.678</v>
      </c>
      <c r="O96" s="76"/>
      <c r="P96" s="423" t="n">
        <f aca="false">SUM(E96:O96)</f>
        <v>100</v>
      </c>
      <c r="Q96" s="99" t="n">
        <f aca="false">IF($P96=0,"",$C96*E96/$P96)</f>
        <v>11.7166464</v>
      </c>
      <c r="R96" s="100" t="n">
        <f aca="false">IF($P96=0,"",$C96*F96/$P96)</f>
        <v>20.26464</v>
      </c>
      <c r="S96" s="100" t="n">
        <f aca="false">IF($P96=0,"",$C96*G96/$P96)</f>
        <v>3104.911296</v>
      </c>
      <c r="T96" s="100" t="n">
        <f aca="false">IF($P96=0,"",$C96*H96/$P96)</f>
        <v>289.600128</v>
      </c>
      <c r="U96" s="100" t="n">
        <f aca="false">IF($P96=0,"",$C96*I96/$P96)</f>
        <v>137.7258624</v>
      </c>
      <c r="V96" s="100" t="n">
        <f aca="false">IF($P96=0,"",$C96*J96/$P96)</f>
        <v>19.0119168</v>
      </c>
      <c r="W96" s="100" t="n">
        <f aca="false">IF($P96=0,"",$C96*K96/$P96)</f>
        <v>47.8613952</v>
      </c>
      <c r="X96" s="100" t="n">
        <f aca="false">IF($P96=0,"",$C96*L96/$P96)</f>
        <v>12.8588352</v>
      </c>
      <c r="Y96" s="100" t="n">
        <f aca="false">IF($P96=0,"",$C96*M96/$P96)</f>
        <v>15.5485056</v>
      </c>
      <c r="Z96" s="100" t="n">
        <f aca="false">IF($P96=0,"",$C96*N96/$P96)</f>
        <v>24.9807744</v>
      </c>
      <c r="AA96" s="100" t="n">
        <f aca="false">IF($P96=0,"",$C96*O96/$P96)</f>
        <v>0</v>
      </c>
      <c r="AB96" s="101" t="n">
        <f aca="false">SUM(Q96:AA96)</f>
        <v>3684.48</v>
      </c>
      <c r="AC96" s="424"/>
      <c r="AD96" s="425"/>
      <c r="AE96" s="100" t="n">
        <f aca="false">IF($P96=0,"",S96*AE$159/$BP96/1000)</f>
        <v>3136.23861371245</v>
      </c>
      <c r="AF96" s="100" t="n">
        <f aca="false">IF($P96=0,"",T96*AF$159/$BP96/1000)</f>
        <v>512.581892941318</v>
      </c>
      <c r="AG96" s="100" t="n">
        <f aca="false">IF($P96=0,"",U96*AG$159/$BP96/1000)</f>
        <v>346.572706057276</v>
      </c>
      <c r="AH96" s="100" t="n">
        <f aca="false">IF($P96=0,"",V96*AH$159/$BP96/1000)</f>
        <v>61.8323025647145</v>
      </c>
      <c r="AI96" s="100" t="n">
        <f aca="false">IF($P96=0,"",W96*AI$159/$BP96/1000)</f>
        <v>156.158611683284</v>
      </c>
      <c r="AJ96" s="100" t="n">
        <f aca="false">IF($P96=0,"",X96*AJ$159/$BP96/1000)</f>
        <v>51.4537499145931</v>
      </c>
      <c r="AK96" s="100" t="n">
        <f aca="false">IF($P96=0,"",Y96*AK$159/$BP96/1000)</f>
        <v>62.3379567382013</v>
      </c>
      <c r="AL96" s="100" t="n">
        <f aca="false">IF($P96=0,"",Z96*AL$159/$BP96/1000)</f>
        <v>128.149044072305</v>
      </c>
      <c r="AM96" s="100" t="n">
        <f aca="false">IF($P96=0,"",AA96*AM$159/$BP96/1000)</f>
        <v>0</v>
      </c>
      <c r="AN96" s="100" t="n">
        <f aca="false">SUM(AC96:AM96)</f>
        <v>4455.32487768414</v>
      </c>
      <c r="AO96" s="100" t="n">
        <f aca="false">D96-AN96</f>
        <v>-0.784877684137427</v>
      </c>
      <c r="AP96" s="426" t="n">
        <f aca="false">IF(D96=0,0,AO96/D96)</f>
        <v>-0.000176197246884623</v>
      </c>
      <c r="AQ96" s="427" t="n">
        <f aca="false">IF(AB96=0,0,AN96/AB96)*1000</f>
        <v>1209.21402143156</v>
      </c>
      <c r="AR96" s="428" t="n">
        <f aca="false">IF(C96=0,0,D96/C96)*1000</f>
        <v>1209.00099878409</v>
      </c>
      <c r="AS96" s="429" t="n">
        <f aca="false">IF($P96=0,"",Q96*1000/AS$159*$AD$159/14.696/$BP96/42)</f>
        <v>4.74931425148363</v>
      </c>
      <c r="AT96" s="100" t="n">
        <f aca="false">IF($P96=0,"",R96*1000/AT$159*$AD$159/14.696/$BP96/42)</f>
        <v>5.29532888219264</v>
      </c>
      <c r="AU96" s="100" t="n">
        <f aca="false">IF($P96=0,"",S96*1000/AU$159*$AD$159/14.696/$BP96/42)</f>
        <v>1250.22577665256</v>
      </c>
      <c r="AV96" s="100" t="n">
        <f aca="false">IF($P96=0,"",T96*1000/AV$159*$AD$159/14.696/$BP96/42)</f>
        <v>183.955324407272</v>
      </c>
      <c r="AW96" s="100" t="n">
        <f aca="false">IF($P96=0,"",U96*1000/AW$159*$AD$159/14.696/$BP96/42)</f>
        <v>90.1212890373581</v>
      </c>
      <c r="AX96" s="100" t="n">
        <f aca="false">IF($P96=0,"",V96*1000/AX$159*$AD$159/14.696/$BP96/42)</f>
        <v>14.7769754856278</v>
      </c>
      <c r="AY96" s="100" t="n">
        <f aca="false">IF($P96=0,"",W96*1000/AY$159*$AD$159/14.696/$BP96/42)</f>
        <v>35.8385526332225</v>
      </c>
      <c r="AZ96" s="100" t="n">
        <f aca="false">IF($P96=0,"",X96*1000/AZ$159*$AD$159/14.696/$BP96/42)</f>
        <v>11.16953533373</v>
      </c>
      <c r="BA96" s="100" t="n">
        <f aca="false">IF($P96=0,"",Y96*1000/BA$159*$AD$159/14.696/$BP96/42)</f>
        <v>13.3867072633177</v>
      </c>
      <c r="BB96" s="100" t="n">
        <f aca="false">IF($P96=0,"",Z96*1000/BB$159*$AD$159/14.696/$BP96/42)</f>
        <v>25.7468798157921</v>
      </c>
      <c r="BC96" s="100" t="n">
        <f aca="false">IF($P96=0,"",AA96*1000/BC$159*$AD$159/14.696/$BP96/42)</f>
        <v>0</v>
      </c>
      <c r="BD96" s="430" t="n">
        <f aca="false">SUM(AS96:BC96)</f>
        <v>1635.26568376256</v>
      </c>
      <c r="BE96" s="424" t="n">
        <f aca="false">IF($P96=0,"",E96/$P96*BE$159)</f>
        <v>6.201E-005</v>
      </c>
      <c r="BF96" s="425" t="n">
        <f aca="false">IF($P96=0,"",F96/$P96*BF$159)</f>
        <v>2.431E-005</v>
      </c>
      <c r="BG96" s="425" t="n">
        <f aca="false">IF($P96=0,"",G96/$P96*BG$159)</f>
        <v>0.00977532</v>
      </c>
      <c r="BH96" s="425" t="n">
        <f aca="false">IF($P96=0,"",H96/$P96*BH$159)</f>
        <v>0.00187068</v>
      </c>
      <c r="BI96" s="425" t="n">
        <f aca="false">IF($P96=0,"",I96/$P96*BI$159)</f>
        <v>0.001297086</v>
      </c>
      <c r="BJ96" s="425" t="n">
        <f aca="false">IF($P96=0,"",J96/$P96*BJ$159)</f>
        <v>0.000227556</v>
      </c>
      <c r="BK96" s="425" t="n">
        <f aca="false">IF($P96=0,"",K96/$P96*BK$159)</f>
        <v>0.00061053</v>
      </c>
      <c r="BL96" s="425" t="n">
        <f aca="false">IF($P96=0,"",L96/$P96*BL$159)</f>
        <v>0.000201024</v>
      </c>
      <c r="BM96" s="425" t="n">
        <f aca="false">IF($P96=0,"",M96/$P96*BM$159)</f>
        <v>0.000255732</v>
      </c>
      <c r="BN96" s="425" t="n">
        <f aca="false">IF($P96=0,"",N96/$P96*BN$159)</f>
        <v>0.0005855886</v>
      </c>
      <c r="BO96" s="425" t="n">
        <f aca="false">IF($P96=0,"",O96/$P96*BO$159)</f>
        <v>0</v>
      </c>
      <c r="BP96" s="423" t="n">
        <f aca="false">1-AD$159*(SUM(BE96:BO96))^2</f>
        <v>0.996743257718023</v>
      </c>
    </row>
    <row r="97" customFormat="false" ht="15" hidden="false" customHeight="false" outlineLevel="0" collapsed="false">
      <c r="A97" s="413" t="s">
        <v>127</v>
      </c>
      <c r="B97" s="414" t="s">
        <v>309</v>
      </c>
      <c r="C97" s="415" t="n">
        <v>25831.73</v>
      </c>
      <c r="D97" s="416" t="n">
        <v>29964.8</v>
      </c>
      <c r="E97" s="417" t="n">
        <v>0.168</v>
      </c>
      <c r="F97" s="417" t="n">
        <v>2.117</v>
      </c>
      <c r="G97" s="417" t="n">
        <v>81.79</v>
      </c>
      <c r="H97" s="417" t="n">
        <v>10.687</v>
      </c>
      <c r="I97" s="417" t="n">
        <v>3.797</v>
      </c>
      <c r="J97" s="417" t="n">
        <v>0.438</v>
      </c>
      <c r="K97" s="417" t="n">
        <v>0.766</v>
      </c>
      <c r="L97" s="417" t="n">
        <v>0.103</v>
      </c>
      <c r="M97" s="417" t="n">
        <v>0.09</v>
      </c>
      <c r="N97" s="417" t="n">
        <v>0.044</v>
      </c>
      <c r="O97" s="76"/>
      <c r="P97" s="418" t="n">
        <f aca="false">SUM(E97:O97)</f>
        <v>100</v>
      </c>
      <c r="Q97" s="14" t="n">
        <f aca="false">IF($P97=0,"",$C97*E97/$P97)</f>
        <v>43.3973064</v>
      </c>
      <c r="R97" s="15" t="n">
        <f aca="false">IF($P97=0,"",$C97*F97/$P97)</f>
        <v>546.8577241</v>
      </c>
      <c r="S97" s="15" t="n">
        <f aca="false">IF($P97=0,"",$C97*G97/$P97)</f>
        <v>21127.771967</v>
      </c>
      <c r="T97" s="15" t="n">
        <f aca="false">IF($P97=0,"",$C97*H97/$P97)</f>
        <v>2760.6369851</v>
      </c>
      <c r="U97" s="15" t="n">
        <f aca="false">IF($P97=0,"",$C97*I97/$P97)</f>
        <v>980.8307881</v>
      </c>
      <c r="V97" s="15" t="n">
        <f aca="false">IF($P97=0,"",$C97*J97/$P97)</f>
        <v>113.1429774</v>
      </c>
      <c r="W97" s="15" t="n">
        <f aca="false">IF($P97=0,"",$C97*K97/$P97)</f>
        <v>197.8710518</v>
      </c>
      <c r="X97" s="15" t="n">
        <f aca="false">IF($P97=0,"",$C97*L97/$P97)</f>
        <v>26.6066819</v>
      </c>
      <c r="Y97" s="15" t="n">
        <f aca="false">IF($P97=0,"",$C97*M97/$P97)</f>
        <v>23.248557</v>
      </c>
      <c r="Z97" s="15" t="n">
        <f aca="false">IF($P97=0,"",$C97*N97/$P97)</f>
        <v>11.3659612</v>
      </c>
      <c r="AA97" s="15" t="n">
        <f aca="false">IF($P97=0,"",$C97*O97/$P97)</f>
        <v>0</v>
      </c>
      <c r="AB97" s="16" t="n">
        <f aca="false">SUM(Q97:AA97)</f>
        <v>25831.73</v>
      </c>
      <c r="AC97" s="419"/>
      <c r="AD97" s="420"/>
      <c r="AE97" s="15" t="n">
        <f aca="false">IF($P97=0,"",S97*AE$159/$BP97/1000)</f>
        <v>21334.2862058773</v>
      </c>
      <c r="AF97" s="15" t="n">
        <f aca="false">IF($P97=0,"",T97*AF$159/$BP97/1000)</f>
        <v>4884.70486922884</v>
      </c>
      <c r="AG97" s="15" t="n">
        <f aca="false">IF($P97=0,"",U97*AG$159/$BP97/1000)</f>
        <v>2467.38808142805</v>
      </c>
      <c r="AH97" s="15" t="n">
        <f aca="false">IF($P97=0,"",V97*AH$159/$BP97/1000)</f>
        <v>367.859209654499</v>
      </c>
      <c r="AI97" s="15" t="n">
        <f aca="false">IF($P97=0,"",W97*AI$159/$BP97/1000)</f>
        <v>645.397625068987</v>
      </c>
      <c r="AJ97" s="15" t="n">
        <f aca="false">IF($P97=0,"",X97*AJ$159/$BP97/1000)</f>
        <v>106.431610587347</v>
      </c>
      <c r="AK97" s="15" t="n">
        <f aca="false">IF($P97=0,"",Y97*AK$159/$BP97/1000)</f>
        <v>93.1803691886663</v>
      </c>
      <c r="AL97" s="15" t="n">
        <f aca="false">IF($P97=0,"",Z97*AL$159/$BP97/1000)</f>
        <v>58.2881348513351</v>
      </c>
      <c r="AM97" s="15" t="n">
        <f aca="false">IF($P97=0,"",AA97*AM$159/$BP97/1000)</f>
        <v>0</v>
      </c>
      <c r="AN97" s="15" t="n">
        <f aca="false">SUM(AC97:AM97)</f>
        <v>29957.536105885</v>
      </c>
      <c r="AO97" s="15" t="n">
        <f aca="false">D97-AN97</f>
        <v>7.26389411498894</v>
      </c>
      <c r="AP97" s="421" t="n">
        <f aca="false">IF(D97=0,0,AO97/D97)</f>
        <v>0.000242414236537168</v>
      </c>
      <c r="AQ97" s="75" t="n">
        <f aca="false">IF(AB97=0,0,AN97/AB97)*1000</f>
        <v>1159.71853630729</v>
      </c>
      <c r="AR97" s="340" t="n">
        <f aca="false">IF(C97=0,0,D97/C97)*1000</f>
        <v>1159.99973675786</v>
      </c>
      <c r="AS97" s="422" t="n">
        <f aca="false">IF($P97=0,"",Q97*1000/AS$159*$AD$159/14.696/$BP97/42)</f>
        <v>17.5855061861469</v>
      </c>
      <c r="AT97" s="15" t="n">
        <f aca="false">IF($P97=0,"",R97*1000/AT$159*$AD$159/14.696/$BP97/42)</f>
        <v>142.85416666359</v>
      </c>
      <c r="AU97" s="15" t="n">
        <f aca="false">IF($P97=0,"",S97*1000/AU$159*$AD$159/14.696/$BP97/42)</f>
        <v>8504.6700287571</v>
      </c>
      <c r="AV97" s="15" t="n">
        <f aca="false">IF($P97=0,"",T97*1000/AV$159*$AD$159/14.696/$BP97/42)</f>
        <v>1753.02226088514</v>
      </c>
      <c r="AW97" s="15" t="n">
        <f aca="false">IF($P97=0,"",U97*1000/AW$159*$AD$159/14.696/$BP97/42)</f>
        <v>641.609078174094</v>
      </c>
      <c r="AX97" s="15" t="n">
        <f aca="false">IF($P97=0,"",V97*1000/AX$159*$AD$159/14.696/$BP97/42)</f>
        <v>87.9127300416758</v>
      </c>
      <c r="AY97" s="15" t="n">
        <f aca="false">IF($P97=0,"",W97*1000/AY$159*$AD$159/14.696/$BP97/42)</f>
        <v>148.119380071741</v>
      </c>
      <c r="AZ97" s="15" t="n">
        <f aca="false">IF($P97=0,"",X97*1000/AZ$159*$AD$159/14.696/$BP97/42)</f>
        <v>23.1040815694563</v>
      </c>
      <c r="BA97" s="15" t="n">
        <f aca="false">IF($P97=0,"",Y97*1000/BA$159*$AD$159/14.696/$BP97/42)</f>
        <v>20.0099327967247</v>
      </c>
      <c r="BB97" s="15" t="n">
        <f aca="false">IF($P97=0,"",Z97*1000/BB$159*$AD$159/14.696/$BP97/42)</f>
        <v>11.7108762969566</v>
      </c>
      <c r="BC97" s="15" t="n">
        <f aca="false">IF($P97=0,"",AA97*1000/BC$159*$AD$159/14.696/$BP97/42)</f>
        <v>0</v>
      </c>
      <c r="BD97" s="55" t="n">
        <f aca="false">SUM(AS97:BC97)</f>
        <v>11350.5980414426</v>
      </c>
      <c r="BE97" s="419" t="n">
        <f aca="false">IF($P97=0,"",E97/$P97*BE$159)</f>
        <v>3.276E-005</v>
      </c>
      <c r="BF97" s="420" t="n">
        <f aca="false">IF($P97=0,"",F97/$P97*BF$159)</f>
        <v>9.35714E-005</v>
      </c>
      <c r="BG97" s="420" t="n">
        <f aca="false">IF($P97=0,"",G97/$P97*BG$159)</f>
        <v>0.00948764</v>
      </c>
      <c r="BH97" s="420" t="n">
        <f aca="false">IF($P97=0,"",H97/$P97*BH$159)</f>
        <v>0.002543506</v>
      </c>
      <c r="BI97" s="420" t="n">
        <f aca="false">IF($P97=0,"",I97/$P97*BI$159)</f>
        <v>0.001317559</v>
      </c>
      <c r="BJ97" s="420" t="n">
        <f aca="false">IF($P97=0,"",J97/$P97*BJ$159)</f>
        <v>0.000193158</v>
      </c>
      <c r="BK97" s="420" t="n">
        <f aca="false">IF($P97=0,"",K97/$P97*BK$159)</f>
        <v>0.00036002</v>
      </c>
      <c r="BL97" s="420" t="n">
        <f aca="false">IF($P97=0,"",L97/$P97*BL$159)</f>
        <v>5.9328E-005</v>
      </c>
      <c r="BM97" s="420" t="n">
        <f aca="false">IF($P97=0,"",M97/$P97*BM$159)</f>
        <v>5.454E-005</v>
      </c>
      <c r="BN97" s="420" t="n">
        <f aca="false">IF($P97=0,"",N97/$P97*BN$159)</f>
        <v>3.80028E-005</v>
      </c>
      <c r="BO97" s="420" t="n">
        <f aca="false">IF($P97=0,"",O97/$P97*BO$159)</f>
        <v>0</v>
      </c>
      <c r="BP97" s="418" t="n">
        <f aca="false">1-AD$159*(SUM(BE97:BO97))^2</f>
        <v>0.997054253941509</v>
      </c>
    </row>
    <row r="98" customFormat="false" ht="15" hidden="false" customHeight="false" outlineLevel="0" collapsed="false">
      <c r="A98" s="413" t="s">
        <v>117</v>
      </c>
      <c r="B98" s="414" t="s">
        <v>310</v>
      </c>
      <c r="C98" s="415" t="n">
        <v>15274.83</v>
      </c>
      <c r="D98" s="416" t="n">
        <v>19337.93</v>
      </c>
      <c r="E98" s="417" t="n">
        <v>0.121</v>
      </c>
      <c r="F98" s="417" t="n">
        <v>0.839</v>
      </c>
      <c r="G98" s="417" t="n">
        <v>79.667</v>
      </c>
      <c r="H98" s="417" t="n">
        <v>10.619</v>
      </c>
      <c r="I98" s="417" t="n">
        <v>4.586</v>
      </c>
      <c r="J98" s="417" t="n">
        <v>0.744</v>
      </c>
      <c r="K98" s="417" t="n">
        <v>1.639</v>
      </c>
      <c r="L98" s="417" t="n">
        <v>0.501</v>
      </c>
      <c r="M98" s="417" t="n">
        <v>0.572</v>
      </c>
      <c r="N98" s="417" t="n">
        <v>0.712</v>
      </c>
      <c r="O98" s="76"/>
      <c r="P98" s="423" t="n">
        <f aca="false">SUM(E98:O98)</f>
        <v>100</v>
      </c>
      <c r="Q98" s="99" t="n">
        <f aca="false">IF($P98=0,"",$C98*E98/$P98)</f>
        <v>18.4825443</v>
      </c>
      <c r="R98" s="100" t="n">
        <f aca="false">IF($P98=0,"",$C98*F98/$P98)</f>
        <v>128.1558237</v>
      </c>
      <c r="S98" s="100" t="n">
        <f aca="false">IF($P98=0,"",$C98*G98/$P98)</f>
        <v>12168.9988161</v>
      </c>
      <c r="T98" s="100" t="n">
        <f aca="false">IF($P98=0,"",$C98*H98/$P98)</f>
        <v>1622.0341977</v>
      </c>
      <c r="U98" s="100" t="n">
        <f aca="false">IF($P98=0,"",$C98*I98/$P98)</f>
        <v>700.5037038</v>
      </c>
      <c r="V98" s="100" t="n">
        <f aca="false">IF($P98=0,"",$C98*J98/$P98)</f>
        <v>113.6447352</v>
      </c>
      <c r="W98" s="100" t="n">
        <f aca="false">IF($P98=0,"",$C98*K98/$P98)</f>
        <v>250.3544637</v>
      </c>
      <c r="X98" s="100" t="n">
        <f aca="false">IF($P98=0,"",$C98*L98/$P98)</f>
        <v>76.5268983</v>
      </c>
      <c r="Y98" s="100" t="n">
        <f aca="false">IF($P98=0,"",$C98*M98/$P98)</f>
        <v>87.3720276</v>
      </c>
      <c r="Z98" s="100" t="n">
        <f aca="false">IF($P98=0,"",$C98*N98/$P98)</f>
        <v>108.7567896</v>
      </c>
      <c r="AA98" s="100" t="n">
        <f aca="false">IF($P98=0,"",$C98*O98/$P98)</f>
        <v>0</v>
      </c>
      <c r="AB98" s="101" t="n">
        <f aca="false">SUM(Q98:AA98)</f>
        <v>15274.83</v>
      </c>
      <c r="AC98" s="424"/>
      <c r="AD98" s="425"/>
      <c r="AE98" s="100" t="n">
        <f aca="false">IF($P98=0,"",S98*AE$159/$BP98/1000)</f>
        <v>12296.5447228711</v>
      </c>
      <c r="AF98" s="100" t="n">
        <f aca="false">IF($P98=0,"",T98*AF$159/$BP98/1000)</f>
        <v>2872.05572457307</v>
      </c>
      <c r="AG98" s="100" t="n">
        <f aca="false">IF($P98=0,"",U98*AG$159/$BP98/1000)</f>
        <v>1763.42761437733</v>
      </c>
      <c r="AH98" s="100" t="n">
        <f aca="false">IF($P98=0,"",V98*AH$159/$BP98/1000)</f>
        <v>369.749146337743</v>
      </c>
      <c r="AI98" s="100" t="n">
        <f aca="false">IF($P98=0,"",W98*AI$159/$BP98/1000)</f>
        <v>817.154672611938</v>
      </c>
      <c r="AJ98" s="100" t="n">
        <f aca="false">IF($P98=0,"",X98*AJ$159/$BP98/1000)</f>
        <v>306.335872788927</v>
      </c>
      <c r="AK98" s="100" t="n">
        <f aca="false">IF($P98=0,"",Y98*AK$159/$BP98/1000)</f>
        <v>350.432734615</v>
      </c>
      <c r="AL98" s="100" t="n">
        <f aca="false">IF($P98=0,"",Z98*AL$159/$BP98/1000)</f>
        <v>558.128496961534</v>
      </c>
      <c r="AM98" s="100" t="n">
        <f aca="false">IF($P98=0,"",AA98*AM$159/$BP98/1000)</f>
        <v>0</v>
      </c>
      <c r="AN98" s="100" t="n">
        <f aca="false">SUM(AC98:AM98)</f>
        <v>19333.8289851367</v>
      </c>
      <c r="AO98" s="100" t="n">
        <f aca="false">D98-AN98</f>
        <v>4.10101486332133</v>
      </c>
      <c r="AP98" s="426" t="n">
        <f aca="false">IF(D98=0,0,AO98/D98)</f>
        <v>0.000212071036730473</v>
      </c>
      <c r="AQ98" s="427" t="n">
        <f aca="false">IF(AB98=0,0,AN98/AB98)*1000</f>
        <v>1265.73120520076</v>
      </c>
      <c r="AR98" s="428" t="n">
        <f aca="false">IF(C98=0,0,D98/C98)*1000</f>
        <v>1265.99968706689</v>
      </c>
      <c r="AS98" s="429" t="n">
        <f aca="false">IF($P98=0,"",Q98*1000/AS$159*$AD$159/14.696/$BP98/42)</f>
        <v>7.49475919799688</v>
      </c>
      <c r="AT98" s="100" t="n">
        <f aca="false">IF($P98=0,"",R98*1000/AT$159*$AD$159/14.696/$BP98/42)</f>
        <v>33.5012287599093</v>
      </c>
      <c r="AU98" s="100" t="n">
        <f aca="false">IF($P98=0,"",S98*1000/AU$159*$AD$159/14.696/$BP98/42)</f>
        <v>4901.87739831969</v>
      </c>
      <c r="AV98" s="100" t="n">
        <f aca="false">IF($P98=0,"",T98*1000/AV$159*$AD$159/14.696/$BP98/42)</f>
        <v>1030.72299237478</v>
      </c>
      <c r="AW98" s="100" t="n">
        <f aca="false">IF($P98=0,"",U98*1000/AW$159*$AD$159/14.696/$BP98/42)</f>
        <v>458.554199318553</v>
      </c>
      <c r="AX98" s="100" t="n">
        <f aca="false">IF($P98=0,"",V98*1000/AX$159*$AD$159/14.696/$BP98/42)</f>
        <v>88.364396029829</v>
      </c>
      <c r="AY98" s="100" t="n">
        <f aca="false">IF($P98=0,"",W98*1000/AY$159*$AD$159/14.696/$BP98/42)</f>
        <v>187.53778884307</v>
      </c>
      <c r="AZ98" s="100" t="n">
        <f aca="false">IF($P98=0,"",X98*1000/AZ$159*$AD$159/14.696/$BP98/42)</f>
        <v>66.4991251518974</v>
      </c>
      <c r="BA98" s="100" t="n">
        <f aca="false">IF($P98=0,"",Y98*1000/BA$159*$AD$159/14.696/$BP98/42)</f>
        <v>75.2533557279737</v>
      </c>
      <c r="BB98" s="100" t="n">
        <f aca="false">IF($P98=0,"",Z98*1000/BB$159*$AD$159/14.696/$BP98/42)</f>
        <v>112.13557960627</v>
      </c>
      <c r="BC98" s="100" t="n">
        <f aca="false">IF($P98=0,"",AA98*1000/BC$159*$AD$159/14.696/$BP98/42)</f>
        <v>0</v>
      </c>
      <c r="BD98" s="430" t="n">
        <f aca="false">SUM(AS98:BC98)</f>
        <v>6961.94082332996</v>
      </c>
      <c r="BE98" s="424" t="n">
        <f aca="false">IF($P98=0,"",E98/$P98*BE$159)</f>
        <v>2.3595E-005</v>
      </c>
      <c r="BF98" s="425" t="n">
        <f aca="false">IF($P98=0,"",F98/$P98*BF$159)</f>
        <v>3.70838E-005</v>
      </c>
      <c r="BG98" s="425" t="n">
        <f aca="false">IF($P98=0,"",G98/$P98*BG$159)</f>
        <v>0.009241372</v>
      </c>
      <c r="BH98" s="425" t="n">
        <f aca="false">IF($P98=0,"",H98/$P98*BH$159)</f>
        <v>0.002527322</v>
      </c>
      <c r="BI98" s="425" t="n">
        <f aca="false">IF($P98=0,"",I98/$P98*BI$159)</f>
        <v>0.001591342</v>
      </c>
      <c r="BJ98" s="425" t="n">
        <f aca="false">IF($P98=0,"",J98/$P98*BJ$159)</f>
        <v>0.000328104</v>
      </c>
      <c r="BK98" s="425" t="n">
        <f aca="false">IF($P98=0,"",K98/$P98*BK$159)</f>
        <v>0.00077033</v>
      </c>
      <c r="BL98" s="425" t="n">
        <f aca="false">IF($P98=0,"",L98/$P98*BL$159)</f>
        <v>0.000288576</v>
      </c>
      <c r="BM98" s="425" t="n">
        <f aca="false">IF($P98=0,"",M98/$P98*BM$159)</f>
        <v>0.000346632</v>
      </c>
      <c r="BN98" s="425" t="n">
        <f aca="false">IF($P98=0,"",N98/$P98*BN$159)</f>
        <v>0.0006149544</v>
      </c>
      <c r="BO98" s="425" t="n">
        <f aca="false">IF($P98=0,"",O98/$P98*BO$159)</f>
        <v>0</v>
      </c>
      <c r="BP98" s="423" t="n">
        <f aca="false">1-AD$159*(SUM(BE98:BO98))^2</f>
        <v>0.996356967275666</v>
      </c>
    </row>
    <row r="99" customFormat="false" ht="15" hidden="false" customHeight="false" outlineLevel="0" collapsed="false">
      <c r="A99" s="413" t="s">
        <v>130</v>
      </c>
      <c r="B99" s="414" t="s">
        <v>311</v>
      </c>
      <c r="C99" s="416" t="n">
        <v>31266.74</v>
      </c>
      <c r="D99" s="416" t="n">
        <v>39396.09</v>
      </c>
      <c r="E99" s="417" t="n">
        <v>0.157</v>
      </c>
      <c r="F99" s="417" t="n">
        <v>0.886</v>
      </c>
      <c r="G99" s="417" t="n">
        <v>78.052</v>
      </c>
      <c r="H99" s="417" t="n">
        <v>12.031</v>
      </c>
      <c r="I99" s="417" t="n">
        <v>5.447</v>
      </c>
      <c r="J99" s="417" t="n">
        <v>0.791</v>
      </c>
      <c r="K99" s="417" t="n">
        <v>1.704</v>
      </c>
      <c r="L99" s="417" t="n">
        <v>0.35</v>
      </c>
      <c r="M99" s="417" t="n">
        <v>0.356</v>
      </c>
      <c r="N99" s="417" t="n">
        <v>0.226</v>
      </c>
      <c r="O99" s="76"/>
      <c r="P99" s="418" t="n">
        <f aca="false">SUM(E99:O99)</f>
        <v>100</v>
      </c>
      <c r="Q99" s="14" t="n">
        <f aca="false">IF($P99=0,"",$C99*E99/$P99)</f>
        <v>49.0887818</v>
      </c>
      <c r="R99" s="15" t="n">
        <f aca="false">IF($P99=0,"",$C99*F99/$P99)</f>
        <v>277.0233164</v>
      </c>
      <c r="S99" s="15" t="n">
        <f aca="false">IF($P99=0,"",$C99*G99/$P99)</f>
        <v>24404.3159048</v>
      </c>
      <c r="T99" s="15" t="n">
        <f aca="false">IF($P99=0,"",$C99*H99/$P99)</f>
        <v>3761.7014894</v>
      </c>
      <c r="U99" s="15" t="n">
        <f aca="false">IF($P99=0,"",$C99*I99/$P99)</f>
        <v>1703.0993278</v>
      </c>
      <c r="V99" s="15" t="n">
        <f aca="false">IF($P99=0,"",$C99*J99/$P99)</f>
        <v>247.3199134</v>
      </c>
      <c r="W99" s="15" t="n">
        <f aca="false">IF($P99=0,"",$C99*K99/$P99)</f>
        <v>532.7852496</v>
      </c>
      <c r="X99" s="15" t="n">
        <f aca="false">IF($P99=0,"",$C99*L99/$P99)</f>
        <v>109.43359</v>
      </c>
      <c r="Y99" s="15" t="n">
        <f aca="false">IF($P99=0,"",$C99*M99/$P99)</f>
        <v>111.3095944</v>
      </c>
      <c r="Z99" s="15" t="n">
        <f aca="false">IF($P99=0,"",$C99*N99/$P99)</f>
        <v>70.6628324</v>
      </c>
      <c r="AA99" s="15" t="n">
        <f aca="false">IF($P99=0,"",$C99*O99/$P99)</f>
        <v>0</v>
      </c>
      <c r="AB99" s="16" t="n">
        <f aca="false">SUM(Q99:AA99)</f>
        <v>31266.74</v>
      </c>
      <c r="AC99" s="419"/>
      <c r="AD99" s="420"/>
      <c r="AE99" s="15" t="n">
        <f aca="false">IF($P99=0,"",S99*AE$159/$BP99/1000)</f>
        <v>24658.624975151</v>
      </c>
      <c r="AF99" s="15" t="n">
        <f aca="false">IF($P99=0,"",T99*AF$159/$BP99/1000)</f>
        <v>6660.2596031396</v>
      </c>
      <c r="AG99" s="15" t="n">
        <f aca="false">IF($P99=0,"",U99*AG$159/$BP99/1000)</f>
        <v>4287.07569426638</v>
      </c>
      <c r="AH99" s="15" t="n">
        <f aca="false">IF($P99=0,"",V99*AH$159/$BP99/1000)</f>
        <v>804.620174118207</v>
      </c>
      <c r="AI99" s="15" t="n">
        <f aca="false">IF($P99=0,"",W99*AI$159/$BP99/1000)</f>
        <v>1738.90195082191</v>
      </c>
      <c r="AJ99" s="15" t="n">
        <f aca="false">IF($P99=0,"",X99*AJ$159/$BP99/1000)</f>
        <v>438.034547924169</v>
      </c>
      <c r="AK99" s="15" t="n">
        <f aca="false">IF($P99=0,"",Y99*AK$159/$BP99/1000)</f>
        <v>446.415048718128</v>
      </c>
      <c r="AL99" s="15" t="n">
        <f aca="false">IF($P99=0,"",Z99*AL$159/$BP99/1000)</f>
        <v>362.612551113059</v>
      </c>
      <c r="AM99" s="15" t="n">
        <f aca="false">IF($P99=0,"",AA99*AM$159/$BP99/1000)</f>
        <v>0</v>
      </c>
      <c r="AN99" s="15" t="n">
        <f aca="false">SUM(AC99:AM99)</f>
        <v>39396.5445452525</v>
      </c>
      <c r="AO99" s="15" t="n">
        <f aca="false">D99-AN99</f>
        <v>-0.454545252476237</v>
      </c>
      <c r="AP99" s="421" t="n">
        <f aca="false">IF(D99=0,0,AO99/D99)</f>
        <v>-1.1537826532436E-005</v>
      </c>
      <c r="AQ99" s="75" t="n">
        <f aca="false">IF(AB99=0,0,AN99/AB99)*1000</f>
        <v>1260.01446090166</v>
      </c>
      <c r="AR99" s="340" t="n">
        <f aca="false">IF(C99=0,0,D99/C99)*1000</f>
        <v>1259.99992324112</v>
      </c>
      <c r="AS99" s="422" t="n">
        <f aca="false">IF($P99=0,"",Q99*1000/AS$159*$AD$159/14.696/$BP99/42)</f>
        <v>19.9045404564629</v>
      </c>
      <c r="AT99" s="15" t="n">
        <f aca="false">IF($P99=0,"",R99*1000/AT$159*$AD$159/14.696/$BP99/42)</f>
        <v>72.4123575055801</v>
      </c>
      <c r="AU99" s="15" t="n">
        <f aca="false">IF($P99=0,"",S99*1000/AU$159*$AD$159/14.696/$BP99/42)</f>
        <v>9829.87978846722</v>
      </c>
      <c r="AV99" s="15" t="n">
        <f aca="false">IF($P99=0,"",T99*1000/AV$159*$AD$159/14.696/$BP99/42)</f>
        <v>2390.23311748638</v>
      </c>
      <c r="AW99" s="15" t="n">
        <f aca="false">IF($P99=0,"",U99*1000/AW$159*$AD$159/14.696/$BP99/42)</f>
        <v>1114.79288765504</v>
      </c>
      <c r="AX99" s="15" t="n">
        <f aca="false">IF($P99=0,"",V99*1000/AX$159*$AD$159/14.696/$BP99/42)</f>
        <v>192.291926630781</v>
      </c>
      <c r="AY99" s="15" t="n">
        <f aca="false">IF($P99=0,"",W99*1000/AY$159*$AD$159/14.696/$BP99/42)</f>
        <v>399.079681977061</v>
      </c>
      <c r="AZ99" s="15" t="n">
        <f aca="false">IF($P99=0,"",X99*1000/AZ$159*$AD$159/14.696/$BP99/42)</f>
        <v>95.0881591439817</v>
      </c>
      <c r="BA99" s="15" t="n">
        <f aca="false">IF($P99=0,"",Y99*1000/BA$159*$AD$159/14.696/$BP99/42)</f>
        <v>95.8649896118125</v>
      </c>
      <c r="BB99" s="15" t="n">
        <f aca="false">IF($P99=0,"",Z99*1000/BB$159*$AD$159/14.696/$BP99/42)</f>
        <v>72.8537761697076</v>
      </c>
      <c r="BC99" s="15" t="n">
        <f aca="false">IF($P99=0,"",AA99*1000/BC$159*$AD$159/14.696/$BP99/42)</f>
        <v>0</v>
      </c>
      <c r="BD99" s="55" t="n">
        <f aca="false">SUM(AS99:BC99)</f>
        <v>14282.401225104</v>
      </c>
      <c r="BE99" s="419" t="n">
        <f aca="false">IF($P99=0,"",E99/$P99*BE$159)</f>
        <v>3.0615E-005</v>
      </c>
      <c r="BF99" s="420" t="n">
        <f aca="false">IF($P99=0,"",F99/$P99*BF$159)</f>
        <v>3.91612E-005</v>
      </c>
      <c r="BG99" s="420" t="n">
        <f aca="false">IF($P99=0,"",G99/$P99*BG$159)</f>
        <v>0.009054032</v>
      </c>
      <c r="BH99" s="420" t="n">
        <f aca="false">IF($P99=0,"",H99/$P99*BH$159)</f>
        <v>0.002863378</v>
      </c>
      <c r="BI99" s="420" t="n">
        <f aca="false">IF($P99=0,"",I99/$P99*BI$159)</f>
        <v>0.001890109</v>
      </c>
      <c r="BJ99" s="420" t="n">
        <f aca="false">IF($P99=0,"",J99/$P99*BJ$159)</f>
        <v>0.000348831</v>
      </c>
      <c r="BK99" s="420" t="n">
        <f aca="false">IF($P99=0,"",K99/$P99*BK$159)</f>
        <v>0.00080088</v>
      </c>
      <c r="BL99" s="420" t="n">
        <f aca="false">IF($P99=0,"",L99/$P99*BL$159)</f>
        <v>0.0002016</v>
      </c>
      <c r="BM99" s="420" t="n">
        <f aca="false">IF($P99=0,"",M99/$P99*BM$159)</f>
        <v>0.000215736</v>
      </c>
      <c r="BN99" s="420" t="n">
        <f aca="false">IF($P99=0,"",N99/$P99*BN$159)</f>
        <v>0.0001951962</v>
      </c>
      <c r="BO99" s="420" t="n">
        <f aca="false">IF($P99=0,"",O99/$P99*BO$159)</f>
        <v>0</v>
      </c>
      <c r="BP99" s="418" t="n">
        <f aca="false">1-AD$159*(SUM(BE99:BO99))^2</f>
        <v>0.996416680886002</v>
      </c>
    </row>
    <row r="100" customFormat="false" ht="15" hidden="false" customHeight="false" outlineLevel="0" collapsed="false">
      <c r="A100" s="413" t="s">
        <v>138</v>
      </c>
      <c r="B100" s="414" t="s">
        <v>312</v>
      </c>
      <c r="C100" s="415" t="n">
        <v>0</v>
      </c>
      <c r="D100" s="416" t="n">
        <v>0</v>
      </c>
      <c r="E100" s="417" t="n">
        <v>0</v>
      </c>
      <c r="F100" s="417" t="n">
        <v>0</v>
      </c>
      <c r="G100" s="417" t="n">
        <v>100</v>
      </c>
      <c r="H100" s="417" t="n">
        <v>0</v>
      </c>
      <c r="I100" s="417" t="n">
        <v>0</v>
      </c>
      <c r="J100" s="417" t="n">
        <v>0</v>
      </c>
      <c r="K100" s="417" t="n">
        <v>0</v>
      </c>
      <c r="L100" s="417" t="n">
        <v>0</v>
      </c>
      <c r="M100" s="417" t="n">
        <v>0</v>
      </c>
      <c r="N100" s="417" t="n">
        <v>0</v>
      </c>
      <c r="O100" s="76"/>
      <c r="P100" s="423" t="n">
        <f aca="false">SUM(E100:O100)</f>
        <v>100</v>
      </c>
      <c r="Q100" s="99" t="n">
        <f aca="false">IF($P100=0,"",$C100*E100/$P100)</f>
        <v>0</v>
      </c>
      <c r="R100" s="100" t="n">
        <f aca="false">IF($P100=0,"",$C100*F100/$P100)</f>
        <v>0</v>
      </c>
      <c r="S100" s="100" t="n">
        <f aca="false">IF($P100=0,"",$C100*G100/$P100)</f>
        <v>0</v>
      </c>
      <c r="T100" s="100" t="n">
        <f aca="false">IF($P100=0,"",$C100*H100/$P100)</f>
        <v>0</v>
      </c>
      <c r="U100" s="100" t="n">
        <f aca="false">IF($P100=0,"",$C100*I100/$P100)</f>
        <v>0</v>
      </c>
      <c r="V100" s="100" t="n">
        <f aca="false">IF($P100=0,"",$C100*J100/$P100)</f>
        <v>0</v>
      </c>
      <c r="W100" s="100" t="n">
        <f aca="false">IF($P100=0,"",$C100*K100/$P100)</f>
        <v>0</v>
      </c>
      <c r="X100" s="100" t="n">
        <f aca="false">IF($P100=0,"",$C100*L100/$P100)</f>
        <v>0</v>
      </c>
      <c r="Y100" s="100" t="n">
        <f aca="false">IF($P100=0,"",$C100*M100/$P100)</f>
        <v>0</v>
      </c>
      <c r="Z100" s="100" t="n">
        <f aca="false">IF($P100=0,"",$C100*N100/$P100)</f>
        <v>0</v>
      </c>
      <c r="AA100" s="100" t="n">
        <f aca="false">IF($P100=0,"",$C100*O100/$P100)</f>
        <v>0</v>
      </c>
      <c r="AB100" s="101" t="n">
        <f aca="false">SUM(Q100:AA100)</f>
        <v>0</v>
      </c>
      <c r="AC100" s="424"/>
      <c r="AD100" s="425"/>
      <c r="AE100" s="100" t="n">
        <f aca="false">IF($P100=0,"",S100*AE$159/$BP100/1000)</f>
        <v>0</v>
      </c>
      <c r="AF100" s="100" t="n">
        <f aca="false">IF($P100=0,"",T100*AF$159/$BP100/1000)</f>
        <v>0</v>
      </c>
      <c r="AG100" s="100" t="n">
        <f aca="false">IF($P100=0,"",U100*AG$159/$BP100/1000)</f>
        <v>0</v>
      </c>
      <c r="AH100" s="100" t="n">
        <f aca="false">IF($P100=0,"",V100*AH$159/$BP100/1000)</f>
        <v>0</v>
      </c>
      <c r="AI100" s="100" t="n">
        <f aca="false">IF($P100=0,"",W100*AI$159/$BP100/1000)</f>
        <v>0</v>
      </c>
      <c r="AJ100" s="100" t="n">
        <f aca="false">IF($P100=0,"",X100*AJ$159/$BP100/1000)</f>
        <v>0</v>
      </c>
      <c r="AK100" s="100" t="n">
        <f aca="false">IF($P100=0,"",Y100*AK$159/$BP100/1000)</f>
        <v>0</v>
      </c>
      <c r="AL100" s="100" t="n">
        <f aca="false">IF($P100=0,"",Z100*AL$159/$BP100/1000)</f>
        <v>0</v>
      </c>
      <c r="AM100" s="100" t="n">
        <f aca="false">IF($P100=0,"",AA100*AM$159/$BP100/1000)</f>
        <v>0</v>
      </c>
      <c r="AN100" s="100" t="n">
        <f aca="false">SUM(AC100:AM100)</f>
        <v>0</v>
      </c>
      <c r="AO100" s="100" t="n">
        <f aca="false">D100-AN100</f>
        <v>0</v>
      </c>
      <c r="AP100" s="426" t="n">
        <f aca="false">IF(D100=0,0,AO100/D100)</f>
        <v>0</v>
      </c>
      <c r="AQ100" s="427" t="n">
        <f aca="false">IF(AB100=0,0,AN100/AB100)*1000</f>
        <v>0</v>
      </c>
      <c r="AR100" s="428" t="n">
        <f aca="false">IF(C100=0,0,D100/C100)*1000</f>
        <v>0</v>
      </c>
      <c r="AS100" s="429" t="n">
        <f aca="false">IF($P100=0,"",Q100*1000/AS$159*$AD$159/14.696/$BP100/42)</f>
        <v>0</v>
      </c>
      <c r="AT100" s="100" t="n">
        <f aca="false">IF($P100=0,"",R100*1000/AT$159*$AD$159/14.696/$BP100/42)</f>
        <v>0</v>
      </c>
      <c r="AU100" s="100" t="n">
        <f aca="false">IF($P100=0,"",S100*1000/AU$159*$AD$159/14.696/$BP100/42)</f>
        <v>0</v>
      </c>
      <c r="AV100" s="100" t="n">
        <f aca="false">IF($P100=0,"",T100*1000/AV$159*$AD$159/14.696/$BP100/42)</f>
        <v>0</v>
      </c>
      <c r="AW100" s="100" t="n">
        <f aca="false">IF($P100=0,"",U100*1000/AW$159*$AD$159/14.696/$BP100/42)</f>
        <v>0</v>
      </c>
      <c r="AX100" s="100" t="n">
        <f aca="false">IF($P100=0,"",V100*1000/AX$159*$AD$159/14.696/$BP100/42)</f>
        <v>0</v>
      </c>
      <c r="AY100" s="100" t="n">
        <f aca="false">IF($P100=0,"",W100*1000/AY$159*$AD$159/14.696/$BP100/42)</f>
        <v>0</v>
      </c>
      <c r="AZ100" s="100" t="n">
        <f aca="false">IF($P100=0,"",X100*1000/AZ$159*$AD$159/14.696/$BP100/42)</f>
        <v>0</v>
      </c>
      <c r="BA100" s="100" t="n">
        <f aca="false">IF($P100=0,"",Y100*1000/BA$159*$AD$159/14.696/$BP100/42)</f>
        <v>0</v>
      </c>
      <c r="BB100" s="100" t="n">
        <f aca="false">IF($P100=0,"",Z100*1000/BB$159*$AD$159/14.696/$BP100/42)</f>
        <v>0</v>
      </c>
      <c r="BC100" s="100" t="n">
        <f aca="false">IF($P100=0,"",AA100*1000/BC$159*$AD$159/14.696/$BP100/42)</f>
        <v>0</v>
      </c>
      <c r="BD100" s="430" t="n">
        <f aca="false">SUM(AS100:BC100)</f>
        <v>0</v>
      </c>
      <c r="BE100" s="424" t="n">
        <f aca="false">IF($P100=0,"",E100/$P100*BE$159)</f>
        <v>0</v>
      </c>
      <c r="BF100" s="425" t="n">
        <f aca="false">IF($P100=0,"",F100/$P100*BF$159)</f>
        <v>0</v>
      </c>
      <c r="BG100" s="425" t="n">
        <f aca="false">IF($P100=0,"",G100/$P100*BG$159)</f>
        <v>0.0116</v>
      </c>
      <c r="BH100" s="425" t="n">
        <f aca="false">IF($P100=0,"",H100/$P100*BH$159)</f>
        <v>0</v>
      </c>
      <c r="BI100" s="425" t="n">
        <f aca="false">IF($P100=0,"",I100/$P100*BI$159)</f>
        <v>0</v>
      </c>
      <c r="BJ100" s="425" t="n">
        <f aca="false">IF($P100=0,"",J100/$P100*BJ$159)</f>
        <v>0</v>
      </c>
      <c r="BK100" s="425" t="n">
        <f aca="false">IF($P100=0,"",K100/$P100*BK$159)</f>
        <v>0</v>
      </c>
      <c r="BL100" s="425" t="n">
        <f aca="false">IF($P100=0,"",L100/$P100*BL$159)</f>
        <v>0</v>
      </c>
      <c r="BM100" s="425" t="n">
        <f aca="false">IF($P100=0,"",M100/$P100*BM$159)</f>
        <v>0</v>
      </c>
      <c r="BN100" s="425" t="n">
        <f aca="false">IF($P100=0,"",N100/$P100*BN$159)</f>
        <v>0</v>
      </c>
      <c r="BO100" s="425" t="n">
        <f aca="false">IF($P100=0,"",O100/$P100*BO$159)</f>
        <v>0</v>
      </c>
      <c r="BP100" s="423" t="n">
        <f aca="false">1-AD$159*(SUM(BE100:BO100))^2</f>
        <v>0.998028696</v>
      </c>
    </row>
    <row r="101" customFormat="false" ht="15" hidden="false" customHeight="false" outlineLevel="0" collapsed="false">
      <c r="A101" s="413" t="s">
        <v>132</v>
      </c>
      <c r="B101" s="414" t="s">
        <v>313</v>
      </c>
      <c r="C101" s="415" t="n">
        <v>14056.53</v>
      </c>
      <c r="D101" s="416" t="n">
        <v>14112.76</v>
      </c>
      <c r="E101" s="417"/>
      <c r="F101" s="417" t="n">
        <v>1.099</v>
      </c>
      <c r="G101" s="417" t="n">
        <v>98.081</v>
      </c>
      <c r="H101" s="417" t="n">
        <v>0.775</v>
      </c>
      <c r="I101" s="417" t="n">
        <v>0.045</v>
      </c>
      <c r="J101" s="417"/>
      <c r="K101" s="417"/>
      <c r="L101" s="417"/>
      <c r="M101" s="417"/>
      <c r="N101" s="417" t="n">
        <v>0</v>
      </c>
      <c r="O101" s="76"/>
      <c r="P101" s="418" t="n">
        <f aca="false">SUM(E101:O101)</f>
        <v>100</v>
      </c>
      <c r="Q101" s="14" t="n">
        <f aca="false">IF($P101=0,"",$C101*E101/$P101)</f>
        <v>0</v>
      </c>
      <c r="R101" s="15" t="n">
        <f aca="false">IF($P101=0,"",$C101*F101/$P101)</f>
        <v>154.4812647</v>
      </c>
      <c r="S101" s="15" t="n">
        <f aca="false">IF($P101=0,"",$C101*G101/$P101)</f>
        <v>13786.7851893</v>
      </c>
      <c r="T101" s="15" t="n">
        <f aca="false">IF($P101=0,"",$C101*H101/$P101)</f>
        <v>108.9381075</v>
      </c>
      <c r="U101" s="15" t="n">
        <f aca="false">IF($P101=0,"",$C101*I101/$P101)</f>
        <v>6.3254385</v>
      </c>
      <c r="V101" s="15" t="n">
        <f aca="false">IF($P101=0,"",$C101*J101/$P101)</f>
        <v>0</v>
      </c>
      <c r="W101" s="15" t="n">
        <f aca="false">IF($P101=0,"",$C101*K101/$P101)</f>
        <v>0</v>
      </c>
      <c r="X101" s="15" t="n">
        <f aca="false">IF($P101=0,"",$C101*L101/$P101)</f>
        <v>0</v>
      </c>
      <c r="Y101" s="15" t="n">
        <f aca="false">IF($P101=0,"",$C101*M101/$P101)</f>
        <v>0</v>
      </c>
      <c r="Z101" s="15" t="n">
        <f aca="false">IF($P101=0,"",$C101*N101/$P101)</f>
        <v>0</v>
      </c>
      <c r="AA101" s="15" t="n">
        <f aca="false">IF($P101=0,"",$C101*O101/$P101)</f>
        <v>0</v>
      </c>
      <c r="AB101" s="16" t="n">
        <f aca="false">SUM(Q101:AA101)</f>
        <v>14056.53</v>
      </c>
      <c r="AC101" s="419"/>
      <c r="AD101" s="420"/>
      <c r="AE101" s="15" t="n">
        <f aca="false">IF($P101=0,"",S101*AE$159/$BP101/1000)</f>
        <v>13908.0755897084</v>
      </c>
      <c r="AF101" s="15" t="n">
        <f aca="false">IF($P101=0,"",T101*AF$159/$BP101/1000)</f>
        <v>192.569929161576</v>
      </c>
      <c r="AG101" s="15" t="n">
        <f aca="false">IF($P101=0,"",U101*AG$159/$BP101/1000)</f>
        <v>15.8969433898855</v>
      </c>
      <c r="AH101" s="15" t="n">
        <f aca="false">IF($P101=0,"",V101*AH$159/$BP101/1000)</f>
        <v>0</v>
      </c>
      <c r="AI101" s="15" t="n">
        <f aca="false">IF($P101=0,"",W101*AI$159/$BP101/1000)</f>
        <v>0</v>
      </c>
      <c r="AJ101" s="15" t="n">
        <f aca="false">IF($P101=0,"",X101*AJ$159/$BP101/1000)</f>
        <v>0</v>
      </c>
      <c r="AK101" s="15" t="n">
        <f aca="false">IF($P101=0,"",Y101*AK$159/$BP101/1000)</f>
        <v>0</v>
      </c>
      <c r="AL101" s="15" t="n">
        <f aca="false">IF($P101=0,"",Z101*AL$159/$BP101/1000)</f>
        <v>0</v>
      </c>
      <c r="AM101" s="15" t="n">
        <f aca="false">IF($P101=0,"",AA101*AM$159/$BP101/1000)</f>
        <v>0</v>
      </c>
      <c r="AN101" s="15" t="n">
        <f aca="false">SUM(AC101:AM101)</f>
        <v>14116.5424622598</v>
      </c>
      <c r="AO101" s="15" t="n">
        <f aca="false">D101-AN101</f>
        <v>-3.78246225984549</v>
      </c>
      <c r="AP101" s="421" t="n">
        <f aca="false">IF(D101=0,0,AO101/D101)</f>
        <v>-0.000268017188689207</v>
      </c>
      <c r="AQ101" s="75" t="n">
        <f aca="false">IF(AB101=0,0,AN101/AB101)*1000</f>
        <v>1004.26936535972</v>
      </c>
      <c r="AR101" s="340" t="n">
        <f aca="false">IF(C101=0,0,D101/C101)*1000</f>
        <v>1004.00027602829</v>
      </c>
      <c r="AS101" s="422" t="n">
        <f aca="false">IF($P101=0,"",Q101*1000/AS$159*$AD$159/14.696/$BP101/42)</f>
        <v>0</v>
      </c>
      <c r="AT101" s="15" t="n">
        <f aca="false">IF($P101=0,"",R101*1000/AT$159*$AD$159/14.696/$BP101/42)</f>
        <v>40.3156805171321</v>
      </c>
      <c r="AU101" s="15" t="n">
        <f aca="false">IF($P101=0,"",S101*1000/AU$159*$AD$159/14.696/$BP101/42)</f>
        <v>5544.29581022944</v>
      </c>
      <c r="AV101" s="15" t="n">
        <f aca="false">IF($P101=0,"",T101*1000/AV$159*$AD$159/14.696/$BP101/42)</f>
        <v>69.1094716333622</v>
      </c>
      <c r="AW101" s="15" t="n">
        <f aca="false">IF($P101=0,"",U101*1000/AW$159*$AD$159/14.696/$BP101/42)</f>
        <v>4.1337733901458</v>
      </c>
      <c r="AX101" s="15" t="n">
        <f aca="false">IF($P101=0,"",V101*1000/AX$159*$AD$159/14.696/$BP101/42)</f>
        <v>0</v>
      </c>
      <c r="AY101" s="15" t="n">
        <f aca="false">IF($P101=0,"",W101*1000/AY$159*$AD$159/14.696/$BP101/42)</f>
        <v>0</v>
      </c>
      <c r="AZ101" s="15" t="n">
        <f aca="false">IF($P101=0,"",X101*1000/AZ$159*$AD$159/14.696/$BP101/42)</f>
        <v>0</v>
      </c>
      <c r="BA101" s="15" t="n">
        <f aca="false">IF($P101=0,"",Y101*1000/BA$159*$AD$159/14.696/$BP101/42)</f>
        <v>0</v>
      </c>
      <c r="BB101" s="15" t="n">
        <f aca="false">IF($P101=0,"",Z101*1000/BB$159*$AD$159/14.696/$BP101/42)</f>
        <v>0</v>
      </c>
      <c r="BC101" s="15" t="n">
        <f aca="false">IF($P101=0,"",AA101*1000/BC$159*$AD$159/14.696/$BP101/42)</f>
        <v>0</v>
      </c>
      <c r="BD101" s="55" t="n">
        <f aca="false">SUM(AS101:BC101)</f>
        <v>5657.85473577008</v>
      </c>
      <c r="BE101" s="419" t="n">
        <f aca="false">IF($P101=0,"",E101/$P101*BE$159)</f>
        <v>0</v>
      </c>
      <c r="BF101" s="420" t="n">
        <f aca="false">IF($P101=0,"",F101/$P101*BF$159)</f>
        <v>4.85758E-005</v>
      </c>
      <c r="BG101" s="420" t="n">
        <f aca="false">IF($P101=0,"",G101/$P101*BG$159)</f>
        <v>0.011377396</v>
      </c>
      <c r="BH101" s="420" t="n">
        <f aca="false">IF($P101=0,"",H101/$P101*BH$159)</f>
        <v>0.00018445</v>
      </c>
      <c r="BI101" s="420" t="n">
        <f aca="false">IF($P101=0,"",I101/$P101*BI$159)</f>
        <v>1.5615E-005</v>
      </c>
      <c r="BJ101" s="420" t="n">
        <f aca="false">IF($P101=0,"",J101/$P101*BJ$159)</f>
        <v>0</v>
      </c>
      <c r="BK101" s="420" t="n">
        <f aca="false">IF($P101=0,"",K101/$P101*BK$159)</f>
        <v>0</v>
      </c>
      <c r="BL101" s="420" t="n">
        <f aca="false">IF($P101=0,"",L101/$P101*BL$159)</f>
        <v>0</v>
      </c>
      <c r="BM101" s="420" t="n">
        <f aca="false">IF($P101=0,"",M101/$P101*BM$159)</f>
        <v>0</v>
      </c>
      <c r="BN101" s="420" t="n">
        <f aca="false">IF($P101=0,"",N101/$P101*BN$159)</f>
        <v>0</v>
      </c>
      <c r="BO101" s="420" t="n">
        <f aca="false">IF($P101=0,"",O101/$P101*BO$159)</f>
        <v>0</v>
      </c>
      <c r="BP101" s="418" t="n">
        <f aca="false">1-AD$159*(SUM(BE101:BO101))^2</f>
        <v>0.998019836680962</v>
      </c>
    </row>
    <row r="102" customFormat="false" ht="15" hidden="false" customHeight="false" outlineLevel="0" collapsed="false">
      <c r="A102" s="413" t="s">
        <v>133</v>
      </c>
      <c r="B102" s="414" t="s">
        <v>314</v>
      </c>
      <c r="C102" s="415" t="n">
        <v>9614.86</v>
      </c>
      <c r="D102" s="416" t="n">
        <v>9720.62</v>
      </c>
      <c r="E102" s="417"/>
      <c r="F102" s="417" t="n">
        <v>1.095</v>
      </c>
      <c r="G102" s="417" t="n">
        <v>97.438</v>
      </c>
      <c r="H102" s="417" t="n">
        <v>1.242</v>
      </c>
      <c r="I102" s="417" t="n">
        <v>0.189</v>
      </c>
      <c r="J102" s="417" t="n">
        <v>0.014</v>
      </c>
      <c r="K102" s="417" t="n">
        <v>0.022</v>
      </c>
      <c r="L102" s="417"/>
      <c r="M102" s="417"/>
      <c r="N102" s="417" t="n">
        <v>0</v>
      </c>
      <c r="O102" s="76"/>
      <c r="P102" s="423" t="n">
        <f aca="false">SUM(E102:O102)</f>
        <v>100</v>
      </c>
      <c r="Q102" s="99" t="n">
        <f aca="false">IF($P102=0,"",$C102*E102/$P102)</f>
        <v>0</v>
      </c>
      <c r="R102" s="100" t="n">
        <f aca="false">IF($P102=0,"",$C102*F102/$P102)</f>
        <v>105.282717</v>
      </c>
      <c r="S102" s="100" t="n">
        <f aca="false">IF($P102=0,"",$C102*G102/$P102)</f>
        <v>9368.5272868</v>
      </c>
      <c r="T102" s="100" t="n">
        <f aca="false">IF($P102=0,"",$C102*H102/$P102)</f>
        <v>119.4165612</v>
      </c>
      <c r="U102" s="100" t="n">
        <f aca="false">IF($P102=0,"",$C102*I102/$P102)</f>
        <v>18.1720854</v>
      </c>
      <c r="V102" s="100" t="n">
        <f aca="false">IF($P102=0,"",$C102*J102/$P102)</f>
        <v>1.3460804</v>
      </c>
      <c r="W102" s="100" t="n">
        <f aca="false">IF($P102=0,"",$C102*K102/$P102)</f>
        <v>2.1152692</v>
      </c>
      <c r="X102" s="100" t="n">
        <f aca="false">IF($P102=0,"",$C102*L102/$P102)</f>
        <v>0</v>
      </c>
      <c r="Y102" s="100" t="n">
        <f aca="false">IF($P102=0,"",$C102*M102/$P102)</f>
        <v>0</v>
      </c>
      <c r="Z102" s="100" t="n">
        <f aca="false">IF($P102=0,"",$C102*N102/$P102)</f>
        <v>0</v>
      </c>
      <c r="AA102" s="100" t="n">
        <f aca="false">IF($P102=0,"",$C102*O102/$P102)</f>
        <v>0</v>
      </c>
      <c r="AB102" s="101" t="n">
        <f aca="false">SUM(Q102:AA102)</f>
        <v>9614.86</v>
      </c>
      <c r="AC102" s="424"/>
      <c r="AD102" s="425"/>
      <c r="AE102" s="100" t="n">
        <f aca="false">IF($P102=0,"",S102*AE$159/$BP102/1000)</f>
        <v>9451.28098657532</v>
      </c>
      <c r="AF102" s="100" t="n">
        <f aca="false">IF($P102=0,"",T102*AF$159/$BP102/1000)</f>
        <v>211.100139612562</v>
      </c>
      <c r="AG102" s="100" t="n">
        <f aca="false">IF($P102=0,"",U102*AG$159/$BP102/1000)</f>
        <v>45.671268554211</v>
      </c>
      <c r="AH102" s="100" t="n">
        <f aca="false">IF($P102=0,"",V102*AH$159/$BP102/1000)</f>
        <v>4.3724007853407</v>
      </c>
      <c r="AI102" s="100" t="n">
        <f aca="false">IF($P102=0,"",W102*AI$159/$BP102/1000)</f>
        <v>6.89295874448907</v>
      </c>
      <c r="AJ102" s="100" t="n">
        <f aca="false">IF($P102=0,"",X102*AJ$159/$BP102/1000)</f>
        <v>0</v>
      </c>
      <c r="AK102" s="100" t="n">
        <f aca="false">IF($P102=0,"",Y102*AK$159/$BP102/1000)</f>
        <v>0</v>
      </c>
      <c r="AL102" s="100" t="n">
        <f aca="false">IF($P102=0,"",Z102*AL$159/$BP102/1000)</f>
        <v>0</v>
      </c>
      <c r="AM102" s="100" t="n">
        <f aca="false">IF($P102=0,"",AA102*AM$159/$BP102/1000)</f>
        <v>0</v>
      </c>
      <c r="AN102" s="100" t="n">
        <f aca="false">SUM(AC102:AM102)</f>
        <v>9719.31775427193</v>
      </c>
      <c r="AO102" s="100" t="n">
        <f aca="false">D102-AN102</f>
        <v>1.30224572807492</v>
      </c>
      <c r="AP102" s="426" t="n">
        <f aca="false">IF(D102=0,0,AO102/D102)</f>
        <v>0.000133967352707432</v>
      </c>
      <c r="AQ102" s="427" t="n">
        <f aca="false">IF(AB102=0,0,AN102/AB102)*1000</f>
        <v>1010.86419919499</v>
      </c>
      <c r="AR102" s="428" t="n">
        <f aca="false">IF(C102=0,0,D102/C102)*1000</f>
        <v>1010.99964014037</v>
      </c>
      <c r="AS102" s="429" t="n">
        <f aca="false">IF($P102=0,"",Q102*1000/AS$159*$AD$159/14.696/$BP102/42)</f>
        <v>0</v>
      </c>
      <c r="AT102" s="100" t="n">
        <f aca="false">IF($P102=0,"",R102*1000/AT$159*$AD$159/14.696/$BP102/42)</f>
        <v>27.4770800045848</v>
      </c>
      <c r="AU102" s="100" t="n">
        <f aca="false">IF($P102=0,"",S102*1000/AU$159*$AD$159/14.696/$BP102/42)</f>
        <v>3767.64544003096</v>
      </c>
      <c r="AV102" s="100" t="n">
        <f aca="false">IF($P102=0,"",T102*1000/AV$159*$AD$159/14.696/$BP102/42)</f>
        <v>75.7595911982305</v>
      </c>
      <c r="AW102" s="100" t="n">
        <f aca="false">IF($P102=0,"",U102*1000/AW$159*$AD$159/14.696/$BP102/42)</f>
        <v>11.876161977385</v>
      </c>
      <c r="AX102" s="100" t="n">
        <f aca="false">IF($P102=0,"",V102*1000/AX$159*$AD$159/14.696/$BP102/42)</f>
        <v>1.04493697530828</v>
      </c>
      <c r="AY102" s="100" t="n">
        <f aca="false">IF($P102=0,"",W102*1000/AY$159*$AD$159/14.696/$BP102/42)</f>
        <v>1.58194070823343</v>
      </c>
      <c r="AZ102" s="100" t="n">
        <f aca="false">IF($P102=0,"",X102*1000/AZ$159*$AD$159/14.696/$BP102/42)</f>
        <v>0</v>
      </c>
      <c r="BA102" s="100" t="n">
        <f aca="false">IF($P102=0,"",Y102*1000/BA$159*$AD$159/14.696/$BP102/42)</f>
        <v>0</v>
      </c>
      <c r="BB102" s="100" t="n">
        <f aca="false">IF($P102=0,"",Z102*1000/BB$159*$AD$159/14.696/$BP102/42)</f>
        <v>0</v>
      </c>
      <c r="BC102" s="100" t="n">
        <f aca="false">IF($P102=0,"",AA102*1000/BC$159*$AD$159/14.696/$BP102/42)</f>
        <v>0</v>
      </c>
      <c r="BD102" s="430" t="n">
        <f aca="false">SUM(AS102:BC102)</f>
        <v>3885.3851508947</v>
      </c>
      <c r="BE102" s="424" t="n">
        <f aca="false">IF($P102=0,"",E102/$P102*BE$159)</f>
        <v>0</v>
      </c>
      <c r="BF102" s="425" t="n">
        <f aca="false">IF($P102=0,"",F102/$P102*BF$159)</f>
        <v>4.8399E-005</v>
      </c>
      <c r="BG102" s="425" t="n">
        <f aca="false">IF($P102=0,"",G102/$P102*BG$159)</f>
        <v>0.011302808</v>
      </c>
      <c r="BH102" s="425" t="n">
        <f aca="false">IF($P102=0,"",H102/$P102*BH$159)</f>
        <v>0.000295596</v>
      </c>
      <c r="BI102" s="425" t="n">
        <f aca="false">IF($P102=0,"",I102/$P102*BI$159)</f>
        <v>6.5583E-005</v>
      </c>
      <c r="BJ102" s="425" t="n">
        <f aca="false">IF($P102=0,"",J102/$P102*BJ$159)</f>
        <v>6.174E-006</v>
      </c>
      <c r="BK102" s="425" t="n">
        <f aca="false">IF($P102=0,"",K102/$P102*BK$159)</f>
        <v>1.034E-005</v>
      </c>
      <c r="BL102" s="425" t="n">
        <f aca="false">IF($P102=0,"",L102/$P102*BL$159)</f>
        <v>0</v>
      </c>
      <c r="BM102" s="425" t="n">
        <f aca="false">IF($P102=0,"",M102/$P102*BM$159)</f>
        <v>0</v>
      </c>
      <c r="BN102" s="425" t="n">
        <f aca="false">IF($P102=0,"",N102/$P102*BN$159)</f>
        <v>0</v>
      </c>
      <c r="BO102" s="425" t="n">
        <f aca="false">IF($P102=0,"",O102/$P102*BO$159)</f>
        <v>0</v>
      </c>
      <c r="BP102" s="423" t="n">
        <f aca="false">1-AD$159*(SUM(BE102:BO102))^2</f>
        <v>0.997984642055173</v>
      </c>
    </row>
    <row r="103" customFormat="false" ht="15" hidden="false" customHeight="false" outlineLevel="0" collapsed="false">
      <c r="A103" s="413" t="s">
        <v>128</v>
      </c>
      <c r="B103" s="414" t="s">
        <v>315</v>
      </c>
      <c r="C103" s="415" t="n">
        <v>4752.29</v>
      </c>
      <c r="D103" s="416" t="n">
        <v>6406.08</v>
      </c>
      <c r="E103" s="417" t="n">
        <v>0.268</v>
      </c>
      <c r="F103" s="417" t="n">
        <v>1.416</v>
      </c>
      <c r="G103" s="417" t="n">
        <v>71.766</v>
      </c>
      <c r="H103" s="417" t="n">
        <v>12.868</v>
      </c>
      <c r="I103" s="417" t="n">
        <v>8.665</v>
      </c>
      <c r="J103" s="417" t="n">
        <v>0.95</v>
      </c>
      <c r="K103" s="417" t="n">
        <v>2.81</v>
      </c>
      <c r="L103" s="417" t="n">
        <v>0.469</v>
      </c>
      <c r="M103" s="417" t="n">
        <v>0.513</v>
      </c>
      <c r="N103" s="417" t="n">
        <v>0.275</v>
      </c>
      <c r="O103" s="76"/>
      <c r="P103" s="418" t="n">
        <f aca="false">SUM(E103:O103)</f>
        <v>100</v>
      </c>
      <c r="Q103" s="14" t="n">
        <f aca="false">IF($P103=0,"",$C103*E103/$P103)</f>
        <v>12.7361372</v>
      </c>
      <c r="R103" s="15" t="n">
        <f aca="false">IF($P103=0,"",$C103*F103/$P103)</f>
        <v>67.2924264</v>
      </c>
      <c r="S103" s="15" t="n">
        <f aca="false">IF($P103=0,"",$C103*G103/$P103)</f>
        <v>3410.5284414</v>
      </c>
      <c r="T103" s="15" t="n">
        <f aca="false">IF($P103=0,"",$C103*H103/$P103)</f>
        <v>611.5246772</v>
      </c>
      <c r="U103" s="15" t="n">
        <f aca="false">IF($P103=0,"",$C103*I103/$P103)</f>
        <v>411.7859285</v>
      </c>
      <c r="V103" s="15" t="n">
        <f aca="false">IF($P103=0,"",$C103*J103/$P103)</f>
        <v>45.146755</v>
      </c>
      <c r="W103" s="15" t="n">
        <f aca="false">IF($P103=0,"",$C103*K103/$P103)</f>
        <v>133.539349</v>
      </c>
      <c r="X103" s="15" t="n">
        <f aca="false">IF($P103=0,"",$C103*L103/$P103)</f>
        <v>22.2882401</v>
      </c>
      <c r="Y103" s="15" t="n">
        <f aca="false">IF($P103=0,"",$C103*M103/$P103)</f>
        <v>24.3792477</v>
      </c>
      <c r="Z103" s="15" t="n">
        <f aca="false">IF($P103=0,"",$C103*N103/$P103)</f>
        <v>13.0687975</v>
      </c>
      <c r="AA103" s="15" t="n">
        <f aca="false">IF($P103=0,"",$C103*O103/$P103)</f>
        <v>0</v>
      </c>
      <c r="AB103" s="16" t="n">
        <f aca="false">SUM(Q103:AA103)</f>
        <v>4752.29</v>
      </c>
      <c r="AC103" s="419"/>
      <c r="AD103" s="420"/>
      <c r="AE103" s="15" t="n">
        <f aca="false">IF($P103=0,"",S103*AE$159/$BP103/1000)</f>
        <v>3448.43590511216</v>
      </c>
      <c r="AF103" s="15" t="n">
        <f aca="false">IF($P103=0,"",T103*AF$159/$BP103/1000)</f>
        <v>1083.47546339939</v>
      </c>
      <c r="AG103" s="15" t="n">
        <f aca="false">IF($P103=0,"",U103*AG$159/$BP103/1000)</f>
        <v>1037.26790742243</v>
      </c>
      <c r="AH103" s="15" t="n">
        <f aca="false">IF($P103=0,"",V103*AH$159/$BP103/1000)</f>
        <v>146.979456452276</v>
      </c>
      <c r="AI103" s="15" t="n">
        <f aca="false">IF($P103=0,"",W103*AI$159/$BP103/1000)</f>
        <v>436.144521903854</v>
      </c>
      <c r="AJ103" s="15" t="n">
        <f aca="false">IF($P103=0,"",X103*AJ$159/$BP103/1000)</f>
        <v>89.2753910049104</v>
      </c>
      <c r="AK103" s="15" t="n">
        <f aca="false">IF($P103=0,"",Y103*AK$159/$BP103/1000)</f>
        <v>97.8418805232676</v>
      </c>
      <c r="AL103" s="15" t="n">
        <f aca="false">IF($P103=0,"",Z103*AL$159/$BP103/1000)</f>
        <v>67.1097598567481</v>
      </c>
      <c r="AM103" s="15" t="n">
        <f aca="false">IF($P103=0,"",AA103*AM$159/$BP103/1000)</f>
        <v>0</v>
      </c>
      <c r="AN103" s="15" t="n">
        <f aca="false">SUM(AC103:AM103)</f>
        <v>6406.53028567504</v>
      </c>
      <c r="AO103" s="15" t="n">
        <f aca="false">D103-AN103</f>
        <v>-0.450285675042323</v>
      </c>
      <c r="AP103" s="421" t="n">
        <f aca="false">IF(D103=0,0,AO103/D103)</f>
        <v>-7.02903608825246E-005</v>
      </c>
      <c r="AQ103" s="75" t="n">
        <f aca="false">IF(AB103=0,0,AN103/AB103)*1000</f>
        <v>1348.09329516403</v>
      </c>
      <c r="AR103" s="340" t="n">
        <f aca="false">IF(C103=0,0,D103/C103)*1000</f>
        <v>1347.99854385991</v>
      </c>
      <c r="AS103" s="422" t="n">
        <f aca="false">IF($P103=0,"",Q103*1000/AS$159*$AD$159/14.696/$BP103/42)</f>
        <v>5.16780234593137</v>
      </c>
      <c r="AT103" s="15" t="n">
        <f aca="false">IF($P103=0,"",R103*1000/AT$159*$AD$159/14.696/$BP103/42)</f>
        <v>17.6019513443753</v>
      </c>
      <c r="AU103" s="15" t="n">
        <f aca="false">IF($P103=0,"",S103*1000/AU$159*$AD$159/14.696/$BP103/42)</f>
        <v>1374.67966845865</v>
      </c>
      <c r="AV103" s="15" t="n">
        <f aca="false">IF($P103=0,"",T103*1000/AV$159*$AD$159/14.696/$BP103/42)</f>
        <v>388.837536209601</v>
      </c>
      <c r="AW103" s="15" t="n">
        <f aca="false">IF($P103=0,"",U103*1000/AW$159*$AD$159/14.696/$BP103/42)</f>
        <v>269.726724754095</v>
      </c>
      <c r="AX103" s="15" t="n">
        <f aca="false">IF($P103=0,"",V103*1000/AX$159*$AD$159/14.696/$BP103/42)</f>
        <v>35.125844175268</v>
      </c>
      <c r="AY103" s="15" t="n">
        <f aca="false">IF($P103=0,"",W103*1000/AY$159*$AD$159/14.696/$BP103/42)</f>
        <v>100.095590217239</v>
      </c>
      <c r="AZ103" s="15" t="n">
        <f aca="false">IF($P103=0,"",X103*1000/AZ$159*$AD$159/14.696/$BP103/42)</f>
        <v>19.3798243260614</v>
      </c>
      <c r="BA103" s="15" t="n">
        <f aca="false">IF($P103=0,"",Y103*1000/BA$159*$AD$159/14.696/$BP103/42)</f>
        <v>21.0109647667492</v>
      </c>
      <c r="BB103" s="15" t="n">
        <f aca="false">IF($P103=0,"",Z103*1000/BB$159*$AD$159/14.696/$BP103/42)</f>
        <v>13.4832603239978</v>
      </c>
      <c r="BC103" s="15" t="n">
        <f aca="false">IF($P103=0,"",AA103*1000/BC$159*$AD$159/14.696/$BP103/42)</f>
        <v>0</v>
      </c>
      <c r="BD103" s="55" t="n">
        <f aca="false">SUM(AS103:BC103)</f>
        <v>2245.10916692196</v>
      </c>
      <c r="BE103" s="419" t="n">
        <f aca="false">IF($P103=0,"",E103/$P103*BE$159)</f>
        <v>5.226E-005</v>
      </c>
      <c r="BF103" s="420" t="n">
        <f aca="false">IF($P103=0,"",F103/$P103*BF$159)</f>
        <v>6.25872E-005</v>
      </c>
      <c r="BG103" s="420" t="n">
        <f aca="false">IF($P103=0,"",G103/$P103*BG$159)</f>
        <v>0.008324856</v>
      </c>
      <c r="BH103" s="420" t="n">
        <f aca="false">IF($P103=0,"",H103/$P103*BH$159)</f>
        <v>0.003062584</v>
      </c>
      <c r="BI103" s="420" t="n">
        <f aca="false">IF($P103=0,"",I103/$P103*BI$159)</f>
        <v>0.003006755</v>
      </c>
      <c r="BJ103" s="420" t="n">
        <f aca="false">IF($P103=0,"",J103/$P103*BJ$159)</f>
        <v>0.00041895</v>
      </c>
      <c r="BK103" s="420" t="n">
        <f aca="false">IF($P103=0,"",K103/$P103*BK$159)</f>
        <v>0.0013207</v>
      </c>
      <c r="BL103" s="420" t="n">
        <f aca="false">IF($P103=0,"",L103/$P103*BL$159)</f>
        <v>0.000270144</v>
      </c>
      <c r="BM103" s="420" t="n">
        <f aca="false">IF($P103=0,"",M103/$P103*BM$159)</f>
        <v>0.000310878</v>
      </c>
      <c r="BN103" s="420" t="n">
        <f aca="false">IF($P103=0,"",N103/$P103*BN$159)</f>
        <v>0.0002375175</v>
      </c>
      <c r="BO103" s="420" t="n">
        <f aca="false">IF($P103=0,"",O103/$P103*BO$159)</f>
        <v>0</v>
      </c>
      <c r="BP103" s="418" t="n">
        <f aca="false">1-AD$159*(SUM(BE103:BO103))^2</f>
        <v>0.995732595670743</v>
      </c>
    </row>
    <row r="104" customFormat="false" ht="15" hidden="false" customHeight="false" outlineLevel="0" collapsed="false">
      <c r="A104" s="413" t="s">
        <v>316</v>
      </c>
      <c r="B104" s="414" t="s">
        <v>317</v>
      </c>
      <c r="C104" s="415" t="n">
        <v>508596.82</v>
      </c>
      <c r="D104" s="416" t="n">
        <v>635746.02</v>
      </c>
      <c r="E104" s="417" t="n">
        <v>0.125</v>
      </c>
      <c r="F104" s="417" t="n">
        <v>0.594</v>
      </c>
      <c r="G104" s="417" t="n">
        <v>80.708</v>
      </c>
      <c r="H104" s="417" t="n">
        <v>10.699</v>
      </c>
      <c r="I104" s="417" t="n">
        <v>4.223</v>
      </c>
      <c r="J104" s="417" t="n">
        <v>0.728</v>
      </c>
      <c r="K104" s="417" t="n">
        <v>1.381</v>
      </c>
      <c r="L104" s="417" t="n">
        <v>0.387</v>
      </c>
      <c r="M104" s="417" t="n">
        <v>0.416</v>
      </c>
      <c r="N104" s="417" t="n">
        <v>0.739</v>
      </c>
      <c r="O104" s="76"/>
      <c r="P104" s="423" t="n">
        <f aca="false">SUM(E104:O104)</f>
        <v>100</v>
      </c>
      <c r="Q104" s="99" t="n">
        <f aca="false">IF($P104=0,"",$C104*E104/$P104)</f>
        <v>635.746025</v>
      </c>
      <c r="R104" s="100" t="n">
        <f aca="false">IF($P104=0,"",$C104*F104/$P104)</f>
        <v>3021.0651108</v>
      </c>
      <c r="S104" s="100" t="n">
        <f aca="false">IF($P104=0,"",$C104*G104/$P104)</f>
        <v>410478.3214856</v>
      </c>
      <c r="T104" s="100" t="n">
        <f aca="false">IF($P104=0,"",$C104*H104/$P104)</f>
        <v>54414.7737718</v>
      </c>
      <c r="U104" s="100" t="n">
        <f aca="false">IF($P104=0,"",$C104*I104/$P104)</f>
        <v>21478.0437086</v>
      </c>
      <c r="V104" s="100" t="n">
        <f aca="false">IF($P104=0,"",$C104*J104/$P104)</f>
        <v>3702.5848496</v>
      </c>
      <c r="W104" s="100" t="n">
        <f aca="false">IF($P104=0,"",$C104*K104/$P104)</f>
        <v>7023.7220842</v>
      </c>
      <c r="X104" s="100" t="n">
        <f aca="false">IF($P104=0,"",$C104*L104/$P104)</f>
        <v>1968.2696934</v>
      </c>
      <c r="Y104" s="100" t="n">
        <f aca="false">IF($P104=0,"",$C104*M104/$P104)</f>
        <v>2115.7627712</v>
      </c>
      <c r="Z104" s="100" t="n">
        <f aca="false">IF($P104=0,"",$C104*N104/$P104)</f>
        <v>3758.5304998</v>
      </c>
      <c r="AA104" s="100" t="n">
        <f aca="false">IF($P104=0,"",$C104*O104/$P104)</f>
        <v>0</v>
      </c>
      <c r="AB104" s="101" t="n">
        <f aca="false">SUM(Q104:AA104)</f>
        <v>508596.82</v>
      </c>
      <c r="AC104" s="424"/>
      <c r="AD104" s="425"/>
      <c r="AE104" s="100" t="n">
        <f aca="false">IF($P104=0,"",S104*AE$159/$BP104/1000)</f>
        <v>414730.774979328</v>
      </c>
      <c r="AF104" s="100" t="n">
        <f aca="false">IF($P104=0,"",T104*AF$159/$BP104/1000)</f>
        <v>96337.9667934048</v>
      </c>
      <c r="AG104" s="100" t="n">
        <f aca="false">IF($P104=0,"",U104*AG$159/$BP104/1000)</f>
        <v>54061.702214094</v>
      </c>
      <c r="AH104" s="100" t="n">
        <f aca="false">IF($P104=0,"",V104*AH$159/$BP104/1000)</f>
        <v>12045.1072515385</v>
      </c>
      <c r="AI104" s="100" t="n">
        <f aca="false">IF($P104=0,"",W104*AI$159/$BP104/1000)</f>
        <v>22922.6087101131</v>
      </c>
      <c r="AJ104" s="100" t="n">
        <f aca="false">IF($P104=0,"",X104*AJ$159/$BP104/1000)</f>
        <v>7878.00303272734</v>
      </c>
      <c r="AK104" s="100" t="n">
        <f aca="false">IF($P104=0,"",Y104*AK$159/$BP104/1000)</f>
        <v>8484.90564449835</v>
      </c>
      <c r="AL104" s="100" t="n">
        <f aca="false">IF($P104=0,"",Z104*AL$159/$BP104/1000)</f>
        <v>19286.0678228035</v>
      </c>
      <c r="AM104" s="100" t="n">
        <f aca="false">IF($P104=0,"",AA104*AM$159/$BP104/1000)</f>
        <v>0</v>
      </c>
      <c r="AN104" s="100" t="n">
        <f aca="false">SUM(AC104:AM104)</f>
        <v>635747.136448507</v>
      </c>
      <c r="AO104" s="100" t="n">
        <f aca="false">D104-AN104</f>
        <v>-1.11644850741141</v>
      </c>
      <c r="AP104" s="426" t="n">
        <f aca="false">IF(D104=0,0,AO104/D104)</f>
        <v>-1.75612347114875E-006</v>
      </c>
      <c r="AQ104" s="427" t="n">
        <f aca="false">IF(AB104=0,0,AN104/AB104)*1000</f>
        <v>1250.00218532335</v>
      </c>
      <c r="AR104" s="428" t="n">
        <f aca="false">IF(C104=0,0,D104/C104)*1000</f>
        <v>1249.99999016903</v>
      </c>
      <c r="AS104" s="429" t="n">
        <f aca="false">IF($P104=0,"",Q104*1000/AS$159*$AD$159/14.696/$BP104/42)</f>
        <v>257.767033854134</v>
      </c>
      <c r="AT104" s="100" t="n">
        <f aca="false">IF($P104=0,"",R104*1000/AT$159*$AD$159/14.696/$BP104/42)</f>
        <v>789.642051571611</v>
      </c>
      <c r="AU104" s="100" t="n">
        <f aca="false">IF($P104=0,"",S104*1000/AU$159*$AD$159/14.696/$BP104/42)</f>
        <v>165327.696363154</v>
      </c>
      <c r="AV104" s="100" t="n">
        <f aca="false">IF($P104=0,"",T104*1000/AV$159*$AD$159/14.696/$BP104/42)</f>
        <v>34573.7572439897</v>
      </c>
      <c r="AW104" s="100" t="n">
        <f aca="false">IF($P104=0,"",U104*1000/AW$159*$AD$159/14.696/$BP104/42)</f>
        <v>14057.974577729</v>
      </c>
      <c r="AX104" s="100" t="n">
        <f aca="false">IF($P104=0,"",V104*1000/AX$159*$AD$159/14.696/$BP104/42)</f>
        <v>2878.59657808238</v>
      </c>
      <c r="AY104" s="100" t="n">
        <f aca="false">IF($P104=0,"",W104*1000/AY$159*$AD$159/14.696/$BP104/42)</f>
        <v>5260.76090132206</v>
      </c>
      <c r="AZ104" s="100" t="n">
        <f aca="false">IF($P104=0,"",X104*1000/AZ$159*$AD$159/14.696/$BP104/42)</f>
        <v>1710.15005474507</v>
      </c>
      <c r="BA104" s="100" t="n">
        <f aca="false">IF($P104=0,"",Y104*1000/BA$159*$AD$159/14.696/$BP104/42)</f>
        <v>1822.08326937616</v>
      </c>
      <c r="BB104" s="100" t="n">
        <f aca="false">IF($P104=0,"",Z104*1000/BB$159*$AD$159/14.696/$BP104/42)</f>
        <v>3874.83241835786</v>
      </c>
      <c r="BC104" s="100" t="n">
        <f aca="false">IF($P104=0,"",AA104*1000/BC$159*$AD$159/14.696/$BP104/42)</f>
        <v>0</v>
      </c>
      <c r="BD104" s="430" t="n">
        <f aca="false">SUM(AS104:BC104)</f>
        <v>230553.260492181</v>
      </c>
      <c r="BE104" s="424" t="n">
        <f aca="false">IF($P104=0,"",E104/$P104*BE$159)</f>
        <v>2.4375E-005</v>
      </c>
      <c r="BF104" s="425" t="n">
        <f aca="false">IF($P104=0,"",F104/$P104*BF$159)</f>
        <v>2.62548E-005</v>
      </c>
      <c r="BG104" s="425" t="n">
        <f aca="false">IF($P104=0,"",G104/$P104*BG$159)</f>
        <v>0.009362128</v>
      </c>
      <c r="BH104" s="425" t="n">
        <f aca="false">IF($P104=0,"",H104/$P104*BH$159)</f>
        <v>0.002546362</v>
      </c>
      <c r="BI104" s="425" t="n">
        <f aca="false">IF($P104=0,"",I104/$P104*BI$159)</f>
        <v>0.001465381</v>
      </c>
      <c r="BJ104" s="425" t="n">
        <f aca="false">IF($P104=0,"",J104/$P104*BJ$159)</f>
        <v>0.000321048</v>
      </c>
      <c r="BK104" s="425" t="n">
        <f aca="false">IF($P104=0,"",K104/$P104*BK$159)</f>
        <v>0.00064907</v>
      </c>
      <c r="BL104" s="425" t="n">
        <f aca="false">IF($P104=0,"",L104/$P104*BL$159)</f>
        <v>0.000222912</v>
      </c>
      <c r="BM104" s="425" t="n">
        <f aca="false">IF($P104=0,"",M104/$P104*BM$159)</f>
        <v>0.000252096</v>
      </c>
      <c r="BN104" s="425" t="n">
        <f aca="false">IF($P104=0,"",N104/$P104*BN$159)</f>
        <v>0.0006382743</v>
      </c>
      <c r="BO104" s="425" t="n">
        <f aca="false">IF($P104=0,"",O104/$P104*BO$159)</f>
        <v>0</v>
      </c>
      <c r="BP104" s="423" t="n">
        <f aca="false">1-AD$159*(SUM(BE104:BO104))^2</f>
        <v>0.996476748300874</v>
      </c>
    </row>
    <row r="105" customFormat="false" ht="15" hidden="false" customHeight="false" outlineLevel="0" collapsed="false">
      <c r="A105" s="413" t="s">
        <v>318</v>
      </c>
      <c r="B105" s="414" t="s">
        <v>319</v>
      </c>
      <c r="C105" s="415" t="n">
        <v>4432232.3</v>
      </c>
      <c r="D105" s="416" t="n">
        <v>5543868.05</v>
      </c>
      <c r="E105" s="417" t="n">
        <v>0.329638958154139</v>
      </c>
      <c r="F105" s="417" t="n">
        <v>0.841558039433176</v>
      </c>
      <c r="G105" s="417" t="n">
        <v>79.5929339418582</v>
      </c>
      <c r="H105" s="417" t="n">
        <v>10.750317162005</v>
      </c>
      <c r="I105" s="417" t="n">
        <v>5.14618593314819</v>
      </c>
      <c r="J105" s="417" t="n">
        <v>0.728508519339993</v>
      </c>
      <c r="K105" s="417" t="n">
        <v>1.59334016987004</v>
      </c>
      <c r="L105" s="417" t="n">
        <v>0.36395880375585</v>
      </c>
      <c r="M105" s="417" t="n">
        <v>0.363610980329868</v>
      </c>
      <c r="N105" s="417" t="n">
        <v>0.289947742830589</v>
      </c>
      <c r="O105" s="76"/>
      <c r="P105" s="418" t="n">
        <f aca="false">SUM(E105:O105)</f>
        <v>100.000000250725</v>
      </c>
      <c r="Q105" s="14" t="n">
        <f aca="false">IF($P105=0,"",$C105*E105/$P105)</f>
        <v>14610.3643400594</v>
      </c>
      <c r="R105" s="15" t="n">
        <f aca="false">IF($P105=0,"",$C105*F105/$P105)</f>
        <v>37299.807153484</v>
      </c>
      <c r="S105" s="15" t="n">
        <f aca="false">IF($P105=0,"",$C105*G105/$P105)</f>
        <v>3527743.71784376</v>
      </c>
      <c r="T105" s="15" t="n">
        <f aca="false">IF($P105=0,"",$C105*H105/$P105)</f>
        <v>476479.028412177</v>
      </c>
      <c r="U105" s="15" t="n">
        <f aca="false">IF($P105=0,"",$C105*I105/$P105)</f>
        <v>228090.914575169</v>
      </c>
      <c r="V105" s="15" t="n">
        <f aca="false">IF($P105=0,"",$C105*J105/$P105)</f>
        <v>32289.1898214818</v>
      </c>
      <c r="W105" s="15" t="n">
        <f aca="false">IF($P105=0,"",$C105*K105/$P105)</f>
        <v>70620.5374807914</v>
      </c>
      <c r="X105" s="15" t="n">
        <f aca="false">IF($P105=0,"",$C105*L105/$P105)</f>
        <v>16131.4996183147</v>
      </c>
      <c r="Y105" s="15" t="n">
        <f aca="false">IF($P105=0,"",$C105*M105/$P105)</f>
        <v>16116.08327612</v>
      </c>
      <c r="Z105" s="15" t="n">
        <f aca="false">IF($P105=0,"",$C105*N105/$P105)</f>
        <v>12851.1574786372</v>
      </c>
      <c r="AA105" s="15" t="n">
        <f aca="false">IF($P105=0,"",$C105*O105/$P105)</f>
        <v>0</v>
      </c>
      <c r="AB105" s="16" t="n">
        <f aca="false">SUM(Q105:AA105)</f>
        <v>4432232.3</v>
      </c>
      <c r="AC105" s="419"/>
      <c r="AD105" s="420"/>
      <c r="AE105" s="15" t="n">
        <f aca="false">IF($P105=0,"",S105*AE$159/$BP105/1000)</f>
        <v>3564162.55142963</v>
      </c>
      <c r="AF105" s="15" t="n">
        <f aca="false">IF($P105=0,"",T105*AF$159/$BP105/1000)</f>
        <v>843546.207049272</v>
      </c>
      <c r="AG105" s="15" t="n">
        <f aca="false">IF($P105=0,"",U105*AG$159/$BP105/1000)</f>
        <v>574099.830773756</v>
      </c>
      <c r="AH105" s="15" t="n">
        <f aca="false">IF($P105=0,"",V105*AH$159/$BP105/1000)</f>
        <v>105038.192036837</v>
      </c>
      <c r="AI105" s="15" t="n">
        <f aca="false">IF($P105=0,"",W105*AI$159/$BP105/1000)</f>
        <v>230468.820259606</v>
      </c>
      <c r="AJ105" s="15" t="n">
        <f aca="false">IF($P105=0,"",X105*AJ$159/$BP105/1000)</f>
        <v>64564.0430654903</v>
      </c>
      <c r="AK105" s="15" t="n">
        <f aca="false">IF($P105=0,"",Y105*AK$159/$BP105/1000)</f>
        <v>64628.486725983</v>
      </c>
      <c r="AL105" s="15" t="n">
        <f aca="false">IF($P105=0,"",Z105*AL$159/$BP105/1000)</f>
        <v>65940.50889371</v>
      </c>
      <c r="AM105" s="15" t="n">
        <f aca="false">IF($P105=0,"",AA105*AM$159/$BP105/1000)</f>
        <v>0</v>
      </c>
      <c r="AN105" s="15" t="n">
        <f aca="false">SUM(AC105:AM105)</f>
        <v>5512448.64023428</v>
      </c>
      <c r="AO105" s="15" t="n">
        <f aca="false">D105-AN105</f>
        <v>31419.4097657176</v>
      </c>
      <c r="AP105" s="421" t="n">
        <f aca="false">IF(D105=0,0,AO105/D105)</f>
        <v>0.00566741659115021</v>
      </c>
      <c r="AQ105" s="75" t="n">
        <f aca="false">IF(AB105=0,0,AN105/AB105)*1000</f>
        <v>1243.71834938216</v>
      </c>
      <c r="AR105" s="340" t="n">
        <f aca="false">IF(C105=0,0,D105/C105)*1000</f>
        <v>1250.80719483047</v>
      </c>
      <c r="AS105" s="422" t="n">
        <f aca="false">IF($P105=0,"",Q105*1000/AS$159*$AD$159/14.696/$BP105/42)</f>
        <v>5923.64747205722</v>
      </c>
      <c r="AT105" s="15" t="n">
        <f aca="false">IF($P105=0,"",R105*1000/AT$159*$AD$159/14.696/$BP105/42)</f>
        <v>9749.02552173002</v>
      </c>
      <c r="AU105" s="15" t="n">
        <f aca="false">IF($P105=0,"",S105*1000/AU$159*$AD$159/14.696/$BP105/42)</f>
        <v>1420812.7769661</v>
      </c>
      <c r="AV105" s="15" t="n">
        <f aca="false">IF($P105=0,"",T105*1000/AV$159*$AD$159/14.696/$BP105/42)</f>
        <v>302731.755271031</v>
      </c>
      <c r="AW105" s="15" t="n">
        <f aca="false">IF($P105=0,"",U105*1000/AW$159*$AD$159/14.696/$BP105/42)</f>
        <v>149286.472596343</v>
      </c>
      <c r="AX105" s="15" t="n">
        <f aca="false">IF($P105=0,"",V105*1000/AX$159*$AD$159/14.696/$BP105/42)</f>
        <v>25102.5228626818</v>
      </c>
      <c r="AY105" s="15" t="n">
        <f aca="false">IF($P105=0,"",W105*1000/AY$159*$AD$159/14.696/$BP105/42)</f>
        <v>52892.8174767755</v>
      </c>
      <c r="AZ105" s="15" t="n">
        <f aca="false">IF($P105=0,"",X105*1000/AZ$159*$AD$159/14.696/$BP105/42)</f>
        <v>14015.5063820515</v>
      </c>
      <c r="BA105" s="15" t="n">
        <f aca="false">IF($P105=0,"",Y105*1000/BA$159*$AD$159/14.696/$BP105/42)</f>
        <v>13878.5850217283</v>
      </c>
      <c r="BB105" s="15" t="n">
        <f aca="false">IF($P105=0,"",Z105*1000/BB$159*$AD$159/14.696/$BP105/42)</f>
        <v>13248.341958139</v>
      </c>
      <c r="BC105" s="15" t="n">
        <f aca="false">IF($P105=0,"",AA105*1000/BC$159*$AD$159/14.696/$BP105/42)</f>
        <v>0</v>
      </c>
      <c r="BD105" s="55" t="n">
        <f aca="false">SUM(AS105:BC105)</f>
        <v>2007641.45152863</v>
      </c>
      <c r="BE105" s="419" t="n">
        <f aca="false">IF($P105=0,"",E105/$P105*BE$159)</f>
        <v>6.4279596678892E-005</v>
      </c>
      <c r="BF105" s="420" t="n">
        <f aca="false">IF($P105=0,"",F105/$P105*BF$159)</f>
        <v>3.71968652496845E-005</v>
      </c>
      <c r="BG105" s="420" t="n">
        <f aca="false">IF($P105=0,"",G105/$P105*BG$159)</f>
        <v>0.00923278031410666</v>
      </c>
      <c r="BH105" s="420" t="n">
        <f aca="false">IF($P105=0,"",H105/$P105*BH$159)</f>
        <v>0.0025585754781422</v>
      </c>
      <c r="BI105" s="420" t="n">
        <f aca="false">IF($P105=0,"",I105/$P105*BI$159)</f>
        <v>0.00178572651432516</v>
      </c>
      <c r="BJ105" s="420" t="n">
        <f aca="false">IF($P105=0,"",J105/$P105*BJ$159)</f>
        <v>0.000321272256223427</v>
      </c>
      <c r="BK105" s="420" t="n">
        <f aca="false">IF($P105=0,"",K105/$P105*BK$159)</f>
        <v>0.000748869877961314</v>
      </c>
      <c r="BL105" s="420" t="n">
        <f aca="false">IF($P105=0,"",L105/$P105*BL$159)</f>
        <v>0.000209640270437749</v>
      </c>
      <c r="BM105" s="420" t="n">
        <f aca="false">IF($P105=0,"",M105/$P105*BM$159)</f>
        <v>0.000220348253527432</v>
      </c>
      <c r="BN105" s="420" t="n">
        <f aca="false">IF($P105=0,"",N105/$P105*BN$159)</f>
        <v>0.000250427864854894</v>
      </c>
      <c r="BO105" s="420" t="n">
        <f aca="false">IF($P105=0,"",O105/$P105*BO$159)</f>
        <v>0</v>
      </c>
      <c r="BP105" s="418" t="n">
        <f aca="false">1-AD$159*(SUM(BE105:BO105))^2</f>
        <v>0.996512455275212</v>
      </c>
    </row>
    <row r="106" customFormat="false" ht="15" hidden="false" customHeight="false" outlineLevel="0" collapsed="false">
      <c r="A106" s="413" t="s">
        <v>320</v>
      </c>
      <c r="B106" s="414" t="s">
        <v>321</v>
      </c>
      <c r="C106" s="415" t="n">
        <v>4628199.94</v>
      </c>
      <c r="D106" s="416" t="n">
        <v>5788022.33</v>
      </c>
      <c r="E106" s="417" t="n">
        <v>0.326322250540276</v>
      </c>
      <c r="F106" s="417" t="n">
        <v>0.842299317490597</v>
      </c>
      <c r="G106" s="417" t="n">
        <v>79.5521447705737</v>
      </c>
      <c r="H106" s="417" t="n">
        <v>10.8407623589501</v>
      </c>
      <c r="I106" s="417" t="n">
        <v>5.10902262659626</v>
      </c>
      <c r="J106" s="417" t="n">
        <v>0.728704163415184</v>
      </c>
      <c r="K106" s="417" t="n">
        <v>1.59857756877488</v>
      </c>
      <c r="L106" s="417" t="n">
        <v>0.361830392854062</v>
      </c>
      <c r="M106" s="417" t="n">
        <v>0.354905976255753</v>
      </c>
      <c r="N106" s="417" t="n">
        <v>0.285430471164863</v>
      </c>
      <c r="O106" s="76"/>
      <c r="P106" s="423" t="n">
        <f aca="false">SUM(E106:O106)</f>
        <v>99.9999998966157</v>
      </c>
      <c r="Q106" s="99" t="n">
        <f aca="false">IF($P106=0,"",$C106*E106/$P106)</f>
        <v>15102.8462193257</v>
      </c>
      <c r="R106" s="100" t="n">
        <f aca="false">IF($P106=0,"",$C106*F106/$P106)</f>
        <v>38983.2965470228</v>
      </c>
      <c r="S106" s="100" t="n">
        <f aca="false">IF($P106=0,"",$C106*G106/$P106)</f>
        <v>3681832.32034684</v>
      </c>
      <c r="T106" s="100" t="n">
        <f aca="false">IF($P106=0,"",$C106*H106/$P106)</f>
        <v>501732.157511184</v>
      </c>
      <c r="U106" s="100" t="n">
        <f aca="false">IF($P106=0,"",$C106*I106/$P106)</f>
        <v>236455.782383173</v>
      </c>
      <c r="V106" s="100" t="n">
        <f aca="false">IF($P106=0,"",$C106*J106/$P106)</f>
        <v>33725.8856888263</v>
      </c>
      <c r="W106" s="100" t="n">
        <f aca="false">IF($P106=0,"",$C106*K106/$P106)</f>
        <v>73985.3661553817</v>
      </c>
      <c r="X106" s="100" t="n">
        <f aca="false">IF($P106=0,"",$C106*L106/$P106)</f>
        <v>16746.2340422864</v>
      </c>
      <c r="Y106" s="100" t="n">
        <f aca="false">IF($P106=0,"",$C106*M106/$P106)</f>
        <v>16425.7581971068</v>
      </c>
      <c r="Z106" s="100" t="n">
        <f aca="false">IF($P106=0,"",$C106*N106/$P106)</f>
        <v>13210.2929088513</v>
      </c>
      <c r="AA106" s="100" t="n">
        <f aca="false">IF($P106=0,"",$C106*O106/$P106)</f>
        <v>0</v>
      </c>
      <c r="AB106" s="101" t="n">
        <f aca="false">SUM(Q106:AA106)</f>
        <v>4628199.94</v>
      </c>
      <c r="AC106" s="424"/>
      <c r="AD106" s="425"/>
      <c r="AE106" s="100" t="n">
        <f aca="false">IF($P106=0,"",S106*AE$159/$BP106/1000)</f>
        <v>3719834.18409713</v>
      </c>
      <c r="AF106" s="100" t="n">
        <f aca="false">IF($P106=0,"",T106*AF$159/$BP106/1000)</f>
        <v>888251.855479713</v>
      </c>
      <c r="AG106" s="100" t="n">
        <f aca="false">IF($P106=0,"",U106*AG$159/$BP106/1000)</f>
        <v>595152.785916943</v>
      </c>
      <c r="AH106" s="100" t="n">
        <f aca="false">IF($P106=0,"",V106*AH$159/$BP106/1000)</f>
        <v>109711.601120403</v>
      </c>
      <c r="AI106" s="100" t="n">
        <f aca="false">IF($P106=0,"",W106*AI$159/$BP106/1000)</f>
        <v>241449.376006131</v>
      </c>
      <c r="AJ106" s="100" t="n">
        <f aca="false">IF($P106=0,"",X106*AJ$159/$BP106/1000)</f>
        <v>67024.291615889</v>
      </c>
      <c r="AK106" s="100" t="n">
        <f aca="false">IF($P106=0,"",Y106*AK$159/$BP106/1000)</f>
        <v>65870.2041211727</v>
      </c>
      <c r="AL106" s="100" t="n">
        <f aca="false">IF($P106=0,"",Z106*AL$159/$BP106/1000)</f>
        <v>67783.1263657654</v>
      </c>
      <c r="AM106" s="100" t="n">
        <f aca="false">IF($P106=0,"",AA106*AM$159/$BP106/1000)</f>
        <v>0</v>
      </c>
      <c r="AN106" s="100" t="n">
        <f aca="false">SUM(AC106:AM106)</f>
        <v>5755077.42472314</v>
      </c>
      <c r="AO106" s="100" t="n">
        <f aca="false">D106-AN106</f>
        <v>32944.9052768555</v>
      </c>
      <c r="AP106" s="426" t="n">
        <f aca="false">IF(D106=0,0,AO106/D106)</f>
        <v>0.00569191053498501</v>
      </c>
      <c r="AQ106" s="427" t="n">
        <f aca="false">IF(AB106=0,0,AN106/AB106)*1000</f>
        <v>1243.48072670412</v>
      </c>
      <c r="AR106" s="428" t="n">
        <f aca="false">IF(C106=0,0,D106/C106)*1000</f>
        <v>1250.59902446652</v>
      </c>
      <c r="AS106" s="429" t="n">
        <f aca="false">IF($P106=0,"",Q106*1000/AS$159*$AD$159/14.696/$BP106/42)</f>
        <v>6123.30735171145</v>
      </c>
      <c r="AT106" s="100" t="n">
        <f aca="false">IF($P106=0,"",R106*1000/AT$159*$AD$159/14.696/$BP106/42)</f>
        <v>10189.0168915734</v>
      </c>
      <c r="AU106" s="100" t="n">
        <f aca="false">IF($P106=0,"",S106*1000/AU$159*$AD$159/14.696/$BP106/42)</f>
        <v>1482869.49899086</v>
      </c>
      <c r="AV106" s="100" t="n">
        <f aca="false">IF($P106=0,"",T106*1000/AV$159*$AD$159/14.696/$BP106/42)</f>
        <v>318775.712681756</v>
      </c>
      <c r="AW106" s="100" t="n">
        <f aca="false">IF($P106=0,"",U106*1000/AW$159*$AD$159/14.696/$BP106/42)</f>
        <v>154760.993302645</v>
      </c>
      <c r="AX106" s="100" t="n">
        <f aca="false">IF($P106=0,"",V106*1000/AX$159*$AD$159/14.696/$BP106/42)</f>
        <v>26219.3962217143</v>
      </c>
      <c r="AY106" s="100" t="n">
        <f aca="false">IF($P106=0,"",W106*1000/AY$159*$AD$159/14.696/$BP106/42)</f>
        <v>55412.8656561357</v>
      </c>
      <c r="AZ106" s="100" t="n">
        <f aca="false">IF($P106=0,"",X106*1000/AZ$159*$AD$159/14.696/$BP106/42)</f>
        <v>14549.575000161</v>
      </c>
      <c r="BA106" s="100" t="n">
        <f aca="false">IF($P106=0,"",Y106*1000/BA$159*$AD$159/14.696/$BP106/42)</f>
        <v>14145.2364832605</v>
      </c>
      <c r="BB106" s="100" t="n">
        <f aca="false">IF($P106=0,"",Z106*1000/BB$159*$AD$159/14.696/$BP106/42)</f>
        <v>13618.5487820988</v>
      </c>
      <c r="BC106" s="100" t="n">
        <f aca="false">IF($P106=0,"",AA106*1000/BC$159*$AD$159/14.696/$BP106/42)</f>
        <v>0</v>
      </c>
      <c r="BD106" s="430" t="n">
        <f aca="false">SUM(AS106:BC106)</f>
        <v>2096664.15136192</v>
      </c>
      <c r="BE106" s="424" t="n">
        <f aca="false">IF($P106=0,"",E106/$P106*BE$159)</f>
        <v>6.36328389211402E-005</v>
      </c>
      <c r="BF106" s="425" t="n">
        <f aca="false">IF($P106=0,"",F106/$P106*BF$159)</f>
        <v>3.7229629871574E-005</v>
      </c>
      <c r="BG106" s="425" t="n">
        <f aca="false">IF($P106=0,"",G106/$P106*BG$159)</f>
        <v>0.00922804880292691</v>
      </c>
      <c r="BH106" s="425" t="n">
        <f aca="false">IF($P106=0,"",H106/$P106*BH$159)</f>
        <v>0.00258010144409754</v>
      </c>
      <c r="BI106" s="425" t="n">
        <f aca="false">IF($P106=0,"",I106/$P106*BI$159)</f>
        <v>0.00177283085326173</v>
      </c>
      <c r="BJ106" s="425" t="n">
        <f aca="false">IF($P106=0,"",J106/$P106*BJ$159)</f>
        <v>0.00032135853639833</v>
      </c>
      <c r="BK106" s="425" t="n">
        <f aca="false">IF($P106=0,"",K106/$P106*BK$159)</f>
        <v>0.000751331458100953</v>
      </c>
      <c r="BL106" s="425" t="n">
        <f aca="false">IF($P106=0,"",L106/$P106*BL$159)</f>
        <v>0.000208414306499407</v>
      </c>
      <c r="BM106" s="425" t="n">
        <f aca="false">IF($P106=0,"",M106/$P106*BM$159)</f>
        <v>0.000215073021833338</v>
      </c>
      <c r="BN106" s="425" t="n">
        <f aca="false">IF($P106=0,"",N106/$P106*BN$159)</f>
        <v>0.000246526298199962</v>
      </c>
      <c r="BO106" s="425" t="n">
        <f aca="false">IF($P106=0,"",O106/$P106*BO$159)</f>
        <v>0</v>
      </c>
      <c r="BP106" s="423" t="n">
        <f aca="false">1-AD$159*(SUM(BE106:BO106))^2</f>
        <v>0.996514520989308</v>
      </c>
    </row>
    <row r="107" customFormat="false" ht="15" hidden="false" customHeight="false" outlineLevel="0" collapsed="false">
      <c r="A107" s="413" t="s">
        <v>322</v>
      </c>
      <c r="B107" s="414" t="s">
        <v>323</v>
      </c>
      <c r="C107" s="415" t="n">
        <v>0</v>
      </c>
      <c r="D107" s="416" t="n">
        <v>0</v>
      </c>
      <c r="E107" s="417" t="n">
        <v>0</v>
      </c>
      <c r="F107" s="417" t="n">
        <v>0</v>
      </c>
      <c r="G107" s="417" t="n">
        <v>100</v>
      </c>
      <c r="H107" s="417" t="n">
        <v>0</v>
      </c>
      <c r="I107" s="417" t="n">
        <v>0</v>
      </c>
      <c r="J107" s="417" t="n">
        <v>0</v>
      </c>
      <c r="K107" s="417" t="n">
        <v>0</v>
      </c>
      <c r="L107" s="417" t="n">
        <v>0</v>
      </c>
      <c r="M107" s="417" t="n">
        <v>0</v>
      </c>
      <c r="N107" s="417" t="n">
        <v>0</v>
      </c>
      <c r="O107" s="76"/>
      <c r="P107" s="418" t="n">
        <f aca="false">SUM(E107:O107)</f>
        <v>100</v>
      </c>
      <c r="Q107" s="14" t="n">
        <f aca="false">IF($P107=0,"",$C107*E107/$P107)</f>
        <v>0</v>
      </c>
      <c r="R107" s="15" t="n">
        <f aca="false">IF($P107=0,"",$C107*F107/$P107)</f>
        <v>0</v>
      </c>
      <c r="S107" s="15" t="n">
        <f aca="false">IF($P107=0,"",$C107*G107/$P107)</f>
        <v>0</v>
      </c>
      <c r="T107" s="15" t="n">
        <f aca="false">IF($P107=0,"",$C107*H107/$P107)</f>
        <v>0</v>
      </c>
      <c r="U107" s="15" t="n">
        <f aca="false">IF($P107=0,"",$C107*I107/$P107)</f>
        <v>0</v>
      </c>
      <c r="V107" s="15" t="n">
        <f aca="false">IF($P107=0,"",$C107*J107/$P107)</f>
        <v>0</v>
      </c>
      <c r="W107" s="15" t="n">
        <f aca="false">IF($P107=0,"",$C107*K107/$P107)</f>
        <v>0</v>
      </c>
      <c r="X107" s="15" t="n">
        <f aca="false">IF($P107=0,"",$C107*L107/$P107)</f>
        <v>0</v>
      </c>
      <c r="Y107" s="15" t="n">
        <f aca="false">IF($P107=0,"",$C107*M107/$P107)</f>
        <v>0</v>
      </c>
      <c r="Z107" s="15" t="n">
        <f aca="false">IF($P107=0,"",$C107*N107/$P107)</f>
        <v>0</v>
      </c>
      <c r="AA107" s="15" t="n">
        <f aca="false">IF($P107=0,"",$C107*O107/$P107)</f>
        <v>0</v>
      </c>
      <c r="AB107" s="16" t="n">
        <f aca="false">SUM(Q107:AA107)</f>
        <v>0</v>
      </c>
      <c r="AC107" s="419"/>
      <c r="AD107" s="420"/>
      <c r="AE107" s="15" t="n">
        <f aca="false">IF($P107=0,"",S107*AE$159/$BP107/1000)</f>
        <v>0</v>
      </c>
      <c r="AF107" s="15" t="n">
        <f aca="false">IF($P107=0,"",T107*AF$159/$BP107/1000)</f>
        <v>0</v>
      </c>
      <c r="AG107" s="15" t="n">
        <f aca="false">IF($P107=0,"",U107*AG$159/$BP107/1000)</f>
        <v>0</v>
      </c>
      <c r="AH107" s="15" t="n">
        <f aca="false">IF($P107=0,"",V107*AH$159/$BP107/1000)</f>
        <v>0</v>
      </c>
      <c r="AI107" s="15" t="n">
        <f aca="false">IF($P107=0,"",W107*AI$159/$BP107/1000)</f>
        <v>0</v>
      </c>
      <c r="AJ107" s="15" t="n">
        <f aca="false">IF($P107=0,"",X107*AJ$159/$BP107/1000)</f>
        <v>0</v>
      </c>
      <c r="AK107" s="15" t="n">
        <f aca="false">IF($P107=0,"",Y107*AK$159/$BP107/1000)</f>
        <v>0</v>
      </c>
      <c r="AL107" s="15" t="n">
        <f aca="false">IF($P107=0,"",Z107*AL$159/$BP107/1000)</f>
        <v>0</v>
      </c>
      <c r="AM107" s="15" t="n">
        <f aca="false">IF($P107=0,"",AA107*AM$159/$BP107/1000)</f>
        <v>0</v>
      </c>
      <c r="AN107" s="15" t="n">
        <f aca="false">SUM(AC107:AM107)</f>
        <v>0</v>
      </c>
      <c r="AO107" s="15" t="n">
        <f aca="false">D107-AN107</f>
        <v>0</v>
      </c>
      <c r="AP107" s="421" t="n">
        <f aca="false">IF(D107=0,0,AO107/D107)</f>
        <v>0</v>
      </c>
      <c r="AQ107" s="75" t="n">
        <f aca="false">IF(AB107=0,0,AN107/AB107)*1000</f>
        <v>0</v>
      </c>
      <c r="AR107" s="340" t="n">
        <f aca="false">IF(C107=0,0,D107/C107)*1000</f>
        <v>0</v>
      </c>
      <c r="AS107" s="422" t="n">
        <f aca="false">IF($P107=0,"",Q107*1000/AS$159*$AD$159/14.696/$BP107/42)</f>
        <v>0</v>
      </c>
      <c r="AT107" s="15" t="n">
        <f aca="false">IF($P107=0,"",R107*1000/AT$159*$AD$159/14.696/$BP107/42)</f>
        <v>0</v>
      </c>
      <c r="AU107" s="15" t="n">
        <f aca="false">IF($P107=0,"",S107*1000/AU$159*$AD$159/14.696/$BP107/42)</f>
        <v>0</v>
      </c>
      <c r="AV107" s="15" t="n">
        <f aca="false">IF($P107=0,"",T107*1000/AV$159*$AD$159/14.696/$BP107/42)</f>
        <v>0</v>
      </c>
      <c r="AW107" s="15" t="n">
        <f aca="false">IF($P107=0,"",U107*1000/AW$159*$AD$159/14.696/$BP107/42)</f>
        <v>0</v>
      </c>
      <c r="AX107" s="15" t="n">
        <f aca="false">IF($P107=0,"",V107*1000/AX$159*$AD$159/14.696/$BP107/42)</f>
        <v>0</v>
      </c>
      <c r="AY107" s="15" t="n">
        <f aca="false">IF($P107=0,"",W107*1000/AY$159*$AD$159/14.696/$BP107/42)</f>
        <v>0</v>
      </c>
      <c r="AZ107" s="15" t="n">
        <f aca="false">IF($P107=0,"",X107*1000/AZ$159*$AD$159/14.696/$BP107/42)</f>
        <v>0</v>
      </c>
      <c r="BA107" s="15" t="n">
        <f aca="false">IF($P107=0,"",Y107*1000/BA$159*$AD$159/14.696/$BP107/42)</f>
        <v>0</v>
      </c>
      <c r="BB107" s="15" t="n">
        <f aca="false">IF($P107=0,"",Z107*1000/BB$159*$AD$159/14.696/$BP107/42)</f>
        <v>0</v>
      </c>
      <c r="BC107" s="15" t="n">
        <f aca="false">IF($P107=0,"",AA107*1000/BC$159*$AD$159/14.696/$BP107/42)</f>
        <v>0</v>
      </c>
      <c r="BD107" s="55" t="n">
        <f aca="false">SUM(AS107:BC107)</f>
        <v>0</v>
      </c>
      <c r="BE107" s="419" t="n">
        <f aca="false">IF($P107=0,"",E107/$P107*BE$159)</f>
        <v>0</v>
      </c>
      <c r="BF107" s="420" t="n">
        <f aca="false">IF($P107=0,"",F107/$P107*BF$159)</f>
        <v>0</v>
      </c>
      <c r="BG107" s="420" t="n">
        <f aca="false">IF($P107=0,"",G107/$P107*BG$159)</f>
        <v>0.0116</v>
      </c>
      <c r="BH107" s="420" t="n">
        <f aca="false">IF($P107=0,"",H107/$P107*BH$159)</f>
        <v>0</v>
      </c>
      <c r="BI107" s="420" t="n">
        <f aca="false">IF($P107=0,"",I107/$P107*BI$159)</f>
        <v>0</v>
      </c>
      <c r="BJ107" s="420" t="n">
        <f aca="false">IF($P107=0,"",J107/$P107*BJ$159)</f>
        <v>0</v>
      </c>
      <c r="BK107" s="420" t="n">
        <f aca="false">IF($P107=0,"",K107/$P107*BK$159)</f>
        <v>0</v>
      </c>
      <c r="BL107" s="420" t="n">
        <f aca="false">IF($P107=0,"",L107/$P107*BL$159)</f>
        <v>0</v>
      </c>
      <c r="BM107" s="420" t="n">
        <f aca="false">IF($P107=0,"",M107/$P107*BM$159)</f>
        <v>0</v>
      </c>
      <c r="BN107" s="420" t="n">
        <f aca="false">IF($P107=0,"",N107/$P107*BN$159)</f>
        <v>0</v>
      </c>
      <c r="BO107" s="420" t="n">
        <f aca="false">IF($P107=0,"",O107/$P107*BO$159)</f>
        <v>0</v>
      </c>
      <c r="BP107" s="418" t="n">
        <f aca="false">1-AD$159*(SUM(BE107:BO107))^2</f>
        <v>0.998028696</v>
      </c>
    </row>
    <row r="108" customFormat="false" ht="15" hidden="false" customHeight="false" outlineLevel="0" collapsed="false">
      <c r="A108" s="413" t="s">
        <v>324</v>
      </c>
      <c r="B108" s="414" t="s">
        <v>325</v>
      </c>
      <c r="C108" s="415" t="n">
        <v>126287.86</v>
      </c>
      <c r="D108" s="416" t="n">
        <v>185516.87</v>
      </c>
      <c r="E108" s="417" t="n">
        <v>0.105</v>
      </c>
      <c r="F108" s="417" t="n">
        <v>0.712</v>
      </c>
      <c r="G108" s="417" t="n">
        <v>66.654</v>
      </c>
      <c r="H108" s="417" t="n">
        <v>13.38</v>
      </c>
      <c r="I108" s="417" t="n">
        <v>11.984</v>
      </c>
      <c r="J108" s="417" t="n">
        <v>1.662</v>
      </c>
      <c r="K108" s="417" t="n">
        <v>3.55</v>
      </c>
      <c r="L108" s="417" t="n">
        <v>0.715</v>
      </c>
      <c r="M108" s="417" t="n">
        <v>0.703</v>
      </c>
      <c r="N108" s="417" t="n">
        <v>0.535</v>
      </c>
      <c r="O108" s="76"/>
      <c r="P108" s="423" t="n">
        <f aca="false">SUM(E108:O108)</f>
        <v>100</v>
      </c>
      <c r="Q108" s="99" t="n">
        <f aca="false">IF($P108=0,"",$C108*E108/$P108)</f>
        <v>132.602253</v>
      </c>
      <c r="R108" s="100" t="n">
        <f aca="false">IF($P108=0,"",$C108*F108/$P108)</f>
        <v>899.1695632</v>
      </c>
      <c r="S108" s="100" t="n">
        <f aca="false">IF($P108=0,"",$C108*G108/$P108)</f>
        <v>84175.9102044</v>
      </c>
      <c r="T108" s="100" t="n">
        <f aca="false">IF($P108=0,"",$C108*H108/$P108)</f>
        <v>16897.315668</v>
      </c>
      <c r="U108" s="100" t="n">
        <f aca="false">IF($P108=0,"",$C108*I108/$P108)</f>
        <v>15134.3371424</v>
      </c>
      <c r="V108" s="100" t="n">
        <f aca="false">IF($P108=0,"",$C108*J108/$P108)</f>
        <v>2098.9042332</v>
      </c>
      <c r="W108" s="100" t="n">
        <f aca="false">IF($P108=0,"",$C108*K108/$P108)</f>
        <v>4483.21903</v>
      </c>
      <c r="X108" s="100" t="n">
        <f aca="false">IF($P108=0,"",$C108*L108/$P108)</f>
        <v>902.958199</v>
      </c>
      <c r="Y108" s="100" t="n">
        <f aca="false">IF($P108=0,"",$C108*M108/$P108)</f>
        <v>887.8036558</v>
      </c>
      <c r="Z108" s="100" t="n">
        <f aca="false">IF($P108=0,"",$C108*N108/$P108)</f>
        <v>675.640051</v>
      </c>
      <c r="AA108" s="100" t="n">
        <f aca="false">IF($P108=0,"",$C108*O108/$P108)</f>
        <v>0</v>
      </c>
      <c r="AB108" s="101" t="n">
        <f aca="false">SUM(Q108:AA108)</f>
        <v>126287.86</v>
      </c>
      <c r="AC108" s="424"/>
      <c r="AD108" s="425"/>
      <c r="AE108" s="100" t="n">
        <f aca="false">IF($P108=0,"",S108*AE$159/$BP108/1000)</f>
        <v>85190.7336864606</v>
      </c>
      <c r="AF108" s="100" t="n">
        <f aca="false">IF($P108=0,"",T108*AF$159/$BP108/1000)</f>
        <v>29965.8682453893</v>
      </c>
      <c r="AG108" s="100" t="n">
        <f aca="false">IF($P108=0,"",U108*AG$159/$BP108/1000)</f>
        <v>38158.1137546177</v>
      </c>
      <c r="AH108" s="100" t="n">
        <f aca="false">IF($P108=0,"",V108*AH$159/$BP108/1000)</f>
        <v>6839.53812834251</v>
      </c>
      <c r="AI108" s="100" t="n">
        <f aca="false">IF($P108=0,"",W108*AI$159/$BP108/1000)</f>
        <v>14655.9906398183</v>
      </c>
      <c r="AJ108" s="100" t="n">
        <f aca="false">IF($P108=0,"",X108*AJ$159/$BP108/1000)</f>
        <v>3620.15932011114</v>
      </c>
      <c r="AK108" s="100" t="n">
        <f aca="false">IF($P108=0,"",Y108*AK$159/$BP108/1000)</f>
        <v>3566.36242114186</v>
      </c>
      <c r="AL108" s="100" t="n">
        <f aca="false">IF($P108=0,"",Z108*AL$159/$BP108/1000)</f>
        <v>3472.71782927197</v>
      </c>
      <c r="AM108" s="100" t="n">
        <f aca="false">IF($P108=0,"",AA108*AM$159/$BP108/1000)</f>
        <v>0</v>
      </c>
      <c r="AN108" s="100" t="n">
        <f aca="false">SUM(AC108:AM108)</f>
        <v>185469.484025153</v>
      </c>
      <c r="AO108" s="100" t="n">
        <f aca="false">D108-AN108</f>
        <v>47.3859748466057</v>
      </c>
      <c r="AP108" s="426" t="n">
        <f aca="false">IF(D108=0,0,AO108/D108)</f>
        <v>0.000255426769795144</v>
      </c>
      <c r="AQ108" s="427" t="n">
        <f aca="false">IF(AB108=0,0,AN108/AB108)*1000</f>
        <v>1468.62480704918</v>
      </c>
      <c r="AR108" s="428" t="n">
        <f aca="false">IF(C108=0,0,D108/C108)*1000</f>
        <v>1469.00002898141</v>
      </c>
      <c r="AS108" s="429" t="n">
        <f aca="false">IF($P108=0,"",Q108*1000/AS$159*$AD$159/14.696/$BP108/42)</f>
        <v>53.8546395641832</v>
      </c>
      <c r="AT108" s="100" t="n">
        <f aca="false">IF($P108=0,"",R108*1000/AT$159*$AD$159/14.696/$BP108/42)</f>
        <v>235.418333077942</v>
      </c>
      <c r="AU108" s="100" t="n">
        <f aca="false">IF($P108=0,"",S108*1000/AU$159*$AD$159/14.696/$BP108/42)</f>
        <v>33960.3149840314</v>
      </c>
      <c r="AV108" s="100" t="n">
        <f aca="false">IF($P108=0,"",T108*1000/AV$159*$AD$159/14.696/$BP108/42)</f>
        <v>10754.1469765832</v>
      </c>
      <c r="AW108" s="100" t="n">
        <f aca="false">IF($P108=0,"",U108*1000/AW$159*$AD$159/14.696/$BP108/42)</f>
        <v>9922.47323201491</v>
      </c>
      <c r="AX108" s="100" t="n">
        <f aca="false">IF($P108=0,"",V108*1000/AX$159*$AD$159/14.696/$BP108/42)</f>
        <v>1634.54510123985</v>
      </c>
      <c r="AY108" s="100" t="n">
        <f aca="false">IF($P108=0,"",W108*1000/AY$159*$AD$159/14.696/$BP108/42)</f>
        <v>3363.56404731902</v>
      </c>
      <c r="AZ108" s="100" t="n">
        <f aca="false">IF($P108=0,"",X108*1000/AZ$159*$AD$159/14.696/$BP108/42)</f>
        <v>785.861040387365</v>
      </c>
      <c r="BA108" s="100" t="n">
        <f aca="false">IF($P108=0,"",Y108*1000/BA$159*$AD$159/14.696/$BP108/42)</f>
        <v>765.855222480629</v>
      </c>
      <c r="BB108" s="100" t="n">
        <f aca="false">IF($P108=0,"",Z108*1000/BB$159*$AD$159/14.696/$BP108/42)</f>
        <v>697.716079208328</v>
      </c>
      <c r="BC108" s="100" t="n">
        <f aca="false">IF($P108=0,"",AA108*1000/BC$159*$AD$159/14.696/$BP108/42)</f>
        <v>0</v>
      </c>
      <c r="BD108" s="430" t="n">
        <f aca="false">SUM(AS108:BC108)</f>
        <v>62173.7496559068</v>
      </c>
      <c r="BE108" s="424" t="n">
        <f aca="false">IF($P108=0,"",E108/$P108*BE$159)</f>
        <v>2.0475E-005</v>
      </c>
      <c r="BF108" s="425" t="n">
        <f aca="false">IF($P108=0,"",F108/$P108*BF$159)</f>
        <v>3.14704E-005</v>
      </c>
      <c r="BG108" s="425" t="n">
        <f aca="false">IF($P108=0,"",G108/$P108*BG$159)</f>
        <v>0.007731864</v>
      </c>
      <c r="BH108" s="425" t="n">
        <f aca="false">IF($P108=0,"",H108/$P108*BH$159)</f>
        <v>0.00318444</v>
      </c>
      <c r="BI108" s="425" t="n">
        <f aca="false">IF($P108=0,"",I108/$P108*BI$159)</f>
        <v>0.004158448</v>
      </c>
      <c r="BJ108" s="425" t="n">
        <f aca="false">IF($P108=0,"",J108/$P108*BJ$159)</f>
        <v>0.000732942</v>
      </c>
      <c r="BK108" s="425" t="n">
        <f aca="false">IF($P108=0,"",K108/$P108*BK$159)</f>
        <v>0.0016685</v>
      </c>
      <c r="BL108" s="425" t="n">
        <f aca="false">IF($P108=0,"",L108/$P108*BL$159)</f>
        <v>0.00041184</v>
      </c>
      <c r="BM108" s="425" t="n">
        <f aca="false">IF($P108=0,"",M108/$P108*BM$159)</f>
        <v>0.000426018</v>
      </c>
      <c r="BN108" s="425" t="n">
        <f aca="false">IF($P108=0,"",N108/$P108*BN$159)</f>
        <v>0.0004620795</v>
      </c>
      <c r="BO108" s="425" t="n">
        <f aca="false">IF($P108=0,"",O108/$P108*BO$159)</f>
        <v>0</v>
      </c>
      <c r="BP108" s="423" t="n">
        <f aca="false">1-AD$159*(SUM(BE108:BO108))^2</f>
        <v>0.994806626571629</v>
      </c>
    </row>
    <row r="109" customFormat="false" ht="15" hidden="false" customHeight="false" outlineLevel="0" collapsed="false">
      <c r="A109" s="413" t="s">
        <v>326</v>
      </c>
      <c r="B109" s="414" t="s">
        <v>327</v>
      </c>
      <c r="C109" s="415" t="n">
        <v>77194.55</v>
      </c>
      <c r="D109" s="416" t="n">
        <v>94100.16</v>
      </c>
      <c r="E109" s="417" t="n">
        <v>0.097</v>
      </c>
      <c r="F109" s="417" t="n">
        <v>0.852</v>
      </c>
      <c r="G109" s="417" t="n">
        <v>81.583</v>
      </c>
      <c r="H109" s="417" t="n">
        <v>10.665</v>
      </c>
      <c r="I109" s="417" t="n">
        <v>3.944</v>
      </c>
      <c r="J109" s="417" t="n">
        <v>0.632</v>
      </c>
      <c r="K109" s="417" t="n">
        <v>1.129</v>
      </c>
      <c r="L109" s="417" t="n">
        <v>0.308</v>
      </c>
      <c r="M109" s="417" t="n">
        <v>0.317</v>
      </c>
      <c r="N109" s="417" t="n">
        <v>0.473</v>
      </c>
      <c r="O109" s="76"/>
      <c r="P109" s="418" t="n">
        <f aca="false">SUM(E109:O109)</f>
        <v>100</v>
      </c>
      <c r="Q109" s="14" t="n">
        <f aca="false">IF($P109=0,"",$C109*E109/$P109)</f>
        <v>74.8787135</v>
      </c>
      <c r="R109" s="15" t="n">
        <f aca="false">IF($P109=0,"",$C109*F109/$P109)</f>
        <v>657.697566</v>
      </c>
      <c r="S109" s="15" t="n">
        <f aca="false">IF($P109=0,"",$C109*G109/$P109)</f>
        <v>62977.6297265</v>
      </c>
      <c r="T109" s="15" t="n">
        <f aca="false">IF($P109=0,"",$C109*H109/$P109)</f>
        <v>8232.7987575</v>
      </c>
      <c r="U109" s="15" t="n">
        <f aca="false">IF($P109=0,"",$C109*I109/$P109)</f>
        <v>3044.553052</v>
      </c>
      <c r="V109" s="15" t="n">
        <f aca="false">IF($P109=0,"",$C109*J109/$P109)</f>
        <v>487.869556</v>
      </c>
      <c r="W109" s="15" t="n">
        <f aca="false">IF($P109=0,"",$C109*K109/$P109)</f>
        <v>871.5264695</v>
      </c>
      <c r="X109" s="15" t="n">
        <f aca="false">IF($P109=0,"",$C109*L109/$P109)</f>
        <v>237.759214</v>
      </c>
      <c r="Y109" s="15" t="n">
        <f aca="false">IF($P109=0,"",$C109*M109/$P109)</f>
        <v>244.7067235</v>
      </c>
      <c r="Z109" s="15" t="n">
        <f aca="false">IF($P109=0,"",$C109*N109/$P109)</f>
        <v>365.1302215</v>
      </c>
      <c r="AA109" s="15" t="n">
        <f aca="false">IF($P109=0,"",$C109*O109/$P109)</f>
        <v>0</v>
      </c>
      <c r="AB109" s="16" t="n">
        <f aca="false">SUM(Q109:AA109)</f>
        <v>77194.55</v>
      </c>
      <c r="AC109" s="419"/>
      <c r="AD109" s="420"/>
      <c r="AE109" s="15" t="n">
        <f aca="false">IF($P109=0,"",S109*AE$159/$BP109/1000)</f>
        <v>63615.9751745479</v>
      </c>
      <c r="AF109" s="15" t="n">
        <f aca="false">IF($P109=0,"",T109*AF$159/$BP109/1000)</f>
        <v>14572.4303496179</v>
      </c>
      <c r="AG109" s="15" t="n">
        <f aca="false">IF($P109=0,"",U109*AG$159/$BP109/1000)</f>
        <v>7661.65126781765</v>
      </c>
      <c r="AH109" s="15" t="n">
        <f aca="false">IF($P109=0,"",V109*AH$159/$BP109/1000)</f>
        <v>1586.76718317337</v>
      </c>
      <c r="AI109" s="15" t="n">
        <f aca="false">IF($P109=0,"",W109*AI$159/$BP109/1000)</f>
        <v>2843.68275337125</v>
      </c>
      <c r="AJ109" s="15" t="n">
        <f aca="false">IF($P109=0,"",X109*AJ$159/$BP109/1000)</f>
        <v>951.421003843871</v>
      </c>
      <c r="AK109" s="15" t="n">
        <f aca="false">IF($P109=0,"",Y109*AK$159/$BP109/1000)</f>
        <v>981.137303971125</v>
      </c>
      <c r="AL109" s="15" t="n">
        <f aca="false">IF($P109=0,"",Z109*AL$159/$BP109/1000)</f>
        <v>1873.17016405382</v>
      </c>
      <c r="AM109" s="15" t="n">
        <f aca="false">IF($P109=0,"",AA109*AM$159/$BP109/1000)</f>
        <v>0</v>
      </c>
      <c r="AN109" s="15" t="n">
        <f aca="false">SUM(AC109:AM109)</f>
        <v>94086.2352003969</v>
      </c>
      <c r="AO109" s="15" t="n">
        <f aca="false">D109-AN109</f>
        <v>13.924799603119</v>
      </c>
      <c r="AP109" s="421" t="n">
        <f aca="false">IF(D109=0,0,AO109/D109)</f>
        <v>0.000147978490186616</v>
      </c>
      <c r="AQ109" s="75" t="n">
        <f aca="false">IF(AB109=0,0,AN109/AB109)*1000</f>
        <v>1218.81966020136</v>
      </c>
      <c r="AR109" s="340" t="n">
        <f aca="false">IF(C109=0,0,D109/C109)*1000</f>
        <v>1219.0000459877</v>
      </c>
      <c r="AS109" s="422" t="n">
        <f aca="false">IF($P109=0,"",Q109*1000/AS$159*$AD$159/14.696/$BP109/42)</f>
        <v>30.353301447096</v>
      </c>
      <c r="AT109" s="15" t="n">
        <f aca="false">IF($P109=0,"",R109*1000/AT$159*$AD$159/14.696/$BP109/42)</f>
        <v>171.870071493757</v>
      </c>
      <c r="AU109" s="15" t="n">
        <f aca="false">IF($P109=0,"",S109*1000/AU$159*$AD$159/14.696/$BP109/42)</f>
        <v>25359.7834113656</v>
      </c>
      <c r="AV109" s="15" t="n">
        <f aca="false">IF($P109=0,"",T109*1000/AV$159*$AD$159/14.696/$BP109/42)</f>
        <v>5229.7519465309</v>
      </c>
      <c r="AW109" s="15" t="n">
        <f aca="false">IF($P109=0,"",U109*1000/AW$159*$AD$159/14.696/$BP109/42)</f>
        <v>1992.30313392401</v>
      </c>
      <c r="AX109" s="15" t="n">
        <f aca="false">IF($P109=0,"",V109*1000/AX$159*$AD$159/14.696/$BP109/42)</f>
        <v>379.213110212271</v>
      </c>
      <c r="AY109" s="15" t="n">
        <f aca="false">IF($P109=0,"",W109*1000/AY$159*$AD$159/14.696/$BP109/42)</f>
        <v>652.627946229316</v>
      </c>
      <c r="AZ109" s="15" t="n">
        <f aca="false">IF($P109=0,"",X109*1000/AZ$159*$AD$159/14.696/$BP109/42)</f>
        <v>206.53364501764</v>
      </c>
      <c r="BA109" s="15" t="n">
        <f aca="false">IF($P109=0,"",Y109*1000/BA$159*$AD$159/14.696/$BP109/42)</f>
        <v>210.693429182183</v>
      </c>
      <c r="BB109" s="15" t="n">
        <f aca="false">IF($P109=0,"",Z109*1000/BB$159*$AD$159/14.696/$BP109/42)</f>
        <v>376.345273876639</v>
      </c>
      <c r="BC109" s="15" t="n">
        <f aca="false">IF($P109=0,"",AA109*1000/BC$159*$AD$159/14.696/$BP109/42)</f>
        <v>0</v>
      </c>
      <c r="BD109" s="55" t="n">
        <f aca="false">SUM(AS109:BC109)</f>
        <v>34609.4752692794</v>
      </c>
      <c r="BE109" s="419" t="n">
        <f aca="false">IF($P109=0,"",E109/$P109*BE$159)</f>
        <v>1.8915E-005</v>
      </c>
      <c r="BF109" s="420" t="n">
        <f aca="false">IF($P109=0,"",F109/$P109*BF$159)</f>
        <v>3.76584E-005</v>
      </c>
      <c r="BG109" s="420" t="n">
        <f aca="false">IF($P109=0,"",G109/$P109*BG$159)</f>
        <v>0.009463628</v>
      </c>
      <c r="BH109" s="420" t="n">
        <f aca="false">IF($P109=0,"",H109/$P109*BH$159)</f>
        <v>0.00253827</v>
      </c>
      <c r="BI109" s="420" t="n">
        <f aca="false">IF($P109=0,"",I109/$P109*BI$159)</f>
        <v>0.001368568</v>
      </c>
      <c r="BJ109" s="420" t="n">
        <f aca="false">IF($P109=0,"",J109/$P109*BJ$159)</f>
        <v>0.000278712</v>
      </c>
      <c r="BK109" s="420" t="n">
        <f aca="false">IF($P109=0,"",K109/$P109*BK$159)</f>
        <v>0.00053063</v>
      </c>
      <c r="BL109" s="420" t="n">
        <f aca="false">IF($P109=0,"",L109/$P109*BL$159)</f>
        <v>0.000177408</v>
      </c>
      <c r="BM109" s="420" t="n">
        <f aca="false">IF($P109=0,"",M109/$P109*BM$159)</f>
        <v>0.000192102</v>
      </c>
      <c r="BN109" s="420" t="n">
        <f aca="false">IF($P109=0,"",N109/$P109*BN$159)</f>
        <v>0.0004085301</v>
      </c>
      <c r="BO109" s="420" t="n">
        <f aca="false">IF($P109=0,"",O109/$P109*BO$159)</f>
        <v>0</v>
      </c>
      <c r="BP109" s="418" t="n">
        <f aca="false">1-AD$159*(SUM(BE109:BO109))^2</f>
        <v>0.996697408703848</v>
      </c>
    </row>
    <row r="110" customFormat="false" ht="15" hidden="false" customHeight="false" outlineLevel="0" collapsed="false">
      <c r="A110" s="413" t="s">
        <v>328</v>
      </c>
      <c r="B110" s="414" t="s">
        <v>329</v>
      </c>
      <c r="C110" s="415" t="n">
        <v>699206.19</v>
      </c>
      <c r="D110" s="416" t="n">
        <v>869113.29</v>
      </c>
      <c r="E110" s="417" t="n">
        <v>0.33</v>
      </c>
      <c r="F110" s="417" t="n">
        <v>0.995</v>
      </c>
      <c r="G110" s="417" t="n">
        <v>79.627</v>
      </c>
      <c r="H110" s="417" t="n">
        <v>10.917</v>
      </c>
      <c r="I110" s="417" t="n">
        <v>4.757</v>
      </c>
      <c r="J110" s="417" t="n">
        <v>0.662</v>
      </c>
      <c r="K110" s="417" t="n">
        <v>1.447</v>
      </c>
      <c r="L110" s="417" t="n">
        <v>0.339</v>
      </c>
      <c r="M110" s="417" t="n">
        <v>0.365</v>
      </c>
      <c r="N110" s="417" t="n">
        <v>0.561</v>
      </c>
      <c r="O110" s="76"/>
      <c r="P110" s="423" t="n">
        <f aca="false">SUM(E110:O110)</f>
        <v>100</v>
      </c>
      <c r="Q110" s="99" t="n">
        <f aca="false">IF($P110=0,"",$C110*E110/$P110)</f>
        <v>2307.380427</v>
      </c>
      <c r="R110" s="100" t="n">
        <f aca="false">IF($P110=0,"",$C110*F110/$P110)</f>
        <v>6957.1015905</v>
      </c>
      <c r="S110" s="100" t="n">
        <f aca="false">IF($P110=0,"",$C110*G110/$P110)</f>
        <v>556756.9129113</v>
      </c>
      <c r="T110" s="100" t="n">
        <f aca="false">IF($P110=0,"",$C110*H110/$P110)</f>
        <v>76332.3397623</v>
      </c>
      <c r="U110" s="100" t="n">
        <f aca="false">IF($P110=0,"",$C110*I110/$P110)</f>
        <v>33261.2384583</v>
      </c>
      <c r="V110" s="100" t="n">
        <f aca="false">IF($P110=0,"",$C110*J110/$P110)</f>
        <v>4628.7449778</v>
      </c>
      <c r="W110" s="100" t="n">
        <f aca="false">IF($P110=0,"",$C110*K110/$P110)</f>
        <v>10117.5135693</v>
      </c>
      <c r="X110" s="100" t="n">
        <f aca="false">IF($P110=0,"",$C110*L110/$P110)</f>
        <v>2370.3089841</v>
      </c>
      <c r="Y110" s="100" t="n">
        <f aca="false">IF($P110=0,"",$C110*M110/$P110)</f>
        <v>2552.1025935</v>
      </c>
      <c r="Z110" s="100" t="n">
        <f aca="false">IF($P110=0,"",$C110*N110/$P110)</f>
        <v>3922.5467259</v>
      </c>
      <c r="AA110" s="100" t="n">
        <f aca="false">IF($P110=0,"",$C110*O110/$P110)</f>
        <v>0</v>
      </c>
      <c r="AB110" s="101" t="n">
        <f aca="false">SUM(Q110:AA110)</f>
        <v>699206.19</v>
      </c>
      <c r="AC110" s="424"/>
      <c r="AD110" s="425"/>
      <c r="AE110" s="100" t="n">
        <f aca="false">IF($P110=0,"",S110*AE$159/$BP110/1000)</f>
        <v>562514.300973412</v>
      </c>
      <c r="AF110" s="100" t="n">
        <f aca="false">IF($P110=0,"",T110*AF$159/$BP110/1000)</f>
        <v>135139.1352594</v>
      </c>
      <c r="AG110" s="100" t="n">
        <f aca="false">IF($P110=0,"",U110*AG$159/$BP110/1000)</f>
        <v>83719.2487329904</v>
      </c>
      <c r="AH110" s="100" t="n">
        <f aca="false">IF($P110=0,"",V110*AH$159/$BP110/1000)</f>
        <v>15057.7755049576</v>
      </c>
      <c r="AI110" s="100" t="n">
        <f aca="false">IF($P110=0,"",W110*AI$159/$BP110/1000)</f>
        <v>33018.8870066992</v>
      </c>
      <c r="AJ110" s="100" t="n">
        <f aca="false">IF($P110=0,"",X110*AJ$159/$BP110/1000)</f>
        <v>9486.98935628347</v>
      </c>
      <c r="AK110" s="100" t="n">
        <f aca="false">IF($P110=0,"",Y110*AK$159/$BP110/1000)</f>
        <v>10234.5814705838</v>
      </c>
      <c r="AL110" s="100" t="n">
        <f aca="false">IF($P110=0,"",Z110*AL$159/$BP110/1000)</f>
        <v>20127.3059873957</v>
      </c>
      <c r="AM110" s="100" t="n">
        <f aca="false">IF($P110=0,"",AA110*AM$159/$BP110/1000)</f>
        <v>0</v>
      </c>
      <c r="AN110" s="100" t="n">
        <f aca="false">SUM(AC110:AM110)</f>
        <v>869298.224291723</v>
      </c>
      <c r="AO110" s="100" t="n">
        <f aca="false">D110-AN110</f>
        <v>-184.934291722602</v>
      </c>
      <c r="AP110" s="426" t="n">
        <f aca="false">IF(D110=0,0,AO110/D110)</f>
        <v>-0.00021278502336859</v>
      </c>
      <c r="AQ110" s="427" t="n">
        <f aca="false">IF(AB110=0,0,AN110/AB110)*1000</f>
        <v>1243.26448581887</v>
      </c>
      <c r="AR110" s="428" t="n">
        <f aca="false">IF(C110=0,0,D110/C110)*1000</f>
        <v>1242.99999403609</v>
      </c>
      <c r="AS110" s="429" t="n">
        <f aca="false">IF($P110=0,"",Q110*1000/AS$159*$AD$159/14.696/$BP110/42)</f>
        <v>935.52379334952</v>
      </c>
      <c r="AT110" s="100" t="n">
        <f aca="false">IF($P110=0,"",R110*1000/AT$159*$AD$159/14.696/$BP110/42)</f>
        <v>1818.40426121534</v>
      </c>
      <c r="AU110" s="100" t="n">
        <f aca="false">IF($P110=0,"",S110*1000/AU$159*$AD$159/14.696/$BP110/42)</f>
        <v>224239.914570842</v>
      </c>
      <c r="AV110" s="100" t="n">
        <f aca="false">IF($P110=0,"",T110*1000/AV$159*$AD$159/14.696/$BP110/42)</f>
        <v>48498.7156376342</v>
      </c>
      <c r="AW110" s="100" t="n">
        <f aca="false">IF($P110=0,"",U110*1000/AW$159*$AD$159/14.696/$BP110/42)</f>
        <v>21769.9965438404</v>
      </c>
      <c r="AX110" s="100" t="n">
        <f aca="false">IF($P110=0,"",V110*1000/AX$159*$AD$159/14.696/$BP110/42)</f>
        <v>3598.57825562886</v>
      </c>
      <c r="AY110" s="100" t="n">
        <f aca="false">IF($P110=0,"",W110*1000/AY$159*$AD$159/14.696/$BP110/42)</f>
        <v>7577.86654942893</v>
      </c>
      <c r="AZ110" s="100" t="n">
        <f aca="false">IF($P110=0,"",X110*1000/AZ$159*$AD$159/14.696/$BP110/42)</f>
        <v>2059.42740814068</v>
      </c>
      <c r="BA110" s="100" t="n">
        <f aca="false">IF($P110=0,"",Y110*1000/BA$159*$AD$159/14.696/$BP110/42)</f>
        <v>2197.8157975993</v>
      </c>
      <c r="BB110" s="100" t="n">
        <f aca="false">IF($P110=0,"",Z110*1000/BB$159*$AD$159/14.696/$BP110/42)</f>
        <v>4043.84856730387</v>
      </c>
      <c r="BC110" s="100" t="n">
        <f aca="false">IF($P110=0,"",AA110*1000/BC$159*$AD$159/14.696/$BP110/42)</f>
        <v>0</v>
      </c>
      <c r="BD110" s="430" t="n">
        <f aca="false">SUM(AS110:BC110)</f>
        <v>316740.091384984</v>
      </c>
      <c r="BE110" s="424" t="n">
        <f aca="false">IF($P110=0,"",E110/$P110*BE$159)</f>
        <v>6.435E-005</v>
      </c>
      <c r="BF110" s="425" t="n">
        <f aca="false">IF($P110=0,"",F110/$P110*BF$159)</f>
        <v>4.3979E-005</v>
      </c>
      <c r="BG110" s="425" t="n">
        <f aca="false">IF($P110=0,"",G110/$P110*BG$159)</f>
        <v>0.009236732</v>
      </c>
      <c r="BH110" s="425" t="n">
        <f aca="false">IF($P110=0,"",H110/$P110*BH$159)</f>
        <v>0.002598246</v>
      </c>
      <c r="BI110" s="425" t="n">
        <f aca="false">IF($P110=0,"",I110/$P110*BI$159)</f>
        <v>0.001650679</v>
      </c>
      <c r="BJ110" s="425" t="n">
        <f aca="false">IF($P110=0,"",J110/$P110*BJ$159)</f>
        <v>0.000291942</v>
      </c>
      <c r="BK110" s="425" t="n">
        <f aca="false">IF($P110=0,"",K110/$P110*BK$159)</f>
        <v>0.00068009</v>
      </c>
      <c r="BL110" s="425" t="n">
        <f aca="false">IF($P110=0,"",L110/$P110*BL$159)</f>
        <v>0.000195264</v>
      </c>
      <c r="BM110" s="425" t="n">
        <f aca="false">IF($P110=0,"",M110/$P110*BM$159)</f>
        <v>0.00022119</v>
      </c>
      <c r="BN110" s="425" t="n">
        <f aca="false">IF($P110=0,"",N110/$P110*BN$159)</f>
        <v>0.0004845357</v>
      </c>
      <c r="BO110" s="425" t="n">
        <f aca="false">IF($P110=0,"",O110/$P110*BO$159)</f>
        <v>0</v>
      </c>
      <c r="BP110" s="423" t="n">
        <f aca="false">1-AD$159*(SUM(BE110:BO110))^2</f>
        <v>0.996495305006639</v>
      </c>
    </row>
    <row r="111" customFormat="false" ht="15" hidden="false" customHeight="false" outlineLevel="0" collapsed="false">
      <c r="A111" s="413" t="s">
        <v>330</v>
      </c>
      <c r="B111" s="414" t="s">
        <v>331</v>
      </c>
      <c r="C111" s="415" t="n">
        <v>0</v>
      </c>
      <c r="D111" s="416" t="n">
        <v>0</v>
      </c>
      <c r="E111" s="417" t="n">
        <v>0.263</v>
      </c>
      <c r="F111" s="417" t="n">
        <v>0.657</v>
      </c>
      <c r="G111" s="417" t="n">
        <v>84.248</v>
      </c>
      <c r="H111" s="417" t="n">
        <v>8.16999999999999</v>
      </c>
      <c r="I111" s="417" t="n">
        <v>4.034</v>
      </c>
      <c r="J111" s="417" t="n">
        <v>0.485</v>
      </c>
      <c r="K111" s="417" t="n">
        <v>1.223</v>
      </c>
      <c r="L111" s="417" t="n">
        <v>0.293</v>
      </c>
      <c r="M111" s="417" t="n">
        <v>0.334</v>
      </c>
      <c r="N111" s="417" t="n">
        <v>0.293</v>
      </c>
      <c r="O111" s="76"/>
      <c r="P111" s="418" t="n">
        <f aca="false">SUM(E111:O111)</f>
        <v>100</v>
      </c>
      <c r="Q111" s="14" t="n">
        <f aca="false">IF($P111=0,"",$C111*E111/$P111)</f>
        <v>0</v>
      </c>
      <c r="R111" s="15" t="n">
        <f aca="false">IF($P111=0,"",$C111*F111/$P111)</f>
        <v>0</v>
      </c>
      <c r="S111" s="15" t="n">
        <f aca="false">IF($P111=0,"",$C111*G111/$P111)</f>
        <v>0</v>
      </c>
      <c r="T111" s="15" t="n">
        <f aca="false">IF($P111=0,"",$C111*H111/$P111)</f>
        <v>0</v>
      </c>
      <c r="U111" s="15" t="n">
        <f aca="false">IF($P111=0,"",$C111*I111/$P111)</f>
        <v>0</v>
      </c>
      <c r="V111" s="15" t="n">
        <f aca="false">IF($P111=0,"",$C111*J111/$P111)</f>
        <v>0</v>
      </c>
      <c r="W111" s="15" t="n">
        <f aca="false">IF($P111=0,"",$C111*K111/$P111)</f>
        <v>0</v>
      </c>
      <c r="X111" s="15" t="n">
        <f aca="false">IF($P111=0,"",$C111*L111/$P111)</f>
        <v>0</v>
      </c>
      <c r="Y111" s="15" t="n">
        <f aca="false">IF($P111=0,"",$C111*M111/$P111)</f>
        <v>0</v>
      </c>
      <c r="Z111" s="15" t="n">
        <f aca="false">IF($P111=0,"",$C111*N111/$P111)</f>
        <v>0</v>
      </c>
      <c r="AA111" s="15" t="n">
        <f aca="false">IF($P111=0,"",$C111*O111/$P111)</f>
        <v>0</v>
      </c>
      <c r="AB111" s="16" t="n">
        <f aca="false">SUM(Q111:AA111)</f>
        <v>0</v>
      </c>
      <c r="AC111" s="419"/>
      <c r="AD111" s="420"/>
      <c r="AE111" s="15" t="n">
        <f aca="false">IF($P111=0,"",S111*AE$159/$BP111/1000)</f>
        <v>0</v>
      </c>
      <c r="AF111" s="15" t="n">
        <f aca="false">IF($P111=0,"",T111*AF$159/$BP111/1000)</f>
        <v>0</v>
      </c>
      <c r="AG111" s="15" t="n">
        <f aca="false">IF($P111=0,"",U111*AG$159/$BP111/1000)</f>
        <v>0</v>
      </c>
      <c r="AH111" s="15" t="n">
        <f aca="false">IF($P111=0,"",V111*AH$159/$BP111/1000)</f>
        <v>0</v>
      </c>
      <c r="AI111" s="15" t="n">
        <f aca="false">IF($P111=0,"",W111*AI$159/$BP111/1000)</f>
        <v>0</v>
      </c>
      <c r="AJ111" s="15" t="n">
        <f aca="false">IF($P111=0,"",X111*AJ$159/$BP111/1000)</f>
        <v>0</v>
      </c>
      <c r="AK111" s="15" t="n">
        <f aca="false">IF($P111=0,"",Y111*AK$159/$BP111/1000)</f>
        <v>0</v>
      </c>
      <c r="AL111" s="15" t="n">
        <f aca="false">IF($P111=0,"",Z111*AL$159/$BP111/1000)</f>
        <v>0</v>
      </c>
      <c r="AM111" s="15" t="n">
        <f aca="false">IF($P111=0,"",AA111*AM$159/$BP111/1000)</f>
        <v>0</v>
      </c>
      <c r="AN111" s="15" t="n">
        <f aca="false">SUM(AC111:AM111)</f>
        <v>0</v>
      </c>
      <c r="AO111" s="15" t="n">
        <f aca="false">D111-AN111</f>
        <v>0</v>
      </c>
      <c r="AP111" s="421" t="n">
        <f aca="false">IF(D111=0,0,AO111/D111)</f>
        <v>0</v>
      </c>
      <c r="AQ111" s="75" t="n">
        <f aca="false">IF(AB111=0,0,AN111/AB111)*1000</f>
        <v>0</v>
      </c>
      <c r="AR111" s="340" t="n">
        <f aca="false">IF(C111=0,0,D111/C111)*1000</f>
        <v>0</v>
      </c>
      <c r="AS111" s="422" t="n">
        <f aca="false">IF($P111=0,"",Q111*1000/AS$159*$AD$159/14.696/$BP111/42)</f>
        <v>0</v>
      </c>
      <c r="AT111" s="15" t="n">
        <f aca="false">IF($P111=0,"",R111*1000/AT$159*$AD$159/14.696/$BP111/42)</f>
        <v>0</v>
      </c>
      <c r="AU111" s="15" t="n">
        <f aca="false">IF($P111=0,"",S111*1000/AU$159*$AD$159/14.696/$BP111/42)</f>
        <v>0</v>
      </c>
      <c r="AV111" s="15" t="n">
        <f aca="false">IF($P111=0,"",T111*1000/AV$159*$AD$159/14.696/$BP111/42)</f>
        <v>0</v>
      </c>
      <c r="AW111" s="15" t="n">
        <f aca="false">IF($P111=0,"",U111*1000/AW$159*$AD$159/14.696/$BP111/42)</f>
        <v>0</v>
      </c>
      <c r="AX111" s="15" t="n">
        <f aca="false">IF($P111=0,"",V111*1000/AX$159*$AD$159/14.696/$BP111/42)</f>
        <v>0</v>
      </c>
      <c r="AY111" s="15" t="n">
        <f aca="false">IF($P111=0,"",W111*1000/AY$159*$AD$159/14.696/$BP111/42)</f>
        <v>0</v>
      </c>
      <c r="AZ111" s="15" t="n">
        <f aca="false">IF($P111=0,"",X111*1000/AZ$159*$AD$159/14.696/$BP111/42)</f>
        <v>0</v>
      </c>
      <c r="BA111" s="15" t="n">
        <f aca="false">IF($P111=0,"",Y111*1000/BA$159*$AD$159/14.696/$BP111/42)</f>
        <v>0</v>
      </c>
      <c r="BB111" s="15" t="n">
        <f aca="false">IF($P111=0,"",Z111*1000/BB$159*$AD$159/14.696/$BP111/42)</f>
        <v>0</v>
      </c>
      <c r="BC111" s="15" t="n">
        <f aca="false">IF($P111=0,"",AA111*1000/BC$159*$AD$159/14.696/$BP111/42)</f>
        <v>0</v>
      </c>
      <c r="BD111" s="55" t="n">
        <f aca="false">SUM(AS111:BC111)</f>
        <v>0</v>
      </c>
      <c r="BE111" s="419" t="n">
        <f aca="false">IF($P111=0,"",E111/$P111*BE$159)</f>
        <v>5.1285E-005</v>
      </c>
      <c r="BF111" s="420" t="n">
        <f aca="false">IF($P111=0,"",F111/$P111*BF$159)</f>
        <v>2.90394E-005</v>
      </c>
      <c r="BG111" s="420" t="n">
        <f aca="false">IF($P111=0,"",G111/$P111*BG$159)</f>
        <v>0.009772768</v>
      </c>
      <c r="BH111" s="420" t="n">
        <f aca="false">IF($P111=0,"",H111/$P111*BH$159)</f>
        <v>0.00194446</v>
      </c>
      <c r="BI111" s="420" t="n">
        <f aca="false">IF($P111=0,"",I111/$P111*BI$159)</f>
        <v>0.001399798</v>
      </c>
      <c r="BJ111" s="420" t="n">
        <f aca="false">IF($P111=0,"",J111/$P111*BJ$159)</f>
        <v>0.000213885</v>
      </c>
      <c r="BK111" s="420" t="n">
        <f aca="false">IF($P111=0,"",K111/$P111*BK$159)</f>
        <v>0.00057481</v>
      </c>
      <c r="BL111" s="420" t="n">
        <f aca="false">IF($P111=0,"",L111/$P111*BL$159)</f>
        <v>0.000168768</v>
      </c>
      <c r="BM111" s="420" t="n">
        <f aca="false">IF($P111=0,"",M111/$P111*BM$159)</f>
        <v>0.000202404</v>
      </c>
      <c r="BN111" s="420" t="n">
        <f aca="false">IF($P111=0,"",N111/$P111*BN$159)</f>
        <v>0.0002530641</v>
      </c>
      <c r="BO111" s="420" t="n">
        <f aca="false">IF($P111=0,"",O111/$P111*BO$159)</f>
        <v>0</v>
      </c>
      <c r="BP111" s="418" t="n">
        <f aca="false">1-AD$159*(SUM(BE111:BO111))^2</f>
        <v>0.99687280623129</v>
      </c>
    </row>
    <row r="112" customFormat="false" ht="15" hidden="false" customHeight="false" outlineLevel="0" collapsed="false">
      <c r="A112" s="413" t="s">
        <v>332</v>
      </c>
      <c r="B112" s="414" t="s">
        <v>333</v>
      </c>
      <c r="C112" s="415" t="n">
        <v>482919.68</v>
      </c>
      <c r="D112" s="416" t="n">
        <v>601235</v>
      </c>
      <c r="E112" s="417" t="n">
        <v>0.169</v>
      </c>
      <c r="F112" s="417" t="n">
        <v>1.369</v>
      </c>
      <c r="G112" s="417" t="n">
        <v>79.224</v>
      </c>
      <c r="H112" s="417" t="n">
        <v>10.904</v>
      </c>
      <c r="I112" s="417" t="n">
        <v>4.714</v>
      </c>
      <c r="J112" s="417" t="n">
        <v>0.747</v>
      </c>
      <c r="K112" s="417" t="n">
        <v>1.59</v>
      </c>
      <c r="L112" s="417" t="n">
        <v>0.395</v>
      </c>
      <c r="M112" s="417" t="n">
        <v>0.426</v>
      </c>
      <c r="N112" s="417" t="n">
        <v>0.462</v>
      </c>
      <c r="O112" s="76"/>
      <c r="P112" s="423" t="n">
        <f aca="false">SUM(E112:O112)</f>
        <v>100</v>
      </c>
      <c r="Q112" s="99" t="n">
        <f aca="false">IF($P112=0,"",$C112*E112/$P112)</f>
        <v>816.1342592</v>
      </c>
      <c r="R112" s="100" t="n">
        <f aca="false">IF($P112=0,"",$C112*F112/$P112)</f>
        <v>6611.1704192</v>
      </c>
      <c r="S112" s="100" t="n">
        <f aca="false">IF($P112=0,"",$C112*G112/$P112)</f>
        <v>382588.2872832</v>
      </c>
      <c r="T112" s="100" t="n">
        <f aca="false">IF($P112=0,"",$C112*H112/$P112)</f>
        <v>52657.5619072</v>
      </c>
      <c r="U112" s="100" t="n">
        <f aca="false">IF($P112=0,"",$C112*I112/$P112)</f>
        <v>22764.8337152</v>
      </c>
      <c r="V112" s="100" t="n">
        <f aca="false">IF($P112=0,"",$C112*J112/$P112)</f>
        <v>3607.4100096</v>
      </c>
      <c r="W112" s="100" t="n">
        <f aca="false">IF($P112=0,"",$C112*K112/$P112)</f>
        <v>7678.422912</v>
      </c>
      <c r="X112" s="100" t="n">
        <f aca="false">IF($P112=0,"",$C112*L112/$P112)</f>
        <v>1907.532736</v>
      </c>
      <c r="Y112" s="100" t="n">
        <f aca="false">IF($P112=0,"",$C112*M112/$P112)</f>
        <v>2057.2378368</v>
      </c>
      <c r="Z112" s="100" t="n">
        <f aca="false">IF($P112=0,"",$C112*N112/$P112)</f>
        <v>2231.0889216</v>
      </c>
      <c r="AA112" s="100" t="n">
        <f aca="false">IF($P112=0,"",$C112*O112/$P112)</f>
        <v>0</v>
      </c>
      <c r="AB112" s="101" t="n">
        <f aca="false">SUM(Q112:AA112)</f>
        <v>482919.68</v>
      </c>
      <c r="AC112" s="424"/>
      <c r="AD112" s="425"/>
      <c r="AE112" s="100" t="n">
        <f aca="false">IF($P112=0,"",S112*AE$159/$BP112/1000)</f>
        <v>386546.153101875</v>
      </c>
      <c r="AF112" s="100" t="n">
        <f aca="false">IF($P112=0,"",T112*AF$159/$BP112/1000)</f>
        <v>93225.5690950203</v>
      </c>
      <c r="AG112" s="100" t="n">
        <f aca="false">IF($P112=0,"",U112*AG$159/$BP112/1000)</f>
        <v>57299.8024037439</v>
      </c>
      <c r="AH112" s="100" t="n">
        <f aca="false">IF($P112=0,"",V112*AH$159/$BP112/1000)</f>
        <v>11735.3164590703</v>
      </c>
      <c r="AI112" s="100" t="n">
        <f aca="false">IF($P112=0,"",W112*AI$159/$BP112/1000)</f>
        <v>25058.9228096859</v>
      </c>
      <c r="AJ112" s="100" t="n">
        <f aca="false">IF($P112=0,"",X112*AJ$159/$BP112/1000)</f>
        <v>7634.79157927558</v>
      </c>
      <c r="AK112" s="100" t="n">
        <f aca="false">IF($P112=0,"",Y112*AK$159/$BP112/1000)</f>
        <v>8250.0807090417</v>
      </c>
      <c r="AL112" s="100" t="n">
        <f aca="false">IF($P112=0,"",Z112*AL$159/$BP112/1000)</f>
        <v>11448.171807137</v>
      </c>
      <c r="AM112" s="100" t="n">
        <f aca="false">IF($P112=0,"",AA112*AM$159/$BP112/1000)</f>
        <v>0</v>
      </c>
      <c r="AN112" s="100" t="n">
        <f aca="false">SUM(AC112:AM112)</f>
        <v>601198.807964849</v>
      </c>
      <c r="AO112" s="100" t="n">
        <f aca="false">D112-AN112</f>
        <v>36.1920351507142</v>
      </c>
      <c r="AP112" s="426" t="n">
        <f aca="false">IF(D112=0,0,AO112/D112)</f>
        <v>6.01961548324935E-005</v>
      </c>
      <c r="AQ112" s="427" t="n">
        <f aca="false">IF(AB112=0,0,AN112/AB112)*1000</f>
        <v>1244.92505247425</v>
      </c>
      <c r="AR112" s="428" t="n">
        <f aca="false">IF(C112=0,0,D112/C112)*1000</f>
        <v>1244.99999668682</v>
      </c>
      <c r="AS112" s="429" t="n">
        <f aca="false">IF($P112=0,"",Q112*1000/AS$159*$AD$159/14.696/$BP112/42)</f>
        <v>330.901683949849</v>
      </c>
      <c r="AT112" s="100" t="n">
        <f aca="false">IF($P112=0,"",R112*1000/AT$159*$AD$159/14.696/$BP112/42)</f>
        <v>1727.99381190071</v>
      </c>
      <c r="AU112" s="100" t="n">
        <f aca="false">IF($P112=0,"",S112*1000/AU$159*$AD$159/14.696/$BP112/42)</f>
        <v>154092.218098734</v>
      </c>
      <c r="AV112" s="100" t="n">
        <f aca="false">IF($P112=0,"",T112*1000/AV$159*$AD$159/14.696/$BP112/42)</f>
        <v>33456.7803546864</v>
      </c>
      <c r="AW112" s="100" t="n">
        <f aca="false">IF($P112=0,"",U112*1000/AW$159*$AD$159/14.696/$BP112/42)</f>
        <v>14899.9963469653</v>
      </c>
      <c r="AX112" s="100" t="n">
        <f aca="false">IF($P112=0,"",V112*1000/AX$159*$AD$159/14.696/$BP112/42)</f>
        <v>2804.56131243488</v>
      </c>
      <c r="AY112" s="100" t="n">
        <f aca="false">IF($P112=0,"",W112*1000/AY$159*$AD$159/14.696/$BP112/42)</f>
        <v>5751.0470563624</v>
      </c>
      <c r="AZ112" s="100" t="n">
        <f aca="false">IF($P112=0,"",X112*1000/AZ$159*$AD$159/14.696/$BP112/42)</f>
        <v>1657.35392370687</v>
      </c>
      <c r="BA112" s="100" t="n">
        <f aca="false">IF($P112=0,"",Y112*1000/BA$159*$AD$159/14.696/$BP112/42)</f>
        <v>1771.65600429451</v>
      </c>
      <c r="BB112" s="100" t="n">
        <f aca="false">IF($P112=0,"",Z112*1000/BB$159*$AD$159/14.696/$BP112/42)</f>
        <v>2300.09287827842</v>
      </c>
      <c r="BC112" s="100" t="n">
        <f aca="false">IF($P112=0,"",AA112*1000/BC$159*$AD$159/14.696/$BP112/42)</f>
        <v>0</v>
      </c>
      <c r="BD112" s="430" t="n">
        <f aca="false">SUM(AS112:BC112)</f>
        <v>218792.601471314</v>
      </c>
      <c r="BE112" s="424" t="n">
        <f aca="false">IF($P112=0,"",E112/$P112*BE$159)</f>
        <v>3.2955E-005</v>
      </c>
      <c r="BF112" s="425" t="n">
        <f aca="false">IF($P112=0,"",F112/$P112*BF$159)</f>
        <v>6.05098E-005</v>
      </c>
      <c r="BG112" s="425" t="n">
        <f aca="false">IF($P112=0,"",G112/$P112*BG$159)</f>
        <v>0.009189984</v>
      </c>
      <c r="BH112" s="425" t="n">
        <f aca="false">IF($P112=0,"",H112/$P112*BH$159)</f>
        <v>0.002595152</v>
      </c>
      <c r="BI112" s="425" t="n">
        <f aca="false">IF($P112=0,"",I112/$P112*BI$159)</f>
        <v>0.001635758</v>
      </c>
      <c r="BJ112" s="425" t="n">
        <f aca="false">IF($P112=0,"",J112/$P112*BJ$159)</f>
        <v>0.000329427</v>
      </c>
      <c r="BK112" s="425" t="n">
        <f aca="false">IF($P112=0,"",K112/$P112*BK$159)</f>
        <v>0.0007473</v>
      </c>
      <c r="BL112" s="425" t="n">
        <f aca="false">IF($P112=0,"",L112/$P112*BL$159)</f>
        <v>0.00022752</v>
      </c>
      <c r="BM112" s="425" t="n">
        <f aca="false">IF($P112=0,"",M112/$P112*BM$159)</f>
        <v>0.000258156</v>
      </c>
      <c r="BN112" s="425" t="n">
        <f aca="false">IF($P112=0,"",N112/$P112*BN$159)</f>
        <v>0.0003990294</v>
      </c>
      <c r="BO112" s="425" t="n">
        <f aca="false">IF($P112=0,"",O112/$P112*BO$159)</f>
        <v>0</v>
      </c>
      <c r="BP112" s="423" t="n">
        <f aca="false">1-AD$159*(SUM(BE112:BO112))^2</f>
        <v>0.996491323340653</v>
      </c>
    </row>
    <row r="113" customFormat="false" ht="15" hidden="false" customHeight="false" outlineLevel="0" collapsed="false">
      <c r="A113" s="413" t="s">
        <v>334</v>
      </c>
      <c r="B113" s="414" t="s">
        <v>335</v>
      </c>
      <c r="C113" s="415" t="n">
        <v>841995.11</v>
      </c>
      <c r="D113" s="416" t="n">
        <v>1082805.71</v>
      </c>
      <c r="E113" s="417" t="n">
        <v>0.135</v>
      </c>
      <c r="F113" s="417" t="n">
        <v>0.866</v>
      </c>
      <c r="G113" s="417" t="n">
        <v>78.175</v>
      </c>
      <c r="H113" s="417" t="n">
        <v>11.344</v>
      </c>
      <c r="I113" s="417" t="n">
        <v>5.072</v>
      </c>
      <c r="J113" s="417" t="n">
        <v>0.771</v>
      </c>
      <c r="K113" s="417" t="n">
        <v>1.767</v>
      </c>
      <c r="L113" s="417" t="n">
        <v>0.506</v>
      </c>
      <c r="M113" s="417" t="n">
        <v>0.536</v>
      </c>
      <c r="N113" s="417" t="n">
        <v>0.828</v>
      </c>
      <c r="O113" s="76"/>
      <c r="P113" s="418" t="n">
        <f aca="false">SUM(E113:O113)</f>
        <v>100</v>
      </c>
      <c r="Q113" s="14" t="n">
        <f aca="false">IF($P113=0,"",$C113*E113/$P113)</f>
        <v>1136.6933985</v>
      </c>
      <c r="R113" s="15" t="n">
        <f aca="false">IF($P113=0,"",$C113*F113/$P113)</f>
        <v>7291.6776526</v>
      </c>
      <c r="S113" s="15" t="n">
        <f aca="false">IF($P113=0,"",$C113*G113/$P113)</f>
        <v>658229.6772425</v>
      </c>
      <c r="T113" s="15" t="n">
        <f aca="false">IF($P113=0,"",$C113*H113/$P113)</f>
        <v>95515.9252784</v>
      </c>
      <c r="U113" s="15" t="n">
        <f aca="false">IF($P113=0,"",$C113*I113/$P113)</f>
        <v>42705.9919792</v>
      </c>
      <c r="V113" s="15" t="n">
        <f aca="false">IF($P113=0,"",$C113*J113/$P113)</f>
        <v>6491.7822981</v>
      </c>
      <c r="W113" s="15" t="n">
        <f aca="false">IF($P113=0,"",$C113*K113/$P113)</f>
        <v>14878.0535937</v>
      </c>
      <c r="X113" s="15" t="n">
        <f aca="false">IF($P113=0,"",$C113*L113/$P113)</f>
        <v>4260.4952566</v>
      </c>
      <c r="Y113" s="15" t="n">
        <f aca="false">IF($P113=0,"",$C113*M113/$P113)</f>
        <v>4513.0937896</v>
      </c>
      <c r="Z113" s="15" t="n">
        <f aca="false">IF($P113=0,"",$C113*N113/$P113)</f>
        <v>6971.7195108</v>
      </c>
      <c r="AA113" s="15" t="n">
        <f aca="false">IF($P113=0,"",$C113*O113/$P113)</f>
        <v>0</v>
      </c>
      <c r="AB113" s="16" t="n">
        <f aca="false">SUM(Q113:AA113)</f>
        <v>841995.11</v>
      </c>
      <c r="AC113" s="419"/>
      <c r="AD113" s="420"/>
      <c r="AE113" s="15" t="n">
        <f aca="false">IF($P113=0,"",S113*AE$159/$BP113/1000)</f>
        <v>665230.130755505</v>
      </c>
      <c r="AF113" s="15" t="n">
        <f aca="false">IF($P113=0,"",T113*AF$159/$BP113/1000)</f>
        <v>169151.109434737</v>
      </c>
      <c r="AG113" s="15" t="n">
        <f aca="false">IF($P113=0,"",U113*AG$159/$BP113/1000)</f>
        <v>107523.21051147</v>
      </c>
      <c r="AH113" s="15" t="n">
        <f aca="false">IF($P113=0,"",V113*AH$159/$BP113/1000)</f>
        <v>21124.5766455498</v>
      </c>
      <c r="AI113" s="15" t="n">
        <f aca="false">IF($P113=0,"",W113*AI$159/$BP113/1000)</f>
        <v>48569.2342006224</v>
      </c>
      <c r="AJ113" s="15" t="n">
        <f aca="false">IF($P113=0,"",X113*AJ$159/$BP113/1000)</f>
        <v>17057.2902456282</v>
      </c>
      <c r="AK113" s="15" t="n">
        <f aca="false">IF($P113=0,"",Y113*AK$159/$BP113/1000)</f>
        <v>18103.9282683887</v>
      </c>
      <c r="AL113" s="15" t="n">
        <f aca="false">IF($P113=0,"",Z113*AL$159/$BP113/1000)</f>
        <v>35783.5918871781</v>
      </c>
      <c r="AM113" s="15" t="n">
        <f aca="false">IF($P113=0,"",AA113*AM$159/$BP113/1000)</f>
        <v>0</v>
      </c>
      <c r="AN113" s="15" t="n">
        <f aca="false">SUM(AC113:AM113)</f>
        <v>1082543.07194908</v>
      </c>
      <c r="AO113" s="15" t="n">
        <f aca="false">D113-AN113</f>
        <v>262.638050920796</v>
      </c>
      <c r="AP113" s="421" t="n">
        <f aca="false">IF(D113=0,0,AO113/D113)</f>
        <v>0.000242553256318528</v>
      </c>
      <c r="AQ113" s="75" t="n">
        <f aca="false">IF(AB113=0,0,AN113/AB113)*1000</f>
        <v>1285.68807477882</v>
      </c>
      <c r="AR113" s="340" t="n">
        <f aca="false">IF(C113=0,0,D113/C113)*1000</f>
        <v>1285.99999826602</v>
      </c>
      <c r="AS113" s="422" t="n">
        <f aca="false">IF($P113=0,"",Q113*1000/AS$159*$AD$159/14.696/$BP113/42)</f>
        <v>461.00482786844</v>
      </c>
      <c r="AT113" s="15" t="n">
        <f aca="false">IF($P113=0,"",R113*1000/AT$159*$AD$159/14.696/$BP113/42)</f>
        <v>1906.40891031197</v>
      </c>
      <c r="AU113" s="15" t="n">
        <f aca="false">IF($P113=0,"",S113*1000/AU$159*$AD$159/14.696/$BP113/42)</f>
        <v>265186.409363156</v>
      </c>
      <c r="AV113" s="15" t="n">
        <f aca="false">IF($P113=0,"",T113*1000/AV$159*$AD$159/14.696/$BP113/42)</f>
        <v>60704.9285946576</v>
      </c>
      <c r="AW113" s="15" t="n">
        <f aca="false">IF($P113=0,"",U113*1000/AW$159*$AD$159/14.696/$BP113/42)</f>
        <v>27959.8772879924</v>
      </c>
      <c r="AX113" s="15" t="n">
        <f aca="false">IF($P113=0,"",V113*1000/AX$159*$AD$159/14.696/$BP113/42)</f>
        <v>5048.45102458941</v>
      </c>
      <c r="AY113" s="15" t="n">
        <f aca="false">IF($P113=0,"",W113*1000/AY$159*$AD$159/14.696/$BP113/42)</f>
        <v>11146.6862921697</v>
      </c>
      <c r="AZ113" s="15" t="n">
        <f aca="false">IF($P113=0,"",X113*1000/AZ$159*$AD$159/14.696/$BP113/42)</f>
        <v>3702.78174890025</v>
      </c>
      <c r="BA113" s="15" t="n">
        <f aca="false">IF($P113=0,"",Y113*1000/BA$159*$AD$159/14.696/$BP113/42)</f>
        <v>3887.71144782334</v>
      </c>
      <c r="BB113" s="15" t="n">
        <f aca="false">IF($P113=0,"",Z113*1000/BB$159*$AD$159/14.696/$BP113/42)</f>
        <v>7189.40860125883</v>
      </c>
      <c r="BC113" s="15" t="n">
        <f aca="false">IF($P113=0,"",AA113*1000/BC$159*$AD$159/14.696/$BP113/42)</f>
        <v>0</v>
      </c>
      <c r="BD113" s="55" t="n">
        <f aca="false">SUM(AS113:BC113)</f>
        <v>387193.668098728</v>
      </c>
      <c r="BE113" s="419" t="n">
        <f aca="false">IF($P113=0,"",E113/$P113*BE$159)</f>
        <v>2.6325E-005</v>
      </c>
      <c r="BF113" s="420" t="n">
        <f aca="false">IF($P113=0,"",F113/$P113*BF$159)</f>
        <v>3.82772E-005</v>
      </c>
      <c r="BG113" s="420" t="n">
        <f aca="false">IF($P113=0,"",G113/$P113*BG$159)</f>
        <v>0.0090683</v>
      </c>
      <c r="BH113" s="420" t="n">
        <f aca="false">IF($P113=0,"",H113/$P113*BH$159)</f>
        <v>0.002699872</v>
      </c>
      <c r="BI113" s="420" t="n">
        <f aca="false">IF($P113=0,"",I113/$P113*BI$159)</f>
        <v>0.001759984</v>
      </c>
      <c r="BJ113" s="420" t="n">
        <f aca="false">IF($P113=0,"",J113/$P113*BJ$159)</f>
        <v>0.000340011</v>
      </c>
      <c r="BK113" s="420" t="n">
        <f aca="false">IF($P113=0,"",K113/$P113*BK$159)</f>
        <v>0.00083049</v>
      </c>
      <c r="BL113" s="420" t="n">
        <f aca="false">IF($P113=0,"",L113/$P113*BL$159)</f>
        <v>0.000291456</v>
      </c>
      <c r="BM113" s="420" t="n">
        <f aca="false">IF($P113=0,"",M113/$P113*BM$159)</f>
        <v>0.000324816</v>
      </c>
      <c r="BN113" s="420" t="n">
        <f aca="false">IF($P113=0,"",N113/$P113*BN$159)</f>
        <v>0.0007151436</v>
      </c>
      <c r="BO113" s="420" t="n">
        <f aca="false">IF($P113=0,"",O113/$P113*BO$159)</f>
        <v>0</v>
      </c>
      <c r="BP113" s="418" t="n">
        <f aca="false">1-AD$159*(SUM(BE113:BO113))^2</f>
        <v>0.996205085141155</v>
      </c>
    </row>
    <row r="114" customFormat="false" ht="15" hidden="false" customHeight="false" outlineLevel="0" collapsed="false">
      <c r="A114" s="413" t="s">
        <v>336</v>
      </c>
      <c r="B114" s="414" t="s">
        <v>337</v>
      </c>
      <c r="C114" s="415" t="n">
        <v>59928.46</v>
      </c>
      <c r="D114" s="416" t="n">
        <v>71374.8</v>
      </c>
      <c r="E114" s="417" t="n">
        <v>0.201</v>
      </c>
      <c r="F114" s="417" t="n">
        <v>0.621</v>
      </c>
      <c r="G114" s="417" t="n">
        <v>85.197</v>
      </c>
      <c r="H114" s="417" t="n">
        <v>7.579</v>
      </c>
      <c r="I114" s="417" t="n">
        <v>3.581</v>
      </c>
      <c r="J114" s="417" t="n">
        <v>0.474</v>
      </c>
      <c r="K114" s="417" t="n">
        <v>1.188</v>
      </c>
      <c r="L114" s="417" t="n">
        <v>0.297</v>
      </c>
      <c r="M114" s="417" t="n">
        <v>0.35</v>
      </c>
      <c r="N114" s="417" t="n">
        <v>0.512</v>
      </c>
      <c r="O114" s="76"/>
      <c r="P114" s="423" t="n">
        <f aca="false">SUM(E114:O114)</f>
        <v>100</v>
      </c>
      <c r="Q114" s="99" t="n">
        <f aca="false">IF($P114=0,"",$C114*E114/$P114)</f>
        <v>120.4562046</v>
      </c>
      <c r="R114" s="100" t="n">
        <f aca="false">IF($P114=0,"",$C114*F114/$P114)</f>
        <v>372.1557366</v>
      </c>
      <c r="S114" s="100" t="n">
        <f aca="false">IF($P114=0,"",$C114*G114/$P114)</f>
        <v>51057.2500662</v>
      </c>
      <c r="T114" s="100" t="n">
        <f aca="false">IF($P114=0,"",$C114*H114/$P114)</f>
        <v>4541.9779834</v>
      </c>
      <c r="U114" s="100" t="n">
        <f aca="false">IF($P114=0,"",$C114*I114/$P114)</f>
        <v>2146.0381526</v>
      </c>
      <c r="V114" s="100" t="n">
        <f aca="false">IF($P114=0,"",$C114*J114/$P114)</f>
        <v>284.0609004</v>
      </c>
      <c r="W114" s="100" t="n">
        <f aca="false">IF($P114=0,"",$C114*K114/$P114)</f>
        <v>711.9501048</v>
      </c>
      <c r="X114" s="100" t="n">
        <f aca="false">IF($P114=0,"",$C114*L114/$P114)</f>
        <v>177.9875262</v>
      </c>
      <c r="Y114" s="100" t="n">
        <f aca="false">IF($P114=0,"",$C114*M114/$P114)</f>
        <v>209.74961</v>
      </c>
      <c r="Z114" s="100" t="n">
        <f aca="false">IF($P114=0,"",$C114*N114/$P114)</f>
        <v>306.8337152</v>
      </c>
      <c r="AA114" s="100" t="n">
        <f aca="false">IF($P114=0,"",$C114*O114/$P114)</f>
        <v>0</v>
      </c>
      <c r="AB114" s="101" t="n">
        <f aca="false">SUM(Q114:AA114)</f>
        <v>59928.46</v>
      </c>
      <c r="AC114" s="424"/>
      <c r="AD114" s="425"/>
      <c r="AE114" s="100" t="n">
        <f aca="false">IF($P114=0,"",S114*AE$159/$BP114/1000)</f>
        <v>51565.2174133931</v>
      </c>
      <c r="AF114" s="100" t="n">
        <f aca="false">IF($P114=0,"",T114*AF$159/$BP114/1000)</f>
        <v>8038.01974517465</v>
      </c>
      <c r="AG114" s="100" t="n">
        <f aca="false">IF($P114=0,"",U114*AG$159/$BP114/1000)</f>
        <v>5399.52838288954</v>
      </c>
      <c r="AH114" s="100" t="n">
        <f aca="false">IF($P114=0,"",V114*AH$159/$BP114/1000)</f>
        <v>923.720339623636</v>
      </c>
      <c r="AI114" s="100" t="n">
        <f aca="false">IF($P114=0,"",W114*AI$159/$BP114/1000)</f>
        <v>2322.5746198374</v>
      </c>
      <c r="AJ114" s="100" t="n">
        <f aca="false">IF($P114=0,"",X114*AJ$159/$BP114/1000)</f>
        <v>712.105763488168</v>
      </c>
      <c r="AK114" s="100" t="n">
        <f aca="false">IF($P114=0,"",Y114*AK$159/$BP114/1000)</f>
        <v>840.823040198728</v>
      </c>
      <c r="AL114" s="100" t="n">
        <f aca="false">IF($P114=0,"",Z114*AL$159/$BP114/1000)</f>
        <v>1573.80921947407</v>
      </c>
      <c r="AM114" s="100" t="n">
        <f aca="false">IF($P114=0,"",AA114*AM$159/$BP114/1000)</f>
        <v>0</v>
      </c>
      <c r="AN114" s="100" t="n">
        <f aca="false">SUM(AC114:AM114)</f>
        <v>71375.7985240793</v>
      </c>
      <c r="AO114" s="100" t="n">
        <f aca="false">D114-AN114</f>
        <v>-0.998524079288472</v>
      </c>
      <c r="AP114" s="426" t="n">
        <f aca="false">IF(D114=0,0,AO114/D114)</f>
        <v>-1.39898686831833E-005</v>
      </c>
      <c r="AQ114" s="427" t="n">
        <f aca="false">IF(AB114=0,0,AN114/AB114)*1000</f>
        <v>1191.01673101694</v>
      </c>
      <c r="AR114" s="428" t="n">
        <f aca="false">IF(C114=0,0,D114/C114)*1000</f>
        <v>1191.00006908237</v>
      </c>
      <c r="AS114" s="429" t="n">
        <f aca="false">IF($P114=0,"",Q114*1000/AS$159*$AD$159/14.696/$BP114/42)</f>
        <v>48.8198332103394</v>
      </c>
      <c r="AT114" s="100" t="n">
        <f aca="false">IF($P114=0,"",R114*1000/AT$159*$AD$159/14.696/$BP114/42)</f>
        <v>97.2340322694111</v>
      </c>
      <c r="AU114" s="100" t="n">
        <f aca="false">IF($P114=0,"",S114*1000/AU$159*$AD$159/14.696/$BP114/42)</f>
        <v>20555.8861838656</v>
      </c>
      <c r="AV114" s="100" t="n">
        <f aca="false">IF($P114=0,"",T114*1000/AV$159*$AD$159/14.696/$BP114/42)</f>
        <v>2884.68350165647</v>
      </c>
      <c r="AW114" s="100" t="n">
        <f aca="false">IF($P114=0,"",U114*1000/AW$159*$AD$159/14.696/$BP114/42)</f>
        <v>1404.07034239848</v>
      </c>
      <c r="AX114" s="100" t="n">
        <f aca="false">IF($P114=0,"",V114*1000/AX$159*$AD$159/14.696/$BP114/42)</f>
        <v>220.755046278735</v>
      </c>
      <c r="AY114" s="100" t="n">
        <f aca="false">IF($P114=0,"",W114*1000/AY$159*$AD$159/14.696/$BP114/42)</f>
        <v>533.033124849045</v>
      </c>
      <c r="AZ114" s="100" t="n">
        <f aca="false">IF($P114=0,"",X114*1000/AZ$159*$AD$159/14.696/$BP114/42)</f>
        <v>154.58330053371</v>
      </c>
      <c r="BA114" s="100" t="n">
        <f aca="false">IF($P114=0,"",Y114*1000/BA$159*$AD$159/14.696/$BP114/42)</f>
        <v>180.561771484811</v>
      </c>
      <c r="BB114" s="100" t="n">
        <f aca="false">IF($P114=0,"",Z114*1000/BB$159*$AD$159/14.696/$BP114/42)</f>
        <v>316.199602736963</v>
      </c>
      <c r="BC114" s="100" t="n">
        <f aca="false">IF($P114=0,"",AA114*1000/BC$159*$AD$159/14.696/$BP114/42)</f>
        <v>0</v>
      </c>
      <c r="BD114" s="430" t="n">
        <f aca="false">SUM(AS114:BC114)</f>
        <v>26395.8267392836</v>
      </c>
      <c r="BE114" s="424" t="n">
        <f aca="false">IF($P114=0,"",E114/$P114*BE$159)</f>
        <v>3.9195E-005</v>
      </c>
      <c r="BF114" s="425" t="n">
        <f aca="false">IF($P114=0,"",F114/$P114*BF$159)</f>
        <v>2.74482E-005</v>
      </c>
      <c r="BG114" s="425" t="n">
        <f aca="false">IF($P114=0,"",G114/$P114*BG$159)</f>
        <v>0.009882852</v>
      </c>
      <c r="BH114" s="425" t="n">
        <f aca="false">IF($P114=0,"",H114/$P114*BH$159)</f>
        <v>0.001803802</v>
      </c>
      <c r="BI114" s="425" t="n">
        <f aca="false">IF($P114=0,"",I114/$P114*BI$159)</f>
        <v>0.001242607</v>
      </c>
      <c r="BJ114" s="425" t="n">
        <f aca="false">IF($P114=0,"",J114/$P114*BJ$159)</f>
        <v>0.000209034</v>
      </c>
      <c r="BK114" s="425" t="n">
        <f aca="false">IF($P114=0,"",K114/$P114*BK$159)</f>
        <v>0.00055836</v>
      </c>
      <c r="BL114" s="425" t="n">
        <f aca="false">IF($P114=0,"",L114/$P114*BL$159)</f>
        <v>0.000171072</v>
      </c>
      <c r="BM114" s="425" t="n">
        <f aca="false">IF($P114=0,"",M114/$P114*BM$159)</f>
        <v>0.0002121</v>
      </c>
      <c r="BN114" s="425" t="n">
        <f aca="false">IF($P114=0,"",N114/$P114*BN$159)</f>
        <v>0.0004422144</v>
      </c>
      <c r="BO114" s="425" t="n">
        <f aca="false">IF($P114=0,"",O114/$P114*BO$159)</f>
        <v>0</v>
      </c>
      <c r="BP114" s="423" t="n">
        <f aca="false">1-AD$159*(SUM(BE114:BO114))^2</f>
        <v>0.996882044626051</v>
      </c>
    </row>
    <row r="115" customFormat="false" ht="15" hidden="false" customHeight="false" outlineLevel="0" collapsed="false">
      <c r="A115" s="413" t="s">
        <v>338</v>
      </c>
      <c r="B115" s="414" t="s">
        <v>339</v>
      </c>
      <c r="C115" s="415" t="n">
        <v>513413.14</v>
      </c>
      <c r="D115" s="416" t="n">
        <v>677191.93</v>
      </c>
      <c r="E115" s="417" t="n">
        <v>0.431</v>
      </c>
      <c r="F115" s="417" t="n">
        <v>1.382</v>
      </c>
      <c r="G115" s="417" t="n">
        <v>73.796</v>
      </c>
      <c r="H115" s="417" t="n">
        <v>11.963</v>
      </c>
      <c r="I115" s="417" t="n">
        <v>7.671</v>
      </c>
      <c r="J115" s="417" t="n">
        <v>0.864</v>
      </c>
      <c r="K115" s="417" t="n">
        <v>2.603</v>
      </c>
      <c r="L115" s="417" t="n">
        <v>0.483</v>
      </c>
      <c r="M115" s="417" t="n">
        <v>0.509</v>
      </c>
      <c r="N115" s="417" t="n">
        <v>0.298</v>
      </c>
      <c r="O115" s="76"/>
      <c r="P115" s="418" t="n">
        <f aca="false">SUM(E115:O115)</f>
        <v>100</v>
      </c>
      <c r="Q115" s="14" t="n">
        <f aca="false">IF($P115=0,"",$C115*E115/$P115)</f>
        <v>2212.8106334</v>
      </c>
      <c r="R115" s="15" t="n">
        <f aca="false">IF($P115=0,"",$C115*F115/$P115)</f>
        <v>7095.3695948</v>
      </c>
      <c r="S115" s="15" t="n">
        <f aca="false">IF($P115=0,"",$C115*G115/$P115)</f>
        <v>378878.3607944</v>
      </c>
      <c r="T115" s="15" t="n">
        <f aca="false">IF($P115=0,"",$C115*H115/$P115)</f>
        <v>61419.6139382</v>
      </c>
      <c r="U115" s="15" t="n">
        <f aca="false">IF($P115=0,"",$C115*I115/$P115)</f>
        <v>39383.9219694</v>
      </c>
      <c r="V115" s="15" t="n">
        <f aca="false">IF($P115=0,"",$C115*J115/$P115)</f>
        <v>4435.8895296</v>
      </c>
      <c r="W115" s="15" t="n">
        <f aca="false">IF($P115=0,"",$C115*K115/$P115)</f>
        <v>13364.1440342</v>
      </c>
      <c r="X115" s="15" t="n">
        <f aca="false">IF($P115=0,"",$C115*L115/$P115)</f>
        <v>2479.7854662</v>
      </c>
      <c r="Y115" s="15" t="n">
        <f aca="false">IF($P115=0,"",$C115*M115/$P115)</f>
        <v>2613.2728826</v>
      </c>
      <c r="Z115" s="15" t="n">
        <f aca="false">IF($P115=0,"",$C115*N115/$P115)</f>
        <v>1529.9711572</v>
      </c>
      <c r="AA115" s="15" t="n">
        <f aca="false">IF($P115=0,"",$C115*O115/$P115)</f>
        <v>0</v>
      </c>
      <c r="AB115" s="16" t="n">
        <f aca="false">SUM(Q115:AA115)</f>
        <v>513413.14</v>
      </c>
      <c r="AC115" s="419"/>
      <c r="AD115" s="420"/>
      <c r="AE115" s="15" t="n">
        <f aca="false">IF($P115=0,"",S115*AE$159/$BP115/1000)</f>
        <v>383012.692114901</v>
      </c>
      <c r="AF115" s="15" t="n">
        <f aca="false">IF($P115=0,"",T115*AF$159/$BP115/1000)</f>
        <v>108799.038435038</v>
      </c>
      <c r="AG115" s="15" t="n">
        <f aca="false">IF($P115=0,"",U115*AG$159/$BP115/1000)</f>
        <v>99186.2070533988</v>
      </c>
      <c r="AH115" s="15" t="n">
        <f aca="false">IF($P115=0,"",V115*AH$159/$BP115/1000)</f>
        <v>14438.5539548608</v>
      </c>
      <c r="AI115" s="15" t="n">
        <f aca="false">IF($P115=0,"",W115*AI$159/$BP115/1000)</f>
        <v>43639.0408036068</v>
      </c>
      <c r="AJ115" s="15" t="n">
        <f aca="false">IF($P115=0,"",X115*AJ$159/$BP115/1000)</f>
        <v>9930.77117412274</v>
      </c>
      <c r="AK115" s="15" t="n">
        <f aca="false">IF($P115=0,"",Y115*AK$159/$BP115/1000)</f>
        <v>10485.8136281079</v>
      </c>
      <c r="AL115" s="15" t="n">
        <f aca="false">IF($P115=0,"",Z115*AL$159/$BP115/1000)</f>
        <v>7854.99984734315</v>
      </c>
      <c r="AM115" s="15" t="n">
        <f aca="false">IF($P115=0,"",AA115*AM$159/$BP115/1000)</f>
        <v>0</v>
      </c>
      <c r="AN115" s="15" t="n">
        <f aca="false">SUM(AC115:AM115)</f>
        <v>677347.117011379</v>
      </c>
      <c r="AO115" s="15" t="n">
        <f aca="false">D115-AN115</f>
        <v>-155.187011378817</v>
      </c>
      <c r="AP115" s="421" t="n">
        <f aca="false">IF(D115=0,0,AO115/D115)</f>
        <v>-0.000229162523213791</v>
      </c>
      <c r="AQ115" s="75" t="n">
        <f aca="false">IF(AB115=0,0,AN115/AB115)*1000</f>
        <v>1319.30226213411</v>
      </c>
      <c r="AR115" s="340" t="n">
        <f aca="false">IF(C115=0,0,D115/C115)*1000</f>
        <v>1318.99999676674</v>
      </c>
      <c r="AS115" s="422" t="n">
        <f aca="false">IF($P115=0,"",Q115*1000/AS$159*$AD$159/14.696/$BP115/42)</f>
        <v>897.687745965485</v>
      </c>
      <c r="AT115" s="15" t="n">
        <f aca="false">IF($P115=0,"",R115*1000/AT$159*$AD$159/14.696/$BP115/42)</f>
        <v>1855.59217224152</v>
      </c>
      <c r="AU115" s="15" t="n">
        <f aca="false">IF($P115=0,"",S115*1000/AU$159*$AD$159/14.696/$BP115/42)</f>
        <v>152683.644150504</v>
      </c>
      <c r="AV115" s="15" t="n">
        <f aca="false">IF($P115=0,"",T115*1000/AV$159*$AD$159/14.696/$BP115/42)</f>
        <v>39045.7850465036</v>
      </c>
      <c r="AW115" s="15" t="n">
        <f aca="false">IF($P115=0,"",U115*1000/AW$159*$AD$159/14.696/$BP115/42)</f>
        <v>25791.9584495536</v>
      </c>
      <c r="AX115" s="15" t="n">
        <f aca="false">IF($P115=0,"",V115*1000/AX$159*$AD$159/14.696/$BP115/42)</f>
        <v>3450.59376715899</v>
      </c>
      <c r="AY115" s="15" t="n">
        <f aca="false">IF($P115=0,"",W115*1000/AY$159*$AD$159/14.696/$BP115/42)</f>
        <v>10015.2021322742</v>
      </c>
      <c r="AZ115" s="15" t="n">
        <f aca="false">IF($P115=0,"",X115*1000/AZ$159*$AD$159/14.696/$BP115/42)</f>
        <v>2155.76317964519</v>
      </c>
      <c r="BA115" s="15" t="n">
        <f aca="false">IF($P115=0,"",Y115*1000/BA$159*$AD$159/14.696/$BP115/42)</f>
        <v>2251.76641651405</v>
      </c>
      <c r="BB115" s="15" t="n">
        <f aca="false">IF($P115=0,"",Z115*1000/BB$159*$AD$159/14.696/$BP115/42)</f>
        <v>1578.1759316792</v>
      </c>
      <c r="BC115" s="15" t="n">
        <f aca="false">IF($P115=0,"",AA115*1000/BC$159*$AD$159/14.696/$BP115/42)</f>
        <v>0</v>
      </c>
      <c r="BD115" s="55" t="n">
        <f aca="false">SUM(AS115:BC115)</f>
        <v>239726.16899204</v>
      </c>
      <c r="BE115" s="419" t="n">
        <f aca="false">IF($P115=0,"",E115/$P115*BE$159)</f>
        <v>8.4045E-005</v>
      </c>
      <c r="BF115" s="420" t="n">
        <f aca="false">IF($P115=0,"",F115/$P115*BF$159)</f>
        <v>6.10844E-005</v>
      </c>
      <c r="BG115" s="420" t="n">
        <f aca="false">IF($P115=0,"",G115/$P115*BG$159)</f>
        <v>0.008560336</v>
      </c>
      <c r="BH115" s="420" t="n">
        <f aca="false">IF($P115=0,"",H115/$P115*BH$159)</f>
        <v>0.002847194</v>
      </c>
      <c r="BI115" s="420" t="n">
        <f aca="false">IF($P115=0,"",I115/$P115*BI$159)</f>
        <v>0.002661837</v>
      </c>
      <c r="BJ115" s="420" t="n">
        <f aca="false">IF($P115=0,"",J115/$P115*BJ$159)</f>
        <v>0.000381024</v>
      </c>
      <c r="BK115" s="420" t="n">
        <f aca="false">IF($P115=0,"",K115/$P115*BK$159)</f>
        <v>0.00122341</v>
      </c>
      <c r="BL115" s="420" t="n">
        <f aca="false">IF($P115=0,"",L115/$P115*BL$159)</f>
        <v>0.000278208</v>
      </c>
      <c r="BM115" s="420" t="n">
        <f aca="false">IF($P115=0,"",M115/$P115*BM$159)</f>
        <v>0.000308454</v>
      </c>
      <c r="BN115" s="420" t="n">
        <f aca="false">IF($P115=0,"",N115/$P115*BN$159)</f>
        <v>0.0002573826</v>
      </c>
      <c r="BO115" s="420" t="n">
        <f aca="false">IF($P115=0,"",O115/$P115*BO$159)</f>
        <v>0</v>
      </c>
      <c r="BP115" s="418" t="n">
        <f aca="false">1-AD$159*(SUM(BE115:BO115))^2</f>
        <v>0.995932358119788</v>
      </c>
    </row>
    <row r="116" customFormat="false" ht="15" hidden="false" customHeight="false" outlineLevel="0" collapsed="false">
      <c r="A116" s="413" t="s">
        <v>180</v>
      </c>
      <c r="B116" s="414" t="s">
        <v>340</v>
      </c>
      <c r="C116" s="415" t="n">
        <v>3465332.31</v>
      </c>
      <c r="D116" s="416" t="n">
        <v>3565243.69</v>
      </c>
      <c r="E116" s="417" t="n">
        <v>0.0272778527518202</v>
      </c>
      <c r="F116" s="417" t="n">
        <v>1.02086752714395</v>
      </c>
      <c r="G116" s="417" t="n">
        <v>95.7473787792474</v>
      </c>
      <c r="H116" s="417" t="n">
        <v>3.1264529322299</v>
      </c>
      <c r="I116" s="417" t="n">
        <v>0.0772557662189315</v>
      </c>
      <c r="J116" s="417" t="n">
        <v>0.000436208878247077</v>
      </c>
      <c r="K116" s="417" t="n">
        <v>0.000429226524226098</v>
      </c>
      <c r="L116" s="417" t="n">
        <v>0</v>
      </c>
      <c r="M116" s="417" t="n">
        <v>0</v>
      </c>
      <c r="N116" s="417" t="n">
        <v>6.39666306380367E-007</v>
      </c>
      <c r="O116" s="76"/>
      <c r="P116" s="423" t="n">
        <f aca="false">SUM(E116:O116)</f>
        <v>100.000098932661</v>
      </c>
      <c r="Q116" s="99" t="n">
        <f aca="false">IF($P116=0,"",$C116*E116/$P116)</f>
        <v>945.267309704949</v>
      </c>
      <c r="R116" s="100" t="n">
        <f aca="false">IF($P116=0,"",$C116*F116/$P116)</f>
        <v>35376.4172615864</v>
      </c>
      <c r="S116" s="100" t="n">
        <f aca="false">IF($P116=0,"",$C116*G116/$P116)</f>
        <v>3317961.57026768</v>
      </c>
      <c r="T116" s="100" t="n">
        <f aca="false">IF($P116=0,"",$C116*H116/$P116)</f>
        <v>108341.876432004</v>
      </c>
      <c r="U116" s="100" t="n">
        <f aca="false">IF($P116=0,"",$C116*I116/$P116)</f>
        <v>2677.16637953077</v>
      </c>
      <c r="V116" s="100" t="n">
        <f aca="false">IF($P116=0,"",$C116*J116/$P116)</f>
        <v>15.116072242252</v>
      </c>
      <c r="W116" s="100" t="n">
        <f aca="false">IF($P116=0,"",$C116*K116/$P116)</f>
        <v>14.8741107117435</v>
      </c>
      <c r="X116" s="100" t="n">
        <f aca="false">IF($P116=0,"",$C116*L116/$P116)</f>
        <v>0</v>
      </c>
      <c r="Y116" s="100" t="n">
        <f aca="false">IF($P116=0,"",$C116*M116/$P116)</f>
        <v>0</v>
      </c>
      <c r="Z116" s="100" t="n">
        <f aca="false">IF($P116=0,"",$C116*N116/$P116)</f>
        <v>0.0221665412612334</v>
      </c>
      <c r="AA116" s="100" t="n">
        <f aca="false">IF($P116=0,"",$C116*O116/$P116)</f>
        <v>0</v>
      </c>
      <c r="AB116" s="101" t="n">
        <f aca="false">SUM(Q116:AA116)</f>
        <v>3465332.31</v>
      </c>
      <c r="AC116" s="424"/>
      <c r="AD116" s="425"/>
      <c r="AE116" s="100" t="n">
        <f aca="false">IF($P116=0,"",S116*AE$159/$BP116/1000)</f>
        <v>3347501.60579003</v>
      </c>
      <c r="AF116" s="100" t="n">
        <f aca="false">IF($P116=0,"",T116*AF$159/$BP116/1000)</f>
        <v>191535.996888923</v>
      </c>
      <c r="AG116" s="100" t="n">
        <f aca="false">IF($P116=0,"",U116*AG$159/$BP116/1000)</f>
        <v>6728.89515488513</v>
      </c>
      <c r="AH116" s="100" t="n">
        <f aca="false">IF($P116=0,"",V116*AH$159/$BP116/1000)</f>
        <v>49.104129381764</v>
      </c>
      <c r="AI116" s="100" t="n">
        <f aca="false">IF($P116=0,"",W116*AI$159/$BP116/1000)</f>
        <v>48.4731381328509</v>
      </c>
      <c r="AJ116" s="100" t="n">
        <f aca="false">IF($P116=0,"",X116*AJ$159/$BP116/1000)</f>
        <v>0</v>
      </c>
      <c r="AK116" s="100" t="n">
        <f aca="false">IF($P116=0,"",Y116*AK$159/$BP116/1000)</f>
        <v>0</v>
      </c>
      <c r="AL116" s="100" t="n">
        <f aca="false">IF($P116=0,"",Z116*AL$159/$BP116/1000)</f>
        <v>0.113578714616864</v>
      </c>
      <c r="AM116" s="100" t="n">
        <f aca="false">IF($P116=0,"",AA116*AM$159/$BP116/1000)</f>
        <v>0</v>
      </c>
      <c r="AN116" s="100" t="n">
        <f aca="false">SUM(AC116:AM116)</f>
        <v>3545864.18868007</v>
      </c>
      <c r="AO116" s="100" t="n">
        <f aca="false">D116-AN116</f>
        <v>19379.5013199314</v>
      </c>
      <c r="AP116" s="426" t="n">
        <f aca="false">IF(D116=0,0,AO116/D116)</f>
        <v>0.0054356736888107</v>
      </c>
      <c r="AQ116" s="427" t="n">
        <f aca="false">IF(AB116=0,0,AN116/AB116)*1000</f>
        <v>1023.23929466957</v>
      </c>
      <c r="AR116" s="428" t="n">
        <f aca="false">IF(C116=0,0,D116/C116)*1000</f>
        <v>1028.83168800628</v>
      </c>
      <c r="AS116" s="429" t="n">
        <f aca="false">IF($P116=0,"",Q116*1000/AS$159*$AD$159/14.696/$BP116/42)</f>
        <v>382.711722136354</v>
      </c>
      <c r="AT116" s="100" t="n">
        <f aca="false">IF($P116=0,"",R116*1000/AT$159*$AD$159/14.696/$BP116/42)</f>
        <v>9233.31039515649</v>
      </c>
      <c r="AU116" s="100" t="n">
        <f aca="false">IF($P116=0,"",S116*1000/AU$159*$AD$159/14.696/$BP116/42)</f>
        <v>1334443.36047839</v>
      </c>
      <c r="AV116" s="100" t="n">
        <f aca="false">IF($P116=0,"",T116*1000/AV$159*$AD$159/14.696/$BP116/42)</f>
        <v>68738.4141511334</v>
      </c>
      <c r="AW116" s="100" t="n">
        <f aca="false">IF($P116=0,"",U116*1000/AW$159*$AD$159/14.696/$BP116/42)</f>
        <v>1749.75321067338</v>
      </c>
      <c r="AX116" s="100" t="n">
        <f aca="false">IF($P116=0,"",V116*1000/AX$159*$AD$159/14.696/$BP116/42)</f>
        <v>11.7351365875141</v>
      </c>
      <c r="AY116" s="100" t="n">
        <f aca="false">IF($P116=0,"",W116*1000/AY$159*$AD$159/14.696/$BP116/42)</f>
        <v>11.1246321515396</v>
      </c>
      <c r="AZ116" s="100" t="n">
        <f aca="false">IF($P116=0,"",X116*1000/AZ$159*$AD$159/14.696/$BP116/42)</f>
        <v>0</v>
      </c>
      <c r="BA116" s="100" t="n">
        <f aca="false">IF($P116=0,"",Y116*1000/BA$159*$AD$159/14.696/$BP116/42)</f>
        <v>0</v>
      </c>
      <c r="BB116" s="100" t="n">
        <f aca="false">IF($P116=0,"",Z116*1000/BB$159*$AD$159/14.696/$BP116/42)</f>
        <v>0.0228195031499617</v>
      </c>
      <c r="BC116" s="100" t="n">
        <f aca="false">IF($P116=0,"",AA116*1000/BC$159*$AD$159/14.696/$BP116/42)</f>
        <v>0</v>
      </c>
      <c r="BD116" s="430" t="n">
        <f aca="false">SUM(AS116:BC116)</f>
        <v>1414570.43254574</v>
      </c>
      <c r="BE116" s="424" t="n">
        <f aca="false">IF($P116=0,"",E116/$P116*BE$159)</f>
        <v>5.31917602420257E-006</v>
      </c>
      <c r="BF116" s="425" t="n">
        <f aca="false">IF($P116=0,"",F116/$P116*BF$159)</f>
        <v>4.51223000590705E-005</v>
      </c>
      <c r="BG116" s="425" t="n">
        <f aca="false">IF($P116=0,"",G116/$P116*BG$159)</f>
        <v>0.0111066849502538</v>
      </c>
      <c r="BH116" s="425" t="n">
        <f aca="false">IF($P116=0,"",H116/$P116*BH$159)</f>
        <v>0.000744095061717673</v>
      </c>
      <c r="BI116" s="425" t="n">
        <f aca="false">IF($P116=0,"",I116/$P116*BI$159)</f>
        <v>2.68077243563742E-005</v>
      </c>
      <c r="BJ116" s="425" t="n">
        <f aca="false">IF($P116=0,"",J116/$P116*BJ$159)</f>
        <v>1.92367924992254E-007</v>
      </c>
      <c r="BK116" s="425" t="n">
        <f aca="false">IF($P116=0,"",K116/$P116*BK$159)</f>
        <v>2.0173626680321E-007</v>
      </c>
      <c r="BL116" s="425" t="n">
        <f aca="false">IF($P116=0,"",L116/$P116*BL$159)</f>
        <v>0</v>
      </c>
      <c r="BM116" s="425" t="n">
        <f aca="false">IF($P116=0,"",M116/$P116*BM$159)</f>
        <v>0</v>
      </c>
      <c r="BN116" s="425" t="n">
        <f aca="false">IF($P116=0,"",N116/$P116*BN$159)</f>
        <v>5.52479242238308E-010</v>
      </c>
      <c r="BO116" s="425" t="n">
        <f aca="false">IF($P116=0,"",O116/$P116*BO$159)</f>
        <v>0</v>
      </c>
      <c r="BP116" s="423" t="n">
        <f aca="false">1-AD$159*(SUM(BE116:BO116))^2</f>
        <v>0.997915491113593</v>
      </c>
    </row>
    <row r="117" customFormat="false" ht="15" hidden="false" customHeight="false" outlineLevel="0" collapsed="false">
      <c r="A117" s="413" t="s">
        <v>341</v>
      </c>
      <c r="B117" s="414" t="s">
        <v>342</v>
      </c>
      <c r="C117" s="415" t="n">
        <v>459586.51</v>
      </c>
      <c r="D117" s="416" t="n">
        <v>581836.52</v>
      </c>
      <c r="E117" s="417" t="n">
        <v>0.121</v>
      </c>
      <c r="F117" s="417" t="n">
        <v>0.839</v>
      </c>
      <c r="G117" s="417" t="n">
        <v>79.667</v>
      </c>
      <c r="H117" s="417" t="n">
        <v>10.619</v>
      </c>
      <c r="I117" s="417" t="n">
        <v>4.586</v>
      </c>
      <c r="J117" s="417" t="n">
        <v>0.744</v>
      </c>
      <c r="K117" s="417" t="n">
        <v>1.639</v>
      </c>
      <c r="L117" s="417" t="n">
        <v>0.501</v>
      </c>
      <c r="M117" s="417" t="n">
        <v>0.572</v>
      </c>
      <c r="N117" s="417" t="n">
        <v>0.712</v>
      </c>
      <c r="O117" s="76"/>
      <c r="P117" s="418" t="n">
        <f aca="false">SUM(E117:O117)</f>
        <v>100</v>
      </c>
      <c r="Q117" s="14" t="n">
        <f aca="false">IF($P117=0,"",$C117*E117/$P117)</f>
        <v>556.0996771</v>
      </c>
      <c r="R117" s="15" t="n">
        <f aca="false">IF($P117=0,"",$C117*F117/$P117)</f>
        <v>3855.9308189</v>
      </c>
      <c r="S117" s="15" t="n">
        <f aca="false">IF($P117=0,"",$C117*G117/$P117)</f>
        <v>366138.7849217</v>
      </c>
      <c r="T117" s="15" t="n">
        <f aca="false">IF($P117=0,"",$C117*H117/$P117)</f>
        <v>48803.4914969</v>
      </c>
      <c r="U117" s="15" t="n">
        <f aca="false">IF($P117=0,"",$C117*I117/$P117)</f>
        <v>21076.6373486</v>
      </c>
      <c r="V117" s="15" t="n">
        <f aca="false">IF($P117=0,"",$C117*J117/$P117)</f>
        <v>3419.3236344</v>
      </c>
      <c r="W117" s="15" t="n">
        <f aca="false">IF($P117=0,"",$C117*K117/$P117)</f>
        <v>7532.6228989</v>
      </c>
      <c r="X117" s="15" t="n">
        <f aca="false">IF($P117=0,"",$C117*L117/$P117)</f>
        <v>2302.5284151</v>
      </c>
      <c r="Y117" s="15" t="n">
        <f aca="false">IF($P117=0,"",$C117*M117/$P117)</f>
        <v>2628.8348372</v>
      </c>
      <c r="Z117" s="15" t="n">
        <f aca="false">IF($P117=0,"",$C117*N117/$P117)</f>
        <v>3272.2559512</v>
      </c>
      <c r="AA117" s="15" t="n">
        <f aca="false">IF($P117=0,"",$C117*O117/$P117)</f>
        <v>0</v>
      </c>
      <c r="AB117" s="16" t="n">
        <f aca="false">SUM(Q117:AA117)</f>
        <v>459586.51</v>
      </c>
      <c r="AC117" s="419"/>
      <c r="AD117" s="420"/>
      <c r="AE117" s="15" t="n">
        <f aca="false">IF($P117=0,"",S117*AE$159/$BP117/1000)</f>
        <v>369976.364662864</v>
      </c>
      <c r="AF117" s="15" t="n">
        <f aca="false">IF($P117=0,"",T117*AF$159/$BP117/1000)</f>
        <v>86413.9284680785</v>
      </c>
      <c r="AG117" s="15" t="n">
        <f aca="false">IF($P117=0,"",U117*AG$159/$BP117/1000)</f>
        <v>53057.7127817006</v>
      </c>
      <c r="AH117" s="15" t="n">
        <f aca="false">IF($P117=0,"",V117*AH$159/$BP117/1000)</f>
        <v>11124.9499824772</v>
      </c>
      <c r="AI117" s="15" t="n">
        <f aca="false">IF($P117=0,"",W117*AI$159/$BP117/1000)</f>
        <v>24586.4120331233</v>
      </c>
      <c r="AJ117" s="15" t="n">
        <f aca="false">IF($P117=0,"",X117*AJ$159/$BP117/1000)</f>
        <v>9216.98209818814</v>
      </c>
      <c r="AK117" s="15" t="n">
        <f aca="false">IF($P117=0,"",Y117*AK$159/$BP117/1000)</f>
        <v>10543.7610429356</v>
      </c>
      <c r="AL117" s="15" t="n">
        <f aca="false">IF($P117=0,"",Z117*AL$159/$BP117/1000)</f>
        <v>16792.876126942</v>
      </c>
      <c r="AM117" s="15" t="n">
        <f aca="false">IF($P117=0,"",AA117*AM$159/$BP117/1000)</f>
        <v>0</v>
      </c>
      <c r="AN117" s="15" t="n">
        <f aca="false">SUM(AC117:AM117)</f>
        <v>581712.98719631</v>
      </c>
      <c r="AO117" s="15" t="n">
        <f aca="false">D117-AN117</f>
        <v>123.53280369041</v>
      </c>
      <c r="AP117" s="421" t="n">
        <f aca="false">IF(D117=0,0,AO117/D117)</f>
        <v>0.000212315314429576</v>
      </c>
      <c r="AQ117" s="75" t="n">
        <f aca="false">IF(AB117=0,0,AN117/AB117)*1000</f>
        <v>1265.73120520076</v>
      </c>
      <c r="AR117" s="340" t="n">
        <f aca="false">IF(C117=0,0,D117/C117)*1000</f>
        <v>1265.99999638806</v>
      </c>
      <c r="AS117" s="422" t="n">
        <f aca="false">IF($P117=0,"",Q117*1000/AS$159*$AD$159/14.696/$BP117/42)</f>
        <v>225.501051278331</v>
      </c>
      <c r="AT117" s="15" t="n">
        <f aca="false">IF($P117=0,"",R117*1000/AT$159*$AD$159/14.696/$BP117/42)</f>
        <v>1007.97932327092</v>
      </c>
      <c r="AU117" s="15" t="n">
        <f aca="false">IF($P117=0,"",S117*1000/AU$159*$AD$159/14.696/$BP117/42)</f>
        <v>147486.860799212</v>
      </c>
      <c r="AV117" s="15" t="n">
        <f aca="false">IF($P117=0,"",T117*1000/AV$159*$AD$159/14.696/$BP117/42)</f>
        <v>31012.2196346722</v>
      </c>
      <c r="AW117" s="15" t="n">
        <f aca="false">IF($P117=0,"",U117*1000/AW$159*$AD$159/14.696/$BP117/42)</f>
        <v>13796.9014457547</v>
      </c>
      <c r="AX117" s="15" t="n">
        <f aca="false">IF($P117=0,"",V117*1000/AX$159*$AD$159/14.696/$BP117/42)</f>
        <v>2658.69305122263</v>
      </c>
      <c r="AY117" s="15" t="n">
        <f aca="false">IF($P117=0,"",W117*1000/AY$159*$AD$159/14.696/$BP117/42)</f>
        <v>5642.6053754774</v>
      </c>
      <c r="AZ117" s="15" t="n">
        <f aca="false">IF($P117=0,"",X117*1000/AZ$159*$AD$159/14.696/$BP117/42)</f>
        <v>2000.8144671079</v>
      </c>
      <c r="BA117" s="15" t="n">
        <f aca="false">IF($P117=0,"",Y117*1000/BA$159*$AD$159/14.696/$BP117/42)</f>
        <v>2264.21028088744</v>
      </c>
      <c r="BB117" s="15" t="n">
        <f aca="false">IF($P117=0,"",Z117*1000/BB$159*$AD$159/14.696/$BP117/42)</f>
        <v>3373.91641531019</v>
      </c>
      <c r="BC117" s="15" t="n">
        <f aca="false">IF($P117=0,"",AA117*1000/BC$159*$AD$159/14.696/$BP117/42)</f>
        <v>0</v>
      </c>
      <c r="BD117" s="55" t="n">
        <f aca="false">SUM(AS117:BC117)</f>
        <v>209469.701844194</v>
      </c>
      <c r="BE117" s="419" t="n">
        <f aca="false">IF($P117=0,"",E117/$P117*BE$159)</f>
        <v>2.3595E-005</v>
      </c>
      <c r="BF117" s="420" t="n">
        <f aca="false">IF($P117=0,"",F117/$P117*BF$159)</f>
        <v>3.70838E-005</v>
      </c>
      <c r="BG117" s="420" t="n">
        <f aca="false">IF($P117=0,"",G117/$P117*BG$159)</f>
        <v>0.009241372</v>
      </c>
      <c r="BH117" s="420" t="n">
        <f aca="false">IF($P117=0,"",H117/$P117*BH$159)</f>
        <v>0.002527322</v>
      </c>
      <c r="BI117" s="420" t="n">
        <f aca="false">IF($P117=0,"",I117/$P117*BI$159)</f>
        <v>0.001591342</v>
      </c>
      <c r="BJ117" s="420" t="n">
        <f aca="false">IF($P117=0,"",J117/$P117*BJ$159)</f>
        <v>0.000328104</v>
      </c>
      <c r="BK117" s="420" t="n">
        <f aca="false">IF($P117=0,"",K117/$P117*BK$159)</f>
        <v>0.00077033</v>
      </c>
      <c r="BL117" s="420" t="n">
        <f aca="false">IF($P117=0,"",L117/$P117*BL$159)</f>
        <v>0.000288576</v>
      </c>
      <c r="BM117" s="420" t="n">
        <f aca="false">IF($P117=0,"",M117/$P117*BM$159)</f>
        <v>0.000346632</v>
      </c>
      <c r="BN117" s="420" t="n">
        <f aca="false">IF($P117=0,"",N117/$P117*BN$159)</f>
        <v>0.0006149544</v>
      </c>
      <c r="BO117" s="420" t="n">
        <f aca="false">IF($P117=0,"",O117/$P117*BO$159)</f>
        <v>0</v>
      </c>
      <c r="BP117" s="418" t="n">
        <f aca="false">1-AD$159*(SUM(BE117:BO117))^2</f>
        <v>0.996356967275666</v>
      </c>
    </row>
    <row r="118" customFormat="false" ht="15" hidden="false" customHeight="false" outlineLevel="0" collapsed="false">
      <c r="A118" s="413" t="s">
        <v>343</v>
      </c>
      <c r="B118" s="414" t="s">
        <v>344</v>
      </c>
      <c r="C118" s="415" t="n">
        <v>473825.25</v>
      </c>
      <c r="D118" s="416" t="n">
        <v>580435.93</v>
      </c>
      <c r="E118" s="417" t="n">
        <v>0.115</v>
      </c>
      <c r="F118" s="417" t="n">
        <v>0.897</v>
      </c>
      <c r="G118" s="417" t="n">
        <v>81.139</v>
      </c>
      <c r="H118" s="417" t="n">
        <v>10.651</v>
      </c>
      <c r="I118" s="417" t="n">
        <v>4.127</v>
      </c>
      <c r="J118" s="417" t="n">
        <v>0.689</v>
      </c>
      <c r="K118" s="417" t="n">
        <v>1.286</v>
      </c>
      <c r="L118" s="417" t="n">
        <v>0.334</v>
      </c>
      <c r="M118" s="417" t="n">
        <v>0.349</v>
      </c>
      <c r="N118" s="417" t="n">
        <v>0.413</v>
      </c>
      <c r="O118" s="76"/>
      <c r="P118" s="423" t="n">
        <f aca="false">SUM(E118:O118)</f>
        <v>100</v>
      </c>
      <c r="Q118" s="99" t="n">
        <f aca="false">IF($P118=0,"",$C118*E118/$P118)</f>
        <v>544.8990375</v>
      </c>
      <c r="R118" s="100" t="n">
        <f aca="false">IF($P118=0,"",$C118*F118/$P118)</f>
        <v>4250.2124925</v>
      </c>
      <c r="S118" s="100" t="n">
        <f aca="false">IF($P118=0,"",$C118*G118/$P118)</f>
        <v>384457.0695975</v>
      </c>
      <c r="T118" s="100" t="n">
        <f aca="false">IF($P118=0,"",$C118*H118/$P118)</f>
        <v>50467.1273775</v>
      </c>
      <c r="U118" s="100" t="n">
        <f aca="false">IF($P118=0,"",$C118*I118/$P118)</f>
        <v>19554.7680675</v>
      </c>
      <c r="V118" s="100" t="n">
        <f aca="false">IF($P118=0,"",$C118*J118/$P118)</f>
        <v>3264.6559725</v>
      </c>
      <c r="W118" s="100" t="n">
        <f aca="false">IF($P118=0,"",$C118*K118/$P118)</f>
        <v>6093.392715</v>
      </c>
      <c r="X118" s="100" t="n">
        <f aca="false">IF($P118=0,"",$C118*L118/$P118)</f>
        <v>1582.576335</v>
      </c>
      <c r="Y118" s="100" t="n">
        <f aca="false">IF($P118=0,"",$C118*M118/$P118)</f>
        <v>1653.6501225</v>
      </c>
      <c r="Z118" s="100" t="n">
        <f aca="false">IF($P118=0,"",$C118*N118/$P118)</f>
        <v>1956.8982825</v>
      </c>
      <c r="AA118" s="100" t="n">
        <f aca="false">IF($P118=0,"",$C118*O118/$P118)</f>
        <v>0</v>
      </c>
      <c r="AB118" s="101" t="n">
        <f aca="false">SUM(Q118:AA118)</f>
        <v>473825.25</v>
      </c>
      <c r="AC118" s="424"/>
      <c r="AD118" s="425"/>
      <c r="AE118" s="100" t="n">
        <f aca="false">IF($P118=0,"",S118*AE$159/$BP118/1000)</f>
        <v>388370.398265969</v>
      </c>
      <c r="AF118" s="100" t="n">
        <f aca="false">IF($P118=0,"",T118*AF$159/$BP118/1000)</f>
        <v>89332.9066616029</v>
      </c>
      <c r="AG118" s="100" t="n">
        <f aca="false">IF($P118=0,"",U118*AG$159/$BP118/1000)</f>
        <v>49211.8730495436</v>
      </c>
      <c r="AH118" s="100" t="n">
        <f aca="false">IF($P118=0,"",V118*AH$159/$BP118/1000)</f>
        <v>10618.5521798926</v>
      </c>
      <c r="AI118" s="100" t="n">
        <f aca="false">IF($P118=0,"",W118*AI$159/$BP118/1000)</f>
        <v>19882.8264899973</v>
      </c>
      <c r="AJ118" s="100" t="n">
        <f aca="false">IF($P118=0,"",X118*AJ$159/$BP118/1000)</f>
        <v>6333.13049777753</v>
      </c>
      <c r="AK118" s="100" t="n">
        <f aca="false">IF($P118=0,"",Y118*AK$159/$BP118/1000)</f>
        <v>6630.49428464649</v>
      </c>
      <c r="AL118" s="100" t="n">
        <f aca="false">IF($P118=0,"",Z118*AL$159/$BP118/1000)</f>
        <v>10039.592709344</v>
      </c>
      <c r="AM118" s="100" t="n">
        <f aca="false">IF($P118=0,"",AA118*AM$159/$BP118/1000)</f>
        <v>0</v>
      </c>
      <c r="AN118" s="100" t="n">
        <f aca="false">SUM(AC118:AM118)</f>
        <v>580419.774138774</v>
      </c>
      <c r="AO118" s="100" t="n">
        <f aca="false">D118-AN118</f>
        <v>16.1558612264926</v>
      </c>
      <c r="AP118" s="426" t="n">
        <f aca="false">IF(D118=0,0,AO118/D118)</f>
        <v>2.78340130089682E-005</v>
      </c>
      <c r="AQ118" s="427" t="n">
        <f aca="false">IF(AB118=0,0,AN118/AB118)*1000</f>
        <v>1224.96590069603</v>
      </c>
      <c r="AR118" s="428" t="n">
        <f aca="false">IF(C118=0,0,D118/C118)*1000</f>
        <v>1224.9999973619</v>
      </c>
      <c r="AS118" s="429" t="n">
        <f aca="false">IF($P118=0,"",Q118*1000/AS$159*$AD$159/14.696/$BP118/42)</f>
        <v>220.89302009836</v>
      </c>
      <c r="AT118" s="100" t="n">
        <f aca="false">IF($P118=0,"",R118*1000/AT$159*$AD$159/14.696/$BP118/42)</f>
        <v>1110.71607626466</v>
      </c>
      <c r="AU118" s="100" t="n">
        <f aca="false">IF($P118=0,"",S118*1000/AU$159*$AD$159/14.696/$BP118/42)</f>
        <v>154819.432640738</v>
      </c>
      <c r="AV118" s="100" t="n">
        <f aca="false">IF($P118=0,"",T118*1000/AV$159*$AD$159/14.696/$BP118/42)</f>
        <v>32059.7821567237</v>
      </c>
      <c r="AW118" s="100" t="n">
        <f aca="false">IF($P118=0,"",U118*1000/AW$159*$AD$159/14.696/$BP118/42)</f>
        <v>12796.8456766897</v>
      </c>
      <c r="AX118" s="100" t="n">
        <f aca="false">IF($P118=0,"",V118*1000/AX$159*$AD$159/14.696/$BP118/42)</f>
        <v>2537.67171440701</v>
      </c>
      <c r="AY118" s="100" t="n">
        <f aca="false">IF($P118=0,"",W118*1000/AY$159*$AD$159/14.696/$BP118/42)</f>
        <v>4563.12793753708</v>
      </c>
      <c r="AZ118" s="100" t="n">
        <f aca="false">IF($P118=0,"",X118*1000/AZ$159*$AD$159/14.696/$BP118/42)</f>
        <v>1374.79046688465</v>
      </c>
      <c r="BA118" s="100" t="n">
        <f aca="false">IF($P118=0,"",Y118*1000/BA$159*$AD$159/14.696/$BP118/42)</f>
        <v>1423.85940515227</v>
      </c>
      <c r="BB118" s="100" t="n">
        <f aca="false">IF($P118=0,"",Z118*1000/BB$159*$AD$159/14.696/$BP118/42)</f>
        <v>2017.09024642538</v>
      </c>
      <c r="BC118" s="100" t="n">
        <f aca="false">IF($P118=0,"",AA118*1000/BC$159*$AD$159/14.696/$BP118/42)</f>
        <v>0</v>
      </c>
      <c r="BD118" s="430" t="n">
        <f aca="false">SUM(AS118:BC118)</f>
        <v>212924.209340921</v>
      </c>
      <c r="BE118" s="424" t="n">
        <f aca="false">IF($P118=0,"",E118/$P118*BE$159)</f>
        <v>2.2425E-005</v>
      </c>
      <c r="BF118" s="425" t="n">
        <f aca="false">IF($P118=0,"",F118/$P118*BF$159)</f>
        <v>3.96474E-005</v>
      </c>
      <c r="BG118" s="425" t="n">
        <f aca="false">IF($P118=0,"",G118/$P118*BG$159)</f>
        <v>0.009412124</v>
      </c>
      <c r="BH118" s="425" t="n">
        <f aca="false">IF($P118=0,"",H118/$P118*BH$159)</f>
        <v>0.002534938</v>
      </c>
      <c r="BI118" s="425" t="n">
        <f aca="false">IF($P118=0,"",I118/$P118*BI$159)</f>
        <v>0.001432069</v>
      </c>
      <c r="BJ118" s="425" t="n">
        <f aca="false">IF($P118=0,"",J118/$P118*BJ$159)</f>
        <v>0.000303849</v>
      </c>
      <c r="BK118" s="425" t="n">
        <f aca="false">IF($P118=0,"",K118/$P118*BK$159)</f>
        <v>0.00060442</v>
      </c>
      <c r="BL118" s="425" t="n">
        <f aca="false">IF($P118=0,"",L118/$P118*BL$159)</f>
        <v>0.000192384</v>
      </c>
      <c r="BM118" s="425" t="n">
        <f aca="false">IF($P118=0,"",M118/$P118*BM$159)</f>
        <v>0.000211494</v>
      </c>
      <c r="BN118" s="425" t="n">
        <f aca="false">IF($P118=0,"",N118/$P118*BN$159)</f>
        <v>0.0003567081</v>
      </c>
      <c r="BO118" s="425" t="n">
        <f aca="false">IF($P118=0,"",O118/$P118*BO$159)</f>
        <v>0</v>
      </c>
      <c r="BP118" s="423" t="n">
        <f aca="false">1-AD$159*(SUM(BE118:BO118))^2</f>
        <v>0.996655201835654</v>
      </c>
    </row>
    <row r="119" customFormat="false" ht="15" hidden="false" customHeight="false" outlineLevel="0" collapsed="false">
      <c r="A119" s="413" t="s">
        <v>345</v>
      </c>
      <c r="B119" s="414" t="s">
        <v>346</v>
      </c>
      <c r="C119" s="415" t="n">
        <v>984114.18</v>
      </c>
      <c r="D119" s="416" t="n">
        <v>1268523.17</v>
      </c>
      <c r="E119" s="417" t="n">
        <v>0.146</v>
      </c>
      <c r="F119" s="417" t="n">
        <v>0.927</v>
      </c>
      <c r="G119" s="417" t="n">
        <v>77.414</v>
      </c>
      <c r="H119" s="417" t="n">
        <v>11.691</v>
      </c>
      <c r="I119" s="417" t="n">
        <v>5.467</v>
      </c>
      <c r="J119" s="417" t="n">
        <v>0.797</v>
      </c>
      <c r="K119" s="417" t="n">
        <v>1.866</v>
      </c>
      <c r="L119" s="417" t="n">
        <v>0.491</v>
      </c>
      <c r="M119" s="417" t="n">
        <v>0.583</v>
      </c>
      <c r="N119" s="417" t="n">
        <v>0.618</v>
      </c>
      <c r="O119" s="76"/>
      <c r="P119" s="418" t="n">
        <f aca="false">SUM(E119:O119)</f>
        <v>100</v>
      </c>
      <c r="Q119" s="14" t="n">
        <f aca="false">IF($P119=0,"",$C119*E119/$P119)</f>
        <v>1436.8067028</v>
      </c>
      <c r="R119" s="15" t="n">
        <f aca="false">IF($P119=0,"",$C119*F119/$P119)</f>
        <v>9122.7384486</v>
      </c>
      <c r="S119" s="15" t="n">
        <f aca="false">IF($P119=0,"",$C119*G119/$P119)</f>
        <v>761842.1513052</v>
      </c>
      <c r="T119" s="15" t="n">
        <f aca="false">IF($P119=0,"",$C119*H119/$P119)</f>
        <v>115052.7887838</v>
      </c>
      <c r="U119" s="15" t="n">
        <f aca="false">IF($P119=0,"",$C119*I119/$P119)</f>
        <v>53801.5222206</v>
      </c>
      <c r="V119" s="15" t="n">
        <f aca="false">IF($P119=0,"",$C119*J119/$P119)</f>
        <v>7843.3900146</v>
      </c>
      <c r="W119" s="15" t="n">
        <f aca="false">IF($P119=0,"",$C119*K119/$P119)</f>
        <v>18363.5705988</v>
      </c>
      <c r="X119" s="15" t="n">
        <f aca="false">IF($P119=0,"",$C119*L119/$P119)</f>
        <v>4832.0006238</v>
      </c>
      <c r="Y119" s="15" t="n">
        <f aca="false">IF($P119=0,"",$C119*M119/$P119)</f>
        <v>5737.3856694</v>
      </c>
      <c r="Z119" s="15" t="n">
        <f aca="false">IF($P119=0,"",$C119*N119/$P119)</f>
        <v>6081.8256324</v>
      </c>
      <c r="AA119" s="15" t="n">
        <f aca="false">IF($P119=0,"",$C119*O119/$P119)</f>
        <v>0</v>
      </c>
      <c r="AB119" s="16" t="n">
        <f aca="false">SUM(Q119:AA119)</f>
        <v>984114.18</v>
      </c>
      <c r="AC119" s="419"/>
      <c r="AD119" s="420"/>
      <c r="AE119" s="15" t="n">
        <f aca="false">IF($P119=0,"",S119*AE$159/$BP119/1000)</f>
        <v>769956.474054114</v>
      </c>
      <c r="AF119" s="15" t="n">
        <f aca="false">IF($P119=0,"",T119*AF$159/$BP119/1000)</f>
        <v>203752.496303787</v>
      </c>
      <c r="AG119" s="15" t="n">
        <f aca="false">IF($P119=0,"",U119*AG$159/$BP119/1000)</f>
        <v>135461.131029394</v>
      </c>
      <c r="AH119" s="15" t="n">
        <f aca="false">IF($P119=0,"",V119*AH$159/$BP119/1000)</f>
        <v>25523.1693690946</v>
      </c>
      <c r="AI119" s="15" t="n">
        <f aca="false">IF($P119=0,"",W119*AI$159/$BP119/1000)</f>
        <v>59948.5924773519</v>
      </c>
      <c r="AJ119" s="15" t="n">
        <f aca="false">IF($P119=0,"",X119*AJ$159/$BP119/1000)</f>
        <v>19345.6648528177</v>
      </c>
      <c r="AK119" s="15" t="n">
        <f aca="false">IF($P119=0,"",Y119*AK$159/$BP119/1000)</f>
        <v>23015.4372583016</v>
      </c>
      <c r="AL119" s="15" t="n">
        <f aca="false">IF($P119=0,"",Z119*AL$159/$BP119/1000)</f>
        <v>31216.5364479159</v>
      </c>
      <c r="AM119" s="15" t="n">
        <f aca="false">IF($P119=0,"",AA119*AM$159/$BP119/1000)</f>
        <v>0</v>
      </c>
      <c r="AN119" s="15" t="n">
        <f aca="false">SUM(AC119:AM119)</f>
        <v>1268219.50179278</v>
      </c>
      <c r="AO119" s="15" t="n">
        <f aca="false">D119-AN119</f>
        <v>303.668207223061</v>
      </c>
      <c r="AP119" s="421" t="n">
        <f aca="false">IF(D119=0,0,AO119/D119)</f>
        <v>0.00023938719796743</v>
      </c>
      <c r="AQ119" s="75" t="n">
        <f aca="false">IF(AB119=0,0,AN119/AB119)*1000</f>
        <v>1288.69142175431</v>
      </c>
      <c r="AR119" s="340" t="n">
        <f aca="false">IF(C119=0,0,D119/C119)*1000</f>
        <v>1288.99999185054</v>
      </c>
      <c r="AS119" s="422" t="n">
        <f aca="false">IF($P119=0,"",Q119*1000/AS$159*$AD$159/14.696/$BP119/42)</f>
        <v>582.729770428435</v>
      </c>
      <c r="AT119" s="15" t="n">
        <f aca="false">IF($P119=0,"",R119*1000/AT$159*$AD$159/14.696/$BP119/42)</f>
        <v>2385.17663456346</v>
      </c>
      <c r="AU119" s="15" t="n">
        <f aca="false">IF($P119=0,"",S119*1000/AU$159*$AD$159/14.696/$BP119/42)</f>
        <v>306934.372453088</v>
      </c>
      <c r="AV119" s="15" t="n">
        <f aca="false">IF($P119=0,"",T119*1000/AV$159*$AD$159/14.696/$BP119/42)</f>
        <v>73122.6699040765</v>
      </c>
      <c r="AW119" s="15" t="n">
        <f aca="false">IF($P119=0,"",U119*1000/AW$159*$AD$159/14.696/$BP119/42)</f>
        <v>35224.7350396079</v>
      </c>
      <c r="AX119" s="15" t="n">
        <f aca="false">IF($P119=0,"",V119*1000/AX$159*$AD$159/14.696/$BP119/42)</f>
        <v>6099.64747290305</v>
      </c>
      <c r="AY119" s="15" t="n">
        <f aca="false">IF($P119=0,"",W119*1000/AY$159*$AD$159/14.696/$BP119/42)</f>
        <v>13758.2600384835</v>
      </c>
      <c r="AZ119" s="15" t="n">
        <f aca="false">IF($P119=0,"",X119*1000/AZ$159*$AD$159/14.696/$BP119/42)</f>
        <v>4199.54012072427</v>
      </c>
      <c r="BA119" s="15" t="n">
        <f aca="false">IF($P119=0,"",Y119*1000/BA$159*$AD$159/14.696/$BP119/42)</f>
        <v>4942.42893471885</v>
      </c>
      <c r="BB119" s="15" t="n">
        <f aca="false">IF($P119=0,"",Z119*1000/BB$159*$AD$159/14.696/$BP119/42)</f>
        <v>6271.82526415336</v>
      </c>
      <c r="BC119" s="15" t="n">
        <f aca="false">IF($P119=0,"",AA119*1000/BC$159*$AD$159/14.696/$BP119/42)</f>
        <v>0</v>
      </c>
      <c r="BD119" s="55" t="n">
        <f aca="false">SUM(AS119:BC119)</f>
        <v>453521.385632747</v>
      </c>
      <c r="BE119" s="419" t="n">
        <f aca="false">IF($P119=0,"",E119/$P119*BE$159)</f>
        <v>2.847E-005</v>
      </c>
      <c r="BF119" s="420" t="n">
        <f aca="false">IF($P119=0,"",F119/$P119*BF$159)</f>
        <v>4.09734E-005</v>
      </c>
      <c r="BG119" s="420" t="n">
        <f aca="false">IF($P119=0,"",G119/$P119*BG$159)</f>
        <v>0.008980024</v>
      </c>
      <c r="BH119" s="420" t="n">
        <f aca="false">IF($P119=0,"",H119/$P119*BH$159)</f>
        <v>0.002782458</v>
      </c>
      <c r="BI119" s="420" t="n">
        <f aca="false">IF($P119=0,"",I119/$P119*BI$159)</f>
        <v>0.001897049</v>
      </c>
      <c r="BJ119" s="420" t="n">
        <f aca="false">IF($P119=0,"",J119/$P119*BJ$159)</f>
        <v>0.000351477</v>
      </c>
      <c r="BK119" s="420" t="n">
        <f aca="false">IF($P119=0,"",K119/$P119*BK$159)</f>
        <v>0.00087702</v>
      </c>
      <c r="BL119" s="420" t="n">
        <f aca="false">IF($P119=0,"",L119/$P119*BL$159)</f>
        <v>0.000282816</v>
      </c>
      <c r="BM119" s="420" t="n">
        <f aca="false">IF($P119=0,"",M119/$P119*BM$159)</f>
        <v>0.000353298</v>
      </c>
      <c r="BN119" s="420" t="n">
        <f aca="false">IF($P119=0,"",N119/$P119*BN$159)</f>
        <v>0.0005337666</v>
      </c>
      <c r="BO119" s="420" t="n">
        <f aca="false">IF($P119=0,"",O119/$P119*BO$159)</f>
        <v>0</v>
      </c>
      <c r="BP119" s="418" t="n">
        <f aca="false">1-AD$159*(SUM(BE119:BO119))^2</f>
        <v>0.996189659780907</v>
      </c>
    </row>
    <row r="120" customFormat="false" ht="15" hidden="false" customHeight="false" outlineLevel="0" collapsed="false">
      <c r="A120" s="413" t="s">
        <v>347</v>
      </c>
      <c r="B120" s="414" t="s">
        <v>348</v>
      </c>
      <c r="C120" s="415" t="n">
        <v>39085.07</v>
      </c>
      <c r="D120" s="416" t="n">
        <v>51670.46</v>
      </c>
      <c r="E120" s="417" t="n">
        <v>0.308</v>
      </c>
      <c r="F120" s="417" t="n">
        <v>1.393</v>
      </c>
      <c r="G120" s="417" t="n">
        <v>72.849</v>
      </c>
      <c r="H120" s="417" t="n">
        <v>12.96</v>
      </c>
      <c r="I120" s="417" t="n">
        <v>8.257</v>
      </c>
      <c r="J120" s="417" t="n">
        <v>0.836</v>
      </c>
      <c r="K120" s="417" t="n">
        <v>2.421</v>
      </c>
      <c r="L120" s="417" t="n">
        <v>0.377</v>
      </c>
      <c r="M120" s="417" t="n">
        <v>0.353</v>
      </c>
      <c r="N120" s="417" t="n">
        <v>0.246</v>
      </c>
      <c r="O120" s="76"/>
      <c r="P120" s="423" t="n">
        <f aca="false">SUM(E120:O120)</f>
        <v>100</v>
      </c>
      <c r="Q120" s="99" t="n">
        <f aca="false">IF($P120=0,"",$C120*E120/$P120)</f>
        <v>120.3820156</v>
      </c>
      <c r="R120" s="100" t="n">
        <f aca="false">IF($P120=0,"",$C120*F120/$P120)</f>
        <v>544.4550251</v>
      </c>
      <c r="S120" s="100" t="n">
        <f aca="false">IF($P120=0,"",$C120*G120/$P120)</f>
        <v>28473.0826443</v>
      </c>
      <c r="T120" s="100" t="n">
        <f aca="false">IF($P120=0,"",$C120*H120/$P120)</f>
        <v>5065.425072</v>
      </c>
      <c r="U120" s="100" t="n">
        <f aca="false">IF($P120=0,"",$C120*I120/$P120)</f>
        <v>3227.2542299</v>
      </c>
      <c r="V120" s="100" t="n">
        <f aca="false">IF($P120=0,"",$C120*J120/$P120)</f>
        <v>326.7511852</v>
      </c>
      <c r="W120" s="100" t="n">
        <f aca="false">IF($P120=0,"",$C120*K120/$P120)</f>
        <v>946.2495447</v>
      </c>
      <c r="X120" s="100" t="n">
        <f aca="false">IF($P120=0,"",$C120*L120/$P120)</f>
        <v>147.3507139</v>
      </c>
      <c r="Y120" s="100" t="n">
        <f aca="false">IF($P120=0,"",$C120*M120/$P120)</f>
        <v>137.9702971</v>
      </c>
      <c r="Z120" s="100" t="n">
        <f aca="false">IF($P120=0,"",$C120*N120/$P120)</f>
        <v>96.1492722</v>
      </c>
      <c r="AA120" s="100" t="n">
        <f aca="false">IF($P120=0,"",$C120*O120/$P120)</f>
        <v>0</v>
      </c>
      <c r="AB120" s="101" t="n">
        <f aca="false">SUM(Q120:AA120)</f>
        <v>39085.07</v>
      </c>
      <c r="AC120" s="424"/>
      <c r="AD120" s="425"/>
      <c r="AE120" s="100" t="n">
        <f aca="false">IF($P120=0,"",S120*AE$159/$BP120/1000)</f>
        <v>28783.9071240047</v>
      </c>
      <c r="AF120" s="100" t="n">
        <f aca="false">IF($P120=0,"",T120*AF$159/$BP120/1000)</f>
        <v>8972.96063562611</v>
      </c>
      <c r="AG120" s="100" t="n">
        <f aca="false">IF($P120=0,"",U120*AG$159/$BP120/1000)</f>
        <v>8127.69487708259</v>
      </c>
      <c r="AH120" s="100" t="n">
        <f aca="false">IF($P120=0,"",V120*AH$159/$BP120/1000)</f>
        <v>1063.56011344533</v>
      </c>
      <c r="AI120" s="100" t="n">
        <f aca="false">IF($P120=0,"",W120*AI$159/$BP120/1000)</f>
        <v>3089.88007672631</v>
      </c>
      <c r="AJ120" s="100" t="n">
        <f aca="false">IF($P120=0,"",X120*AJ$159/$BP120/1000)</f>
        <v>590.09644873977</v>
      </c>
      <c r="AK120" s="100" t="n">
        <f aca="false">IF($P120=0,"",Y120*AK$159/$BP120/1000)</f>
        <v>553.611195440395</v>
      </c>
      <c r="AL120" s="100" t="n">
        <f aca="false">IF($P120=0,"",Z120*AL$159/$BP120/1000)</f>
        <v>493.640553478604</v>
      </c>
      <c r="AM120" s="100" t="n">
        <f aca="false">IF($P120=0,"",AA120*AM$159/$BP120/1000)</f>
        <v>0</v>
      </c>
      <c r="AN120" s="100" t="n">
        <f aca="false">SUM(AC120:AM120)</f>
        <v>51675.3510245438</v>
      </c>
      <c r="AO120" s="100" t="n">
        <f aca="false">D120-AN120</f>
        <v>-4.89102454376553</v>
      </c>
      <c r="AP120" s="426" t="n">
        <f aca="false">IF(D120=0,0,AO120/D120)</f>
        <v>-9.46580414373227E-005</v>
      </c>
      <c r="AQ120" s="427" t="n">
        <f aca="false">IF(AB120=0,0,AN120/AB120)*1000</f>
        <v>1322.12507293818</v>
      </c>
      <c r="AR120" s="428" t="n">
        <f aca="false">IF(C120=0,0,D120/C120)*1000</f>
        <v>1321.99993501355</v>
      </c>
      <c r="AS120" s="429" t="n">
        <f aca="false">IF($P120=0,"",Q120*1000/AS$159*$AD$159/14.696/$BP120/42)</f>
        <v>48.8365020549924</v>
      </c>
      <c r="AT120" s="100" t="n">
        <f aca="false">IF($P120=0,"",R120*1000/AT$159*$AD$159/14.696/$BP120/42)</f>
        <v>142.387351456392</v>
      </c>
      <c r="AU120" s="100" t="n">
        <f aca="false">IF($P120=0,"",S120*1000/AU$159*$AD$159/14.696/$BP120/42)</f>
        <v>11474.376497331</v>
      </c>
      <c r="AV120" s="100" t="n">
        <f aca="false">IF($P120=0,"",T120*1000/AV$159*$AD$159/14.696/$BP120/42)</f>
        <v>3220.2149692581</v>
      </c>
      <c r="AW120" s="100" t="n">
        <f aca="false">IF($P120=0,"",U120*1000/AW$159*$AD$159/14.696/$BP120/42)</f>
        <v>2113.49112732485</v>
      </c>
      <c r="AX120" s="100" t="n">
        <f aca="false">IF($P120=0,"",V120*1000/AX$159*$AD$159/14.696/$BP120/42)</f>
        <v>254.17461540308</v>
      </c>
      <c r="AY120" s="100" t="n">
        <f aca="false">IF($P120=0,"",W120*1000/AY$159*$AD$159/14.696/$BP120/42)</f>
        <v>709.13047040079</v>
      </c>
      <c r="AZ120" s="100" t="n">
        <f aca="false">IF($P120=0,"",X120*1000/AZ$159*$AD$159/14.696/$BP120/42)</f>
        <v>128.097624477281</v>
      </c>
      <c r="BA120" s="100" t="n">
        <f aca="false">IF($P120=0,"",Y120*1000/BA$159*$AD$159/14.696/$BP120/42)</f>
        <v>118.88472768172</v>
      </c>
      <c r="BB120" s="100" t="n">
        <f aca="false">IF($P120=0,"",Z120*1000/BB$159*$AD$159/14.696/$BP120/42)</f>
        <v>99.179077726429</v>
      </c>
      <c r="BC120" s="100" t="n">
        <f aca="false">IF($P120=0,"",AA120*1000/BC$159*$AD$159/14.696/$BP120/42)</f>
        <v>0</v>
      </c>
      <c r="BD120" s="430" t="n">
        <f aca="false">SUM(AS120:BC120)</f>
        <v>18308.7729631146</v>
      </c>
      <c r="BE120" s="424" t="n">
        <f aca="false">IF($P120=0,"",E120/$P120*BE$159)</f>
        <v>6.006E-005</v>
      </c>
      <c r="BF120" s="425" t="n">
        <f aca="false">IF($P120=0,"",F120/$P120*BF$159)</f>
        <v>6.15706E-005</v>
      </c>
      <c r="BG120" s="425" t="n">
        <f aca="false">IF($P120=0,"",G120/$P120*BG$159)</f>
        <v>0.008450484</v>
      </c>
      <c r="BH120" s="425" t="n">
        <f aca="false">IF($P120=0,"",H120/$P120*BH$159)</f>
        <v>0.00308448</v>
      </c>
      <c r="BI120" s="425" t="n">
        <f aca="false">IF($P120=0,"",I120/$P120*BI$159)</f>
        <v>0.002865179</v>
      </c>
      <c r="BJ120" s="425" t="n">
        <f aca="false">IF($P120=0,"",J120/$P120*BJ$159)</f>
        <v>0.000368676</v>
      </c>
      <c r="BK120" s="425" t="n">
        <f aca="false">IF($P120=0,"",K120/$P120*BK$159)</f>
        <v>0.00113787</v>
      </c>
      <c r="BL120" s="425" t="n">
        <f aca="false">IF($P120=0,"",L120/$P120*BL$159)</f>
        <v>0.000217152</v>
      </c>
      <c r="BM120" s="425" t="n">
        <f aca="false">IF($P120=0,"",M120/$P120*BM$159)</f>
        <v>0.000213918</v>
      </c>
      <c r="BN120" s="425" t="n">
        <f aca="false">IF($P120=0,"",N120/$P120*BN$159)</f>
        <v>0.0002124702</v>
      </c>
      <c r="BO120" s="425" t="n">
        <f aca="false">IF($P120=0,"",O120/$P120*BO$159)</f>
        <v>0</v>
      </c>
      <c r="BP120" s="423" t="n">
        <f aca="false">1-AD$159*(SUM(BE120:BO120))^2</f>
        <v>0.995928019180354</v>
      </c>
    </row>
    <row r="121" customFormat="false" ht="15" hidden="false" customHeight="false" outlineLevel="0" collapsed="false">
      <c r="A121" s="413" t="s">
        <v>181</v>
      </c>
      <c r="B121" s="414" t="s">
        <v>349</v>
      </c>
      <c r="C121" s="415" t="n">
        <v>3811549.47</v>
      </c>
      <c r="D121" s="416" t="n">
        <v>3937855.59</v>
      </c>
      <c r="E121" s="417" t="n">
        <v>0.0479830404687859</v>
      </c>
      <c r="F121" s="417" t="n">
        <v>1.01775534871719</v>
      </c>
      <c r="G121" s="417" t="n">
        <v>95.1666524238812</v>
      </c>
      <c r="H121" s="417" t="n">
        <v>3.6684882196625</v>
      </c>
      <c r="I121" s="417" t="n">
        <v>0.0978667168075088</v>
      </c>
      <c r="J121" s="417" t="n">
        <v>0.000669719154865331</v>
      </c>
      <c r="K121" s="417" t="n">
        <v>0.000583326904079348</v>
      </c>
      <c r="L121" s="417" t="n">
        <v>7.48022352751502E-007</v>
      </c>
      <c r="M121" s="417" t="n">
        <v>2.99208924779664E-007</v>
      </c>
      <c r="N121" s="417" t="n">
        <v>0</v>
      </c>
      <c r="O121" s="76"/>
      <c r="P121" s="423" t="n">
        <f aca="false">SUM(E121:O121)</f>
        <v>99.9999998428274</v>
      </c>
      <c r="Q121" s="99" t="n">
        <f aca="false">IF($P121=0,"",$C121*E121/$P121)</f>
        <v>1828.89732755242</v>
      </c>
      <c r="R121" s="100" t="n">
        <f aca="false">IF($P121=0,"",$C121*F121/$P121)</f>
        <v>38792.2486608975</v>
      </c>
      <c r="S121" s="100" t="n">
        <f aca="false">IF($P121=0,"",$C121*G121/$P121)</f>
        <v>3627324.04178035</v>
      </c>
      <c r="T121" s="100" t="n">
        <f aca="false">IF($P121=0,"",$C121*H121/$P121)</f>
        <v>139826.243513327</v>
      </c>
      <c r="U121" s="100" t="n">
        <f aca="false">IF($P121=0,"",$C121*I121/$P121)</f>
        <v>3730.23833164592</v>
      </c>
      <c r="V121" s="100" t="n">
        <f aca="false">IF($P121=0,"",$C121*J121/$P121)</f>
        <v>25.5266769378789</v>
      </c>
      <c r="W121" s="100" t="n">
        <f aca="false">IF($P121=0,"",$C121*K121/$P121)</f>
        <v>22.2337935557492</v>
      </c>
      <c r="X121" s="100" t="n">
        <f aca="false">IF($P121=0,"",$C121*L121/$P121)</f>
        <v>0.0285112420665933</v>
      </c>
      <c r="Y121" s="100" t="n">
        <f aca="false">IF($P121=0,"",$C121*M121/$P121)</f>
        <v>0.0114044962045567</v>
      </c>
      <c r="Z121" s="100" t="n">
        <f aca="false">IF($P121=0,"",$C121*N121/$P121)</f>
        <v>0</v>
      </c>
      <c r="AA121" s="100" t="n">
        <f aca="false">IF($P121=0,"",$C121*O121/$P121)</f>
        <v>0</v>
      </c>
      <c r="AB121" s="101" t="n">
        <f aca="false">SUM(Q121:AA121)</f>
        <v>3811549.47</v>
      </c>
      <c r="AC121" s="424"/>
      <c r="AD121" s="425"/>
      <c r="AE121" s="100" t="n">
        <f aca="false">IF($P121=0,"",S121*AE$159/$BP121/1000)</f>
        <v>3659712.05085899</v>
      </c>
      <c r="AF121" s="100" t="n">
        <f aca="false">IF($P121=0,"",T121*AF$159/$BP121/1000)</f>
        <v>247203.071686305</v>
      </c>
      <c r="AG121" s="100" t="n">
        <f aca="false">IF($P121=0,"",U121*AG$159/$BP121/1000)</f>
        <v>9375.96762123701</v>
      </c>
      <c r="AH121" s="100" t="n">
        <f aca="false">IF($P121=0,"",V121*AH$159/$BP121/1000)</f>
        <v>82.924804797766</v>
      </c>
      <c r="AI121" s="100" t="n">
        <f aca="false">IF($P121=0,"",W121*AI$159/$BP121/1000)</f>
        <v>72.4594136059035</v>
      </c>
      <c r="AJ121" s="100" t="n">
        <f aca="false">IF($P121=0,"",X121*AJ$159/$BP121/1000)</f>
        <v>0.113954688889475</v>
      </c>
      <c r="AK121" s="100" t="n">
        <f aca="false">IF($P121=0,"",Y121*AK$159/$BP121/1000)</f>
        <v>0.0456710162371092</v>
      </c>
      <c r="AL121" s="100" t="n">
        <f aca="false">IF($P121=0,"",Z121*AL$159/$BP121/1000)</f>
        <v>0</v>
      </c>
      <c r="AM121" s="100" t="n">
        <f aca="false">IF($P121=0,"",AA121*AM$159/$BP121/1000)</f>
        <v>0</v>
      </c>
      <c r="AN121" s="100" t="n">
        <f aca="false">SUM(AC121:AM121)</f>
        <v>3916446.63401064</v>
      </c>
      <c r="AO121" s="100" t="n">
        <f aca="false">D121-AN121</f>
        <v>21408.9559893627</v>
      </c>
      <c r="AP121" s="426" t="n">
        <f aca="false">IF(D121=0,0,AO121/D121)</f>
        <v>0.00543670419091287</v>
      </c>
      <c r="AQ121" s="427" t="n">
        <f aca="false">IF(AB121=0,0,AN121/AB121)*1000</f>
        <v>1027.52087171799</v>
      </c>
      <c r="AR121" s="428" t="n">
        <f aca="false">IF(C121=0,0,D121/C121)*1000</f>
        <v>1033.13773597696</v>
      </c>
      <c r="AS121" s="429" t="n">
        <f aca="false">IF($P121=0,"",Q121*1000/AS$159*$AD$159/14.696/$BP121/42)</f>
        <v>740.487224615341</v>
      </c>
      <c r="AT121" s="100" t="n">
        <f aca="false">IF($P121=0,"",R121*1000/AT$159*$AD$159/14.696/$BP121/42)</f>
        <v>10125.1079442679</v>
      </c>
      <c r="AU121" s="100" t="n">
        <f aca="false">IF($P121=0,"",S121*1000/AU$159*$AD$159/14.696/$BP121/42)</f>
        <v>1458902.4958448</v>
      </c>
      <c r="AV121" s="100" t="n">
        <f aca="false">IF($P121=0,"",T121*1000/AV$159*$AD$159/14.696/$BP121/42)</f>
        <v>88716.2068593292</v>
      </c>
      <c r="AW121" s="100" t="n">
        <f aca="false">IF($P121=0,"",U121*1000/AW$159*$AD$159/14.696/$BP121/42)</f>
        <v>2438.08665030525</v>
      </c>
      <c r="AX121" s="100" t="n">
        <f aca="false">IF($P121=0,"",V121*1000/AX$159*$AD$159/14.696/$BP121/42)</f>
        <v>19.8177612157426</v>
      </c>
      <c r="AY121" s="100" t="n">
        <f aca="false">IF($P121=0,"",W121*1000/AY$159*$AD$159/14.696/$BP121/42)</f>
        <v>16.6295056052012</v>
      </c>
      <c r="AZ121" s="100" t="n">
        <f aca="false">IF($P121=0,"",X121*1000/AZ$159*$AD$159/14.696/$BP121/42)</f>
        <v>0.0247371848720051</v>
      </c>
      <c r="BA121" s="100" t="n">
        <f aca="false">IF($P121=0,"",Y121*1000/BA$159*$AD$159/14.696/$BP121/42)</f>
        <v>0.00980758043373191</v>
      </c>
      <c r="BB121" s="100" t="n">
        <f aca="false">IF($P121=0,"",Z121*1000/BB$159*$AD$159/14.696/$BP121/42)</f>
        <v>0</v>
      </c>
      <c r="BC121" s="100" t="n">
        <f aca="false">IF($P121=0,"",AA121*1000/BC$159*$AD$159/14.696/$BP121/42)</f>
        <v>0</v>
      </c>
      <c r="BD121" s="430" t="n">
        <f aca="false">SUM(AS121:BC121)</f>
        <v>1560958.8663349</v>
      </c>
      <c r="BE121" s="424" t="n">
        <f aca="false">IF($P121=0,"",E121/$P121*BE$159)</f>
        <v>9.35669290611941E-006</v>
      </c>
      <c r="BF121" s="425" t="n">
        <f aca="false">IF($P121=0,"",F121/$P121*BF$159)</f>
        <v>4.49847864840036E-005</v>
      </c>
      <c r="BG121" s="425" t="n">
        <f aca="false">IF($P121=0,"",G121/$P121*BG$159)</f>
        <v>0.011039331698521</v>
      </c>
      <c r="BH121" s="425" t="n">
        <f aca="false">IF($P121=0,"",H121/$P121*BH$159)</f>
        <v>0.000873100197651949</v>
      </c>
      <c r="BI121" s="425" t="n">
        <f aca="false">IF($P121=0,"",I121/$P121*BI$159)</f>
        <v>3.3959750785581E-005</v>
      </c>
      <c r="BJ121" s="425" t="n">
        <f aca="false">IF($P121=0,"",J121/$P121*BJ$159)</f>
        <v>2.95346147759814E-007</v>
      </c>
      <c r="BK121" s="425" t="n">
        <f aca="false">IF($P121=0,"",K121/$P121*BK$159)</f>
        <v>2.74163645348204E-007</v>
      </c>
      <c r="BL121" s="425" t="n">
        <f aca="false">IF($P121=0,"",L121/$P121*BL$159)</f>
        <v>4.3086087586206E-010</v>
      </c>
      <c r="BM121" s="425" t="n">
        <f aca="false">IF($P121=0,"",M121/$P121*BM$159)</f>
        <v>1.81320608701463E-010</v>
      </c>
      <c r="BN121" s="425" t="n">
        <f aca="false">IF($P121=0,"",N121/$P121*BN$159)</f>
        <v>0</v>
      </c>
      <c r="BO121" s="425" t="n">
        <f aca="false">IF($P121=0,"",O121/$P121*BO$159)</f>
        <v>0</v>
      </c>
      <c r="BP121" s="423" t="n">
        <f aca="false">1-AD$159*(SUM(BE121:BO121))^2</f>
        <v>0.997889941753007</v>
      </c>
    </row>
    <row r="122" customFormat="false" ht="15" hidden="false" customHeight="false" outlineLevel="0" collapsed="false">
      <c r="A122" s="413" t="s">
        <v>350</v>
      </c>
      <c r="B122" s="414" t="s">
        <v>351</v>
      </c>
      <c r="C122" s="415" t="n">
        <v>270625.57</v>
      </c>
      <c r="D122" s="416" t="n">
        <v>338281.96</v>
      </c>
      <c r="E122" s="417" t="n">
        <v>0.103</v>
      </c>
      <c r="F122" s="417" t="n">
        <v>1.094</v>
      </c>
      <c r="G122" s="417" t="n">
        <v>79.774</v>
      </c>
      <c r="H122" s="417" t="n">
        <v>10.653</v>
      </c>
      <c r="I122" s="417" t="n">
        <v>4.645</v>
      </c>
      <c r="J122" s="417" t="n">
        <v>0.751</v>
      </c>
      <c r="K122" s="417" t="n">
        <v>1.563</v>
      </c>
      <c r="L122" s="417" t="n">
        <v>0.445</v>
      </c>
      <c r="M122" s="417" t="n">
        <v>0.456</v>
      </c>
      <c r="N122" s="417" t="n">
        <v>0.516</v>
      </c>
      <c r="O122" s="76"/>
      <c r="P122" s="423" t="n">
        <f aca="false">SUM(E122:O122)</f>
        <v>100</v>
      </c>
      <c r="Q122" s="99" t="n">
        <f aca="false">IF($P122=0,"",$C122*E122/$P122)</f>
        <v>278.7443371</v>
      </c>
      <c r="R122" s="100" t="n">
        <f aca="false">IF($P122=0,"",$C122*F122/$P122)</f>
        <v>2960.6437358</v>
      </c>
      <c r="S122" s="100" t="n">
        <f aca="false">IF($P122=0,"",$C122*G122/$P122)</f>
        <v>215888.8422118</v>
      </c>
      <c r="T122" s="100" t="n">
        <f aca="false">IF($P122=0,"",$C122*H122/$P122)</f>
        <v>28829.7419721</v>
      </c>
      <c r="U122" s="100" t="n">
        <f aca="false">IF($P122=0,"",$C122*I122/$P122)</f>
        <v>12570.5577265</v>
      </c>
      <c r="V122" s="100" t="n">
        <f aca="false">IF($P122=0,"",$C122*J122/$P122)</f>
        <v>2032.3980307</v>
      </c>
      <c r="W122" s="100" t="n">
        <f aca="false">IF($P122=0,"",$C122*K122/$P122)</f>
        <v>4229.8776591</v>
      </c>
      <c r="X122" s="100" t="n">
        <f aca="false">IF($P122=0,"",$C122*L122/$P122)</f>
        <v>1204.2837865</v>
      </c>
      <c r="Y122" s="100" t="n">
        <f aca="false">IF($P122=0,"",$C122*M122/$P122)</f>
        <v>1234.0525992</v>
      </c>
      <c r="Z122" s="100" t="n">
        <f aca="false">IF($P122=0,"",$C122*N122/$P122)</f>
        <v>1396.4279412</v>
      </c>
      <c r="AA122" s="100" t="n">
        <f aca="false">IF($P122=0,"",$C122*O122/$P122)</f>
        <v>0</v>
      </c>
      <c r="AB122" s="101" t="n">
        <f aca="false">SUM(Q122:AA122)</f>
        <v>270625.57</v>
      </c>
      <c r="AC122" s="424"/>
      <c r="AD122" s="425"/>
      <c r="AE122" s="100" t="n">
        <f aca="false">IF($P122=0,"",S122*AE$159/$BP122/1000)</f>
        <v>218125.961857908</v>
      </c>
      <c r="AF122" s="100" t="n">
        <f aca="false">IF($P122=0,"",T122*AF$159/$BP122/1000)</f>
        <v>51041.3941733961</v>
      </c>
      <c r="AG122" s="100" t="n">
        <f aca="false">IF($P122=0,"",U122*AG$159/$BP122/1000)</f>
        <v>31641.0338626087</v>
      </c>
      <c r="AH122" s="100" t="n">
        <f aca="false">IF($P122=0,"",V122*AH$159/$BP122/1000)</f>
        <v>6611.73656918</v>
      </c>
      <c r="AI122" s="100" t="n">
        <f aca="false">IF($P122=0,"",W122*AI$159/$BP122/1000)</f>
        <v>13804.6580416693</v>
      </c>
      <c r="AJ122" s="100" t="n">
        <f aca="false">IF($P122=0,"",X122*AJ$159/$BP122/1000)</f>
        <v>4820.16053082335</v>
      </c>
      <c r="AK122" s="100" t="n">
        <f aca="false">IF($P122=0,"",Y122*AK$159/$BP122/1000)</f>
        <v>4948.97023506031</v>
      </c>
      <c r="AL122" s="100" t="n">
        <f aca="false">IF($P122=0,"",Z122*AL$159/$BP122/1000)</f>
        <v>7165.47962705456</v>
      </c>
      <c r="AM122" s="100" t="n">
        <f aca="false">IF($P122=0,"",AA122*AM$159/$BP122/1000)</f>
        <v>0</v>
      </c>
      <c r="AN122" s="100" t="n">
        <f aca="false">SUM(AC122:AM122)</f>
        <v>338159.3948977</v>
      </c>
      <c r="AO122" s="100" t="n">
        <f aca="false">D122-AN122</f>
        <v>122.56510229985</v>
      </c>
      <c r="AP122" s="426" t="n">
        <f aca="false">IF(D122=0,0,AO122/D122)</f>
        <v>0.000362316401086981</v>
      </c>
      <c r="AQ122" s="427" t="n">
        <f aca="false">IF(AB122=0,0,AN122/AB122)*1000</f>
        <v>1249.54709526413</v>
      </c>
      <c r="AR122" s="428" t="n">
        <f aca="false">IF(C122=0,0,D122/C122)*1000</f>
        <v>1249.99999076214</v>
      </c>
      <c r="AS122" s="429" t="n">
        <f aca="false">IF($P122=0,"",Q122*1000/AS$159*$AD$159/14.696/$BP122/42)</f>
        <v>113.018853777129</v>
      </c>
      <c r="AT122" s="100" t="n">
        <f aca="false">IF($P122=0,"",R122*1000/AT$159*$AD$159/14.696/$BP122/42)</f>
        <v>773.851195425785</v>
      </c>
      <c r="AU122" s="100" t="n">
        <f aca="false">IF($P122=0,"",S122*1000/AU$159*$AD$159/14.696/$BP122/42)</f>
        <v>86953.428504944</v>
      </c>
      <c r="AV122" s="100" t="n">
        <f aca="false">IF($P122=0,"",T122*1000/AV$159*$AD$159/14.696/$BP122/42)</f>
        <v>18317.7290354294</v>
      </c>
      <c r="AW122" s="100" t="n">
        <f aca="false">IF($P122=0,"",U122*1000/AW$159*$AD$159/14.696/$BP122/42)</f>
        <v>8227.79955932749</v>
      </c>
      <c r="AX122" s="100" t="n">
        <f aca="false">IF($P122=0,"",V122*1000/AX$159*$AD$159/14.696/$BP122/42)</f>
        <v>1580.10400951746</v>
      </c>
      <c r="AY122" s="100" t="n">
        <f aca="false">IF($P122=0,"",W122*1000/AY$159*$AD$159/14.696/$BP122/42)</f>
        <v>3168.18239146117</v>
      </c>
      <c r="AZ122" s="100" t="n">
        <f aca="false">IF($P122=0,"",X122*1000/AZ$159*$AD$159/14.696/$BP122/42)</f>
        <v>1046.35626077105</v>
      </c>
      <c r="BA122" s="100" t="n">
        <f aca="false">IF($P122=0,"",Y122*1000/BA$159*$AD$159/14.696/$BP122/42)</f>
        <v>1062.76206757714</v>
      </c>
      <c r="BB122" s="100" t="n">
        <f aca="false">IF($P122=0,"",Z122*1000/BB$159*$AD$159/14.696/$BP122/42)</f>
        <v>1439.64197404537</v>
      </c>
      <c r="BC122" s="100" t="n">
        <f aca="false">IF($P122=0,"",AA122*1000/BC$159*$AD$159/14.696/$BP122/42)</f>
        <v>0</v>
      </c>
      <c r="BD122" s="430" t="n">
        <f aca="false">SUM(AS122:BC122)</f>
        <v>122682.873852276</v>
      </c>
      <c r="BE122" s="424" t="n">
        <f aca="false">IF($P122=0,"",E122/$P122*BE$159)</f>
        <v>2.0085E-005</v>
      </c>
      <c r="BF122" s="425" t="n">
        <f aca="false">IF($P122=0,"",F122/$P122*BF$159)</f>
        <v>4.83548E-005</v>
      </c>
      <c r="BG122" s="425" t="n">
        <f aca="false">IF($P122=0,"",G122/$P122*BG$159)</f>
        <v>0.009253784</v>
      </c>
      <c r="BH122" s="425" t="n">
        <f aca="false">IF($P122=0,"",H122/$P122*BH$159)</f>
        <v>0.002535414</v>
      </c>
      <c r="BI122" s="425" t="n">
        <f aca="false">IF($P122=0,"",I122/$P122*BI$159)</f>
        <v>0.001611815</v>
      </c>
      <c r="BJ122" s="425" t="n">
        <f aca="false">IF($P122=0,"",J122/$P122*BJ$159)</f>
        <v>0.000331191</v>
      </c>
      <c r="BK122" s="425" t="n">
        <f aca="false">IF($P122=0,"",K122/$P122*BK$159)</f>
        <v>0.00073461</v>
      </c>
      <c r="BL122" s="425" t="n">
        <f aca="false">IF($P122=0,"",L122/$P122*BL$159)</f>
        <v>0.00025632</v>
      </c>
      <c r="BM122" s="425" t="n">
        <f aca="false">IF($P122=0,"",M122/$P122*BM$159)</f>
        <v>0.000276336</v>
      </c>
      <c r="BN122" s="425" t="n">
        <f aca="false">IF($P122=0,"",N122/$P122*BN$159)</f>
        <v>0.0004456692</v>
      </c>
      <c r="BO122" s="425" t="n">
        <f aca="false">IF($P122=0,"",O122/$P122*BO$159)</f>
        <v>0</v>
      </c>
      <c r="BP122" s="423" t="n">
        <f aca="false">1-AD$159*(SUM(BE122:BO122))^2</f>
        <v>0.996474167895848</v>
      </c>
    </row>
    <row r="123" customFormat="false" ht="15" hidden="false" customHeight="false" outlineLevel="0" collapsed="false">
      <c r="A123" s="413" t="s">
        <v>352</v>
      </c>
      <c r="B123" s="414" t="s">
        <v>353</v>
      </c>
      <c r="C123" s="415" t="n">
        <v>-294086.26</v>
      </c>
      <c r="D123" s="416" t="n">
        <v>-298115.24</v>
      </c>
      <c r="E123" s="417" t="n">
        <v>0.171152460399211</v>
      </c>
      <c r="F123" s="417" t="n">
        <v>1.30153152472313</v>
      </c>
      <c r="G123" s="417" t="n">
        <v>96.6818840468448</v>
      </c>
      <c r="H123" s="417" t="n">
        <v>1.82459852439613</v>
      </c>
      <c r="I123" s="417" t="n">
        <v>0.149065920427107</v>
      </c>
      <c r="J123" s="417" t="n">
        <v>0.00920779990089266</v>
      </c>
      <c r="K123" s="417" t="n">
        <v>0.0133740398216068</v>
      </c>
      <c r="L123" s="417"/>
      <c r="M123" s="417"/>
      <c r="N123" s="417" t="n">
        <v>0</v>
      </c>
      <c r="O123" s="76"/>
      <c r="P123" s="423" t="n">
        <f aca="false">SUM(E123:O123)</f>
        <v>100.150814316513</v>
      </c>
      <c r="Q123" s="99" t="n">
        <f aca="false">IF($P123=0,"",$C123*E123/$P123)</f>
        <v>-502.577910245739</v>
      </c>
      <c r="R123" s="100" t="n">
        <f aca="false">IF($P123=0,"",$C123*F123/$P123)</f>
        <v>-3821.86146952589</v>
      </c>
      <c r="S123" s="100" t="n">
        <f aca="false">IF($P123=0,"",$C123*G123/$P123)</f>
        <v>-283899.975083899</v>
      </c>
      <c r="T123" s="100" t="n">
        <f aca="false">IF($P123=0,"",$C123*H123/$P123)</f>
        <v>-5357.8132110375</v>
      </c>
      <c r="U123" s="100" t="n">
        <f aca="false">IF($P123=0,"",$C123*I123/$P123)</f>
        <v>-437.722242510388</v>
      </c>
      <c r="V123" s="100" t="n">
        <f aca="false">IF($P123=0,"",$C123*J123/$P123)</f>
        <v>-27.0380970355766</v>
      </c>
      <c r="W123" s="100" t="n">
        <f aca="false">IF($P123=0,"",$C123*K123/$P123)</f>
        <v>-39.2719857453912</v>
      </c>
      <c r="X123" s="100" t="n">
        <f aca="false">IF($P123=0,"",$C123*L123/$P123)</f>
        <v>-0</v>
      </c>
      <c r="Y123" s="100" t="n">
        <f aca="false">IF($P123=0,"",$C123*M123/$P123)</f>
        <v>-0</v>
      </c>
      <c r="Z123" s="100" t="n">
        <f aca="false">IF($P123=0,"",$C123*N123/$P123)</f>
        <v>-0</v>
      </c>
      <c r="AA123" s="100" t="n">
        <f aca="false">IF($P123=0,"",$C123*O123/$P123)</f>
        <v>-0</v>
      </c>
      <c r="AB123" s="101" t="n">
        <f aca="false">SUM(Q123:AA123)</f>
        <v>-294086.26</v>
      </c>
      <c r="AC123" s="424"/>
      <c r="AD123" s="425"/>
      <c r="AE123" s="100" t="n">
        <f aca="false">IF($P123=0,"",S123*AE$159/$BP123/1000)</f>
        <v>-286413.211047011</v>
      </c>
      <c r="AF123" s="100" t="n">
        <f aca="false">IF($P123=0,"",T123*AF$159/$BP123/1000)</f>
        <v>-9471.52416241185</v>
      </c>
      <c r="AG123" s="100" t="n">
        <f aca="false">IF($P123=0,"",U123*AG$159/$BP123/1000)</f>
        <v>-1100.1331820985</v>
      </c>
      <c r="AH123" s="100" t="n">
        <f aca="false">IF($P123=0,"",V123*AH$159/$BP123/1000)</f>
        <v>-87.8280879978683</v>
      </c>
      <c r="AI123" s="100" t="n">
        <f aca="false">IF($P123=0,"",W123*AI$159/$BP123/1000)</f>
        <v>-127.976797414689</v>
      </c>
      <c r="AJ123" s="100" t="n">
        <f aca="false">IF($P123=0,"",X123*AJ$159/$BP123/1000)</f>
        <v>-0</v>
      </c>
      <c r="AK123" s="100" t="n">
        <f aca="false">IF($P123=0,"",Y123*AK$159/$BP123/1000)</f>
        <v>-0</v>
      </c>
      <c r="AL123" s="100" t="n">
        <f aca="false">IF($P123=0,"",Z123*AL$159/$BP123/1000)</f>
        <v>-0</v>
      </c>
      <c r="AM123" s="100" t="n">
        <f aca="false">IF($P123=0,"",AA123*AM$159/$BP123/1000)</f>
        <v>-0</v>
      </c>
      <c r="AN123" s="100" t="n">
        <f aca="false">SUM(AC123:AM123)</f>
        <v>-297200.673276934</v>
      </c>
      <c r="AO123" s="100" t="n">
        <f aca="false">D123-AN123</f>
        <v>-914.566723066091</v>
      </c>
      <c r="AP123" s="426" t="n">
        <f aca="false">IF(D123=0,0,AO123/D123)</f>
        <v>0.00306782948455131</v>
      </c>
      <c r="AQ123" s="427" t="n">
        <f aca="false">IF(AB123=0,0,AN123/AB123)*1000</f>
        <v>1010.59013527845</v>
      </c>
      <c r="AR123" s="428" t="n">
        <f aca="false">IF(C123=0,0,D123/C123)*1000</f>
        <v>1013.69999400856</v>
      </c>
      <c r="AS123" s="429" t="n">
        <f aca="false">IF($P123=0,"",Q123*1000/AS$159*$AD$159/14.696/$BP123/42)</f>
        <v>-203.469243896122</v>
      </c>
      <c r="AT123" s="100" t="n">
        <f aca="false">IF($P123=0,"",R123*1000/AT$159*$AD$159/14.696/$BP123/42)</f>
        <v>-997.462961987673</v>
      </c>
      <c r="AU123" s="100" t="n">
        <f aca="false">IF($P123=0,"",S123*1000/AU$159*$AD$159/14.696/$BP123/42)</f>
        <v>-114175.362059245</v>
      </c>
      <c r="AV123" s="100" t="n">
        <f aca="false">IF($P123=0,"",T123*1000/AV$159*$AD$159/14.696/$BP123/42)</f>
        <v>-3399.13938420618</v>
      </c>
      <c r="AW123" s="100" t="n">
        <f aca="false">IF($P123=0,"",U123*1000/AW$159*$AD$159/14.696/$BP123/42)</f>
        <v>-286.073942785045</v>
      </c>
      <c r="AX123" s="100" t="n">
        <f aca="false">IF($P123=0,"",V123*1000/AX$159*$AD$159/14.696/$BP123/42)</f>
        <v>-20.9895709760401</v>
      </c>
      <c r="AY123" s="100" t="n">
        <f aca="false">IF($P123=0,"",W123*1000/AY$159*$AD$159/14.696/$BP123/42)</f>
        <v>-29.3707989622743</v>
      </c>
      <c r="AZ123" s="100" t="n">
        <f aca="false">IF($P123=0,"",X123*1000/AZ$159*$AD$159/14.696/$BP123/42)</f>
        <v>-0</v>
      </c>
      <c r="BA123" s="100" t="n">
        <f aca="false">IF($P123=0,"",Y123*1000/BA$159*$AD$159/14.696/$BP123/42)</f>
        <v>-0</v>
      </c>
      <c r="BB123" s="100" t="n">
        <f aca="false">IF($P123=0,"",Z123*1000/BB$159*$AD$159/14.696/$BP123/42)</f>
        <v>-0</v>
      </c>
      <c r="BC123" s="100" t="n">
        <f aca="false">IF($P123=0,"",AA123*1000/BC$159*$AD$159/14.696/$BP123/42)</f>
        <v>-0</v>
      </c>
      <c r="BD123" s="430" t="n">
        <f aca="false">SUM(AS123:BC123)</f>
        <v>-119111.867962058</v>
      </c>
      <c r="BE123" s="424" t="n">
        <f aca="false">IF($P123=0,"",E123/$P123*BE$159)</f>
        <v>3.33244717036148E-005</v>
      </c>
      <c r="BF123" s="425" t="n">
        <f aca="false">IF($P123=0,"",F123/$P123*BF$159)</f>
        <v>5.74410640446257E-005</v>
      </c>
      <c r="BG123" s="425" t="n">
        <f aca="false">IF($P123=0,"",G123/$P123*BG$159)</f>
        <v>0.0111982100454922</v>
      </c>
      <c r="BH123" s="425" t="n">
        <f aca="false">IF($P123=0,"",H123/$P123*BH$159)</f>
        <v>0.000433600517149943</v>
      </c>
      <c r="BI123" s="425" t="n">
        <f aca="false">IF($P123=0,"",I123/$P123*BI$159)</f>
        <v>5.16479818374054E-005</v>
      </c>
      <c r="BJ123" s="425" t="n">
        <f aca="false">IF($P123=0,"",J123/$P123*BJ$159)</f>
        <v>4.05452495219916E-006</v>
      </c>
      <c r="BK123" s="425" t="n">
        <f aca="false">IF($P123=0,"",K123/$P123*BK$159)</f>
        <v>6.27633310727738E-006</v>
      </c>
      <c r="BL123" s="425" t="n">
        <f aca="false">IF($P123=0,"",L123/$P123*BL$159)</f>
        <v>0</v>
      </c>
      <c r="BM123" s="425" t="n">
        <f aca="false">IF($P123=0,"",M123/$P123*BM$159)</f>
        <v>0</v>
      </c>
      <c r="BN123" s="425" t="n">
        <f aca="false">IF($P123=0,"",N123/$P123*BN$159)</f>
        <v>0</v>
      </c>
      <c r="BO123" s="425" t="n">
        <f aca="false">IF($P123=0,"",O123/$P123*BO$159)</f>
        <v>0</v>
      </c>
      <c r="BP123" s="423" t="n">
        <f aca="false">1-AD$159*(SUM(BE123:BO123))^2</f>
        <v>0.99796547048088</v>
      </c>
    </row>
    <row r="124" customFormat="false" ht="15" hidden="false" customHeight="false" outlineLevel="0" collapsed="false">
      <c r="A124" s="413" t="s">
        <v>354</v>
      </c>
      <c r="B124" s="414" t="s">
        <v>355</v>
      </c>
      <c r="C124" s="415" t="n">
        <v>14056.53</v>
      </c>
      <c r="D124" s="416" t="n">
        <v>14112.76</v>
      </c>
      <c r="E124" s="417" t="n">
        <v>0</v>
      </c>
      <c r="F124" s="417" t="n">
        <v>1.099</v>
      </c>
      <c r="G124" s="417" t="n">
        <v>98.081</v>
      </c>
      <c r="H124" s="417" t="n">
        <v>0.775</v>
      </c>
      <c r="I124" s="417" t="n">
        <v>0.045</v>
      </c>
      <c r="J124" s="417" t="n">
        <v>0</v>
      </c>
      <c r="K124" s="417" t="n">
        <v>0</v>
      </c>
      <c r="L124" s="417" t="n">
        <v>0</v>
      </c>
      <c r="M124" s="417" t="n">
        <v>0</v>
      </c>
      <c r="N124" s="417" t="n">
        <v>0</v>
      </c>
      <c r="O124" s="76"/>
      <c r="P124" s="423" t="n">
        <f aca="false">SUM(E124:O124)</f>
        <v>100</v>
      </c>
      <c r="Q124" s="99" t="n">
        <f aca="false">IF($P124=0,"",$C124*E124/$P124)</f>
        <v>0</v>
      </c>
      <c r="R124" s="100" t="n">
        <f aca="false">IF($P124=0,"",$C124*F124/$P124)</f>
        <v>154.4812647</v>
      </c>
      <c r="S124" s="100" t="n">
        <f aca="false">IF($P124=0,"",$C124*G124/$P124)</f>
        <v>13786.7851893</v>
      </c>
      <c r="T124" s="100" t="n">
        <f aca="false">IF($P124=0,"",$C124*H124/$P124)</f>
        <v>108.9381075</v>
      </c>
      <c r="U124" s="100" t="n">
        <f aca="false">IF($P124=0,"",$C124*I124/$P124)</f>
        <v>6.3254385</v>
      </c>
      <c r="V124" s="100" t="n">
        <f aca="false">IF($P124=0,"",$C124*J124/$P124)</f>
        <v>0</v>
      </c>
      <c r="W124" s="100" t="n">
        <f aca="false">IF($P124=0,"",$C124*K124/$P124)</f>
        <v>0</v>
      </c>
      <c r="X124" s="100" t="n">
        <f aca="false">IF($P124=0,"",$C124*L124/$P124)</f>
        <v>0</v>
      </c>
      <c r="Y124" s="100" t="n">
        <f aca="false">IF($P124=0,"",$C124*M124/$P124)</f>
        <v>0</v>
      </c>
      <c r="Z124" s="100" t="n">
        <f aca="false">IF($P124=0,"",$C124*N124/$P124)</f>
        <v>0</v>
      </c>
      <c r="AA124" s="100" t="n">
        <f aca="false">IF($P124=0,"",$C124*O124/$P124)</f>
        <v>0</v>
      </c>
      <c r="AB124" s="101" t="n">
        <f aca="false">SUM(Q124:AA124)</f>
        <v>14056.53</v>
      </c>
      <c r="AC124" s="424"/>
      <c r="AD124" s="425"/>
      <c r="AE124" s="100" t="n">
        <f aca="false">IF($P124=0,"",S124*AE$159/$BP124/1000)</f>
        <v>13908.0755897084</v>
      </c>
      <c r="AF124" s="100" t="n">
        <f aca="false">IF($P124=0,"",T124*AF$159/$BP124/1000)</f>
        <v>192.569929161576</v>
      </c>
      <c r="AG124" s="100" t="n">
        <f aca="false">IF($P124=0,"",U124*AG$159/$BP124/1000)</f>
        <v>15.8969433898855</v>
      </c>
      <c r="AH124" s="100" t="n">
        <f aca="false">IF($P124=0,"",V124*AH$159/$BP124/1000)</f>
        <v>0</v>
      </c>
      <c r="AI124" s="100" t="n">
        <f aca="false">IF($P124=0,"",W124*AI$159/$BP124/1000)</f>
        <v>0</v>
      </c>
      <c r="AJ124" s="100" t="n">
        <f aca="false">IF($P124=0,"",X124*AJ$159/$BP124/1000)</f>
        <v>0</v>
      </c>
      <c r="AK124" s="100" t="n">
        <f aca="false">IF($P124=0,"",Y124*AK$159/$BP124/1000)</f>
        <v>0</v>
      </c>
      <c r="AL124" s="100" t="n">
        <f aca="false">IF($P124=0,"",Z124*AL$159/$BP124/1000)</f>
        <v>0</v>
      </c>
      <c r="AM124" s="100" t="n">
        <f aca="false">IF($P124=0,"",AA124*AM$159/$BP124/1000)</f>
        <v>0</v>
      </c>
      <c r="AN124" s="100" t="n">
        <f aca="false">SUM(AC124:AM124)</f>
        <v>14116.5424622598</v>
      </c>
      <c r="AO124" s="100" t="n">
        <f aca="false">D124-AN124</f>
        <v>-3.78246225984549</v>
      </c>
      <c r="AP124" s="426" t="n">
        <f aca="false">IF(D124=0,0,AO124/D124)</f>
        <v>-0.000268017188689207</v>
      </c>
      <c r="AQ124" s="427" t="n">
        <f aca="false">IF(AB124=0,0,AN124/AB124)*1000</f>
        <v>1004.26936535972</v>
      </c>
      <c r="AR124" s="428" t="n">
        <f aca="false">IF(C124=0,0,D124/C124)*1000</f>
        <v>1004.00027602829</v>
      </c>
      <c r="AS124" s="429" t="n">
        <f aca="false">IF($P124=0,"",Q124*1000/AS$159*$AD$159/14.696/$BP124/42)</f>
        <v>0</v>
      </c>
      <c r="AT124" s="100" t="n">
        <f aca="false">IF($P124=0,"",R124*1000/AT$159*$AD$159/14.696/$BP124/42)</f>
        <v>40.3156805171321</v>
      </c>
      <c r="AU124" s="100" t="n">
        <f aca="false">IF($P124=0,"",S124*1000/AU$159*$AD$159/14.696/$BP124/42)</f>
        <v>5544.29581022944</v>
      </c>
      <c r="AV124" s="100" t="n">
        <f aca="false">IF($P124=0,"",T124*1000/AV$159*$AD$159/14.696/$BP124/42)</f>
        <v>69.1094716333622</v>
      </c>
      <c r="AW124" s="100" t="n">
        <f aca="false">IF($P124=0,"",U124*1000/AW$159*$AD$159/14.696/$BP124/42)</f>
        <v>4.1337733901458</v>
      </c>
      <c r="AX124" s="100" t="n">
        <f aca="false">IF($P124=0,"",V124*1000/AX$159*$AD$159/14.696/$BP124/42)</f>
        <v>0</v>
      </c>
      <c r="AY124" s="100" t="n">
        <f aca="false">IF($P124=0,"",W124*1000/AY$159*$AD$159/14.696/$BP124/42)</f>
        <v>0</v>
      </c>
      <c r="AZ124" s="100" t="n">
        <f aca="false">IF($P124=0,"",X124*1000/AZ$159*$AD$159/14.696/$BP124/42)</f>
        <v>0</v>
      </c>
      <c r="BA124" s="100" t="n">
        <f aca="false">IF($P124=0,"",Y124*1000/BA$159*$AD$159/14.696/$BP124/42)</f>
        <v>0</v>
      </c>
      <c r="BB124" s="100" t="n">
        <f aca="false">IF($P124=0,"",Z124*1000/BB$159*$AD$159/14.696/$BP124/42)</f>
        <v>0</v>
      </c>
      <c r="BC124" s="100" t="n">
        <f aca="false">IF($P124=0,"",AA124*1000/BC$159*$AD$159/14.696/$BP124/42)</f>
        <v>0</v>
      </c>
      <c r="BD124" s="430" t="n">
        <f aca="false">SUM(AS124:BC124)</f>
        <v>5657.85473577008</v>
      </c>
      <c r="BE124" s="424" t="n">
        <f aca="false">IF($P124=0,"",E124/$P124*BE$159)</f>
        <v>0</v>
      </c>
      <c r="BF124" s="425" t="n">
        <f aca="false">IF($P124=0,"",F124/$P124*BF$159)</f>
        <v>4.85758E-005</v>
      </c>
      <c r="BG124" s="425" t="n">
        <f aca="false">IF($P124=0,"",G124/$P124*BG$159)</f>
        <v>0.011377396</v>
      </c>
      <c r="BH124" s="425" t="n">
        <f aca="false">IF($P124=0,"",H124/$P124*BH$159)</f>
        <v>0.00018445</v>
      </c>
      <c r="BI124" s="425" t="n">
        <f aca="false">IF($P124=0,"",I124/$P124*BI$159)</f>
        <v>1.5615E-005</v>
      </c>
      <c r="BJ124" s="425" t="n">
        <f aca="false">IF($P124=0,"",J124/$P124*BJ$159)</f>
        <v>0</v>
      </c>
      <c r="BK124" s="425" t="n">
        <f aca="false">IF($P124=0,"",K124/$P124*BK$159)</f>
        <v>0</v>
      </c>
      <c r="BL124" s="425" t="n">
        <f aca="false">IF($P124=0,"",L124/$P124*BL$159)</f>
        <v>0</v>
      </c>
      <c r="BM124" s="425" t="n">
        <f aca="false">IF($P124=0,"",M124/$P124*BM$159)</f>
        <v>0</v>
      </c>
      <c r="BN124" s="425" t="n">
        <f aca="false">IF($P124=0,"",N124/$P124*BN$159)</f>
        <v>0</v>
      </c>
      <c r="BO124" s="425" t="n">
        <f aca="false">IF($P124=0,"",O124/$P124*BO$159)</f>
        <v>0</v>
      </c>
      <c r="BP124" s="423" t="n">
        <f aca="false">1-AD$159*(SUM(BE124:BO124))^2</f>
        <v>0.998019836680962</v>
      </c>
    </row>
    <row r="125" customFormat="false" ht="15" hidden="false" customHeight="false" outlineLevel="0" collapsed="false">
      <c r="A125" s="413" t="s">
        <v>356</v>
      </c>
      <c r="B125" s="414" t="s">
        <v>357</v>
      </c>
      <c r="C125" s="415" t="n">
        <v>280029.73</v>
      </c>
      <c r="D125" s="416" t="n">
        <v>284002.48</v>
      </c>
      <c r="E125" s="417" t="n">
        <v>0.181996885927643</v>
      </c>
      <c r="F125" s="417" t="n">
        <v>1.31436416546868</v>
      </c>
      <c r="G125" s="417" t="n">
        <v>96.5932343790326</v>
      </c>
      <c r="H125" s="417" t="n">
        <v>1.89110234798135</v>
      </c>
      <c r="I125" s="417" t="n">
        <v>0.155659662179268</v>
      </c>
      <c r="J125" s="417" t="n">
        <v>0.00979121716566949</v>
      </c>
      <c r="K125" s="417" t="n">
        <v>0.0142214350534451</v>
      </c>
      <c r="L125" s="417" t="n">
        <v>0</v>
      </c>
      <c r="M125" s="417" t="n">
        <v>0</v>
      </c>
      <c r="N125" s="417" t="n">
        <v>0</v>
      </c>
      <c r="O125" s="76"/>
      <c r="P125" s="418" t="n">
        <f aca="false">SUM(E125:O125)</f>
        <v>100.160370092809</v>
      </c>
      <c r="Q125" s="14" t="n">
        <f aca="false">IF($P125=0,"",$C125*E125/$P125)</f>
        <v>508.829378125649</v>
      </c>
      <c r="R125" s="15" t="n">
        <f aca="false">IF($P125=0,"",$C125*F125/$P125)</f>
        <v>3674.71727627228</v>
      </c>
      <c r="S125" s="15" t="n">
        <f aca="false">IF($P125=0,"",$C125*G125/$P125)</f>
        <v>270056.683276266</v>
      </c>
      <c r="T125" s="15" t="n">
        <f aca="false">IF($P125=0,"",$C125*H125/$P125)</f>
        <v>5287.16976002473</v>
      </c>
      <c r="U125" s="15" t="n">
        <f aca="false">IF($P125=0,"",$C125*I125/$P125)</f>
        <v>435.195408439104</v>
      </c>
      <c r="V125" s="15" t="n">
        <f aca="false">IF($P125=0,"",$C125*J125/$P125)</f>
        <v>27.3744186122037</v>
      </c>
      <c r="W125" s="15" t="n">
        <f aca="false">IF($P125=0,"",$C125*K125/$P125)</f>
        <v>39.7604822599862</v>
      </c>
      <c r="X125" s="15" t="n">
        <f aca="false">IF($P125=0,"",$C125*L125/$P125)</f>
        <v>0</v>
      </c>
      <c r="Y125" s="15" t="n">
        <f aca="false">IF($P125=0,"",$C125*M125/$P125)</f>
        <v>0</v>
      </c>
      <c r="Z125" s="15" t="n">
        <f aca="false">IF($P125=0,"",$C125*N125/$P125)</f>
        <v>0</v>
      </c>
      <c r="AA125" s="15" t="n">
        <f aca="false">IF($P125=0,"",$C125*O125/$P125)</f>
        <v>0</v>
      </c>
      <c r="AB125" s="16" t="n">
        <f aca="false">SUM(Q125:AA125)</f>
        <v>280029.73</v>
      </c>
      <c r="AC125" s="419"/>
      <c r="AD125" s="420"/>
      <c r="AE125" s="15" t="n">
        <f aca="false">IF($P125=0,"",S125*AE$159/$BP125/1000)</f>
        <v>272448.31661329</v>
      </c>
      <c r="AF125" s="15" t="n">
        <f aca="false">IF($P125=0,"",T125*AF$159/$BP125/1000)</f>
        <v>9346.67334990871</v>
      </c>
      <c r="AG125" s="15" t="n">
        <f aca="false">IF($P125=0,"",U125*AG$159/$BP125/1000)</f>
        <v>1093.78625268983</v>
      </c>
      <c r="AH125" s="15" t="n">
        <f aca="false">IF($P125=0,"",V125*AH$159/$BP125/1000)</f>
        <v>88.920872973836</v>
      </c>
      <c r="AI125" s="15" t="n">
        <f aca="false">IF($P125=0,"",W125*AI$159/$BP125/1000)</f>
        <v>129.569125389432</v>
      </c>
      <c r="AJ125" s="15" t="n">
        <f aca="false">IF($P125=0,"",X125*AJ$159/$BP125/1000)</f>
        <v>0</v>
      </c>
      <c r="AK125" s="15" t="n">
        <f aca="false">IF($P125=0,"",Y125*AK$159/$BP125/1000)</f>
        <v>0</v>
      </c>
      <c r="AL125" s="15" t="n">
        <f aca="false">IF($P125=0,"",Z125*AL$159/$BP125/1000)</f>
        <v>0</v>
      </c>
      <c r="AM125" s="15" t="n">
        <f aca="false">IF($P125=0,"",AA125*AM$159/$BP125/1000)</f>
        <v>0</v>
      </c>
      <c r="AN125" s="15" t="n">
        <f aca="false">SUM(AC125:AM125)</f>
        <v>283107.266214252</v>
      </c>
      <c r="AO125" s="15" t="n">
        <f aca="false">D125-AN125</f>
        <v>895.213785747648</v>
      </c>
      <c r="AP125" s="421" t="n">
        <f aca="false">IF(D125=0,0,AO125/D125)</f>
        <v>0.00315213369174681</v>
      </c>
      <c r="AQ125" s="75" t="n">
        <f aca="false">IF(AB125=0,0,AN125/AB125)*1000</f>
        <v>1010.99003385909</v>
      </c>
      <c r="AR125" s="340" t="n">
        <f aca="false">IF(C125=0,0,D125/C125)*1000</f>
        <v>1014.1868865138</v>
      </c>
      <c r="AS125" s="422" t="n">
        <f aca="false">IF($P125=0,"",Q125*1000/AS$159*$AD$159/14.696/$BP125/42)</f>
        <v>206.000872875755</v>
      </c>
      <c r="AT125" s="15" t="n">
        <f aca="false">IF($P125=0,"",R125*1000/AT$159*$AD$159/14.696/$BP125/42)</f>
        <v>959.063307439842</v>
      </c>
      <c r="AU125" s="15" t="n">
        <f aca="false">IF($P125=0,"",S125*1000/AU$159*$AD$159/14.696/$BP125/42)</f>
        <v>108608.416064469</v>
      </c>
      <c r="AV125" s="15" t="n">
        <f aca="false">IF($P125=0,"",T125*1000/AV$159*$AD$159/14.696/$BP125/42)</f>
        <v>3354.33294052801</v>
      </c>
      <c r="AW125" s="15" t="n">
        <f aca="false">IF($P125=0,"",U125*1000/AW$159*$AD$159/14.696/$BP125/42)</f>
        <v>284.42351431869</v>
      </c>
      <c r="AX125" s="15" t="n">
        <f aca="false">IF($P125=0,"",V125*1000/AX$159*$AD$159/14.696/$BP125/42)</f>
        <v>21.2507298870161</v>
      </c>
      <c r="AY125" s="15" t="n">
        <f aca="false">IF($P125=0,"",W125*1000/AY$159*$AD$159/14.696/$BP125/42)</f>
        <v>29.7362397747728</v>
      </c>
      <c r="AZ125" s="15" t="n">
        <f aca="false">IF($P125=0,"",X125*1000/AZ$159*$AD$159/14.696/$BP125/42)</f>
        <v>0</v>
      </c>
      <c r="BA125" s="15" t="n">
        <f aca="false">IF($P125=0,"",Y125*1000/BA$159*$AD$159/14.696/$BP125/42)</f>
        <v>0</v>
      </c>
      <c r="BB125" s="15" t="n">
        <f aca="false">IF($P125=0,"",Z125*1000/BB$159*$AD$159/14.696/$BP125/42)</f>
        <v>0</v>
      </c>
      <c r="BC125" s="15" t="n">
        <f aca="false">IF($P125=0,"",AA125*1000/BC$159*$AD$159/14.696/$BP125/42)</f>
        <v>0</v>
      </c>
      <c r="BD125" s="55" t="n">
        <f aca="false">SUM(AS125:BC125)</f>
        <v>113463.223669293</v>
      </c>
      <c r="BE125" s="419" t="n">
        <f aca="false">IF($P125=0,"",E125/$P125*BE$159)</f>
        <v>3.54325695112807E-005</v>
      </c>
      <c r="BF125" s="420" t="n">
        <f aca="false">IF($P125=0,"",F125/$P125*BF$159)</f>
        <v>5.80018784474188E-005</v>
      </c>
      <c r="BG125" s="420" t="n">
        <f aca="false">IF($P125=0,"",G125/$P125*BG$159)</f>
        <v>0.0111868747864903</v>
      </c>
      <c r="BH125" s="420" t="n">
        <f aca="false">IF($P125=0,"",H125/$P125*BH$159)</f>
        <v>0.000449361717016935</v>
      </c>
      <c r="BI125" s="420" t="n">
        <f aca="false">IF($P125=0,"",I125/$P125*BI$159)</f>
        <v>5.39274193237871E-005</v>
      </c>
      <c r="BJ125" s="420" t="n">
        <f aca="false">IF($P125=0,"",J125/$P125*BJ$159)</f>
        <v>4.31101319419971E-006</v>
      </c>
      <c r="BK125" s="420" t="n">
        <f aca="false">IF($P125=0,"",K125/$P125*BK$159)</f>
        <v>6.6733723816373E-006</v>
      </c>
      <c r="BL125" s="420" t="n">
        <f aca="false">IF($P125=0,"",L125/$P125*BL$159)</f>
        <v>0</v>
      </c>
      <c r="BM125" s="420" t="n">
        <f aca="false">IF($P125=0,"",M125/$P125*BM$159)</f>
        <v>0</v>
      </c>
      <c r="BN125" s="420" t="n">
        <f aca="false">IF($P125=0,"",N125/$P125*BN$159)</f>
        <v>0</v>
      </c>
      <c r="BO125" s="420" t="n">
        <f aca="false">IF($P125=0,"",O125/$P125*BO$159)</f>
        <v>0</v>
      </c>
      <c r="BP125" s="418" t="n">
        <f aca="false">1-AD$159*(SUM(BE125:BO125))^2</f>
        <v>0.997962006527887</v>
      </c>
    </row>
    <row r="126" customFormat="false" ht="15" hidden="false" customHeight="false" outlineLevel="0" collapsed="false">
      <c r="A126" s="413"/>
      <c r="B126" s="414"/>
      <c r="C126" s="415"/>
      <c r="D126" s="416"/>
      <c r="E126" s="417"/>
      <c r="F126" s="417"/>
      <c r="G126" s="417"/>
      <c r="H126" s="417"/>
      <c r="I126" s="417"/>
      <c r="J126" s="417"/>
      <c r="K126" s="417"/>
      <c r="L126" s="417"/>
      <c r="M126" s="417"/>
      <c r="N126" s="417"/>
      <c r="O126" s="76"/>
      <c r="P126" s="423" t="n">
        <f aca="false">SUM(E126:O126)</f>
        <v>0</v>
      </c>
      <c r="Q126" s="99" t="str">
        <f aca="false">IF($P126=0,"",$C126*E126/$P126)</f>
        <v/>
      </c>
      <c r="R126" s="100" t="str">
        <f aca="false">IF($P126=0,"",$C126*F126/$P126)</f>
        <v/>
      </c>
      <c r="S126" s="100" t="str">
        <f aca="false">IF($P126=0,"",$C126*G126/$P126)</f>
        <v/>
      </c>
      <c r="T126" s="100" t="str">
        <f aca="false">IF($P126=0,"",$C126*H126/$P126)</f>
        <v/>
      </c>
      <c r="U126" s="100" t="str">
        <f aca="false">IF($P126=0,"",$C126*I126/$P126)</f>
        <v/>
      </c>
      <c r="V126" s="100" t="str">
        <f aca="false">IF($P126=0,"",$C126*J126/$P126)</f>
        <v/>
      </c>
      <c r="W126" s="100" t="str">
        <f aca="false">IF($P126=0,"",$C126*K126/$P126)</f>
        <v/>
      </c>
      <c r="X126" s="100" t="str">
        <f aca="false">IF($P126=0,"",$C126*L126/$P126)</f>
        <v/>
      </c>
      <c r="Y126" s="100" t="str">
        <f aca="false">IF($P126=0,"",$C126*M126/$P126)</f>
        <v/>
      </c>
      <c r="Z126" s="100" t="str">
        <f aca="false">IF($P126=0,"",$C126*N126/$P126)</f>
        <v/>
      </c>
      <c r="AA126" s="100" t="str">
        <f aca="false">IF($P126=0,"",$C126*O126/$P126)</f>
        <v/>
      </c>
      <c r="AB126" s="101" t="n">
        <f aca="false">SUM(Q126:AA126)</f>
        <v>0</v>
      </c>
      <c r="AC126" s="424"/>
      <c r="AD126" s="425"/>
      <c r="AE126" s="100" t="str">
        <f aca="false">IF($P126=0,"",S126*AE$159/$BP126/1000)</f>
        <v/>
      </c>
      <c r="AF126" s="100" t="str">
        <f aca="false">IF($P126=0,"",T126*AF$159/$BP126/1000)</f>
        <v/>
      </c>
      <c r="AG126" s="100" t="str">
        <f aca="false">IF($P126=0,"",U126*AG$159/$BP126/1000)</f>
        <v/>
      </c>
      <c r="AH126" s="100" t="str">
        <f aca="false">IF($P126=0,"",V126*AH$159/$BP126/1000)</f>
        <v/>
      </c>
      <c r="AI126" s="100" t="str">
        <f aca="false">IF($P126=0,"",W126*AI$159/$BP126/1000)</f>
        <v/>
      </c>
      <c r="AJ126" s="100" t="str">
        <f aca="false">IF($P126=0,"",X126*AJ$159/$BP126/1000)</f>
        <v/>
      </c>
      <c r="AK126" s="100" t="str">
        <f aca="false">IF($P126=0,"",Y126*AK$159/$BP126/1000)</f>
        <v/>
      </c>
      <c r="AL126" s="100" t="str">
        <f aca="false">IF($P126=0,"",Z126*AL$159/$BP126/1000)</f>
        <v/>
      </c>
      <c r="AM126" s="100" t="str">
        <f aca="false">IF($P126=0,"",AA126*AM$159/$BP126/1000)</f>
        <v/>
      </c>
      <c r="AN126" s="100" t="n">
        <f aca="false">SUM(AC126:AM126)</f>
        <v>0</v>
      </c>
      <c r="AO126" s="100" t="n">
        <f aca="false">D126-AN126</f>
        <v>0</v>
      </c>
      <c r="AP126" s="426" t="n">
        <f aca="false">IF(D126=0,0,AO126/D126)</f>
        <v>0</v>
      </c>
      <c r="AQ126" s="427" t="n">
        <f aca="false">IF(AB126=0,0,AN126/AB126)*1000</f>
        <v>0</v>
      </c>
      <c r="AR126" s="428" t="n">
        <f aca="false">IF(C126=0,0,D126/C126)*1000</f>
        <v>0</v>
      </c>
      <c r="AS126" s="429" t="str">
        <f aca="false">IF($P126=0,"",Q126*1000/AS$159*$AD$159/14.696/$BP126/42)</f>
        <v/>
      </c>
      <c r="AT126" s="100" t="str">
        <f aca="false">IF($P126=0,"",R126*1000/AT$159*$AD$159/14.696/$BP126/42)</f>
        <v/>
      </c>
      <c r="AU126" s="100" t="str">
        <f aca="false">IF($P126=0,"",S126*1000/AU$159*$AD$159/14.696/$BP126/42)</f>
        <v/>
      </c>
      <c r="AV126" s="100" t="str">
        <f aca="false">IF($P126=0,"",T126*1000/AV$159*$AD$159/14.696/$BP126/42)</f>
        <v/>
      </c>
      <c r="AW126" s="100" t="str">
        <f aca="false">IF($P126=0,"",U126*1000/AW$159*$AD$159/14.696/$BP126/42)</f>
        <v/>
      </c>
      <c r="AX126" s="100" t="str">
        <f aca="false">IF($P126=0,"",V126*1000/AX$159*$AD$159/14.696/$BP126/42)</f>
        <v/>
      </c>
      <c r="AY126" s="100" t="str">
        <f aca="false">IF($P126=0,"",W126*1000/AY$159*$AD$159/14.696/$BP126/42)</f>
        <v/>
      </c>
      <c r="AZ126" s="100" t="str">
        <f aca="false">IF($P126=0,"",X126*1000/AZ$159*$AD$159/14.696/$BP126/42)</f>
        <v/>
      </c>
      <c r="BA126" s="100" t="str">
        <f aca="false">IF($P126=0,"",Y126*1000/BA$159*$AD$159/14.696/$BP126/42)</f>
        <v/>
      </c>
      <c r="BB126" s="100" t="str">
        <f aca="false">IF($P126=0,"",Z126*1000/BB$159*$AD$159/14.696/$BP126/42)</f>
        <v/>
      </c>
      <c r="BC126" s="100" t="str">
        <f aca="false">IF($P126=0,"",AA126*1000/BC$159*$AD$159/14.696/$BP126/42)</f>
        <v/>
      </c>
      <c r="BD126" s="430" t="n">
        <f aca="false">SUM(AS126:BC126)</f>
        <v>0</v>
      </c>
      <c r="BE126" s="424" t="str">
        <f aca="false">IF($P126=0,"",E126/$P126*BE$159)</f>
        <v/>
      </c>
      <c r="BF126" s="425" t="str">
        <f aca="false">IF($P126=0,"",F126/$P126*BF$159)</f>
        <v/>
      </c>
      <c r="BG126" s="425" t="str">
        <f aca="false">IF($P126=0,"",G126/$P126*BG$159)</f>
        <v/>
      </c>
      <c r="BH126" s="425" t="str">
        <f aca="false">IF($P126=0,"",H126/$P126*BH$159)</f>
        <v/>
      </c>
      <c r="BI126" s="425" t="str">
        <f aca="false">IF($P126=0,"",I126/$P126*BI$159)</f>
        <v/>
      </c>
      <c r="BJ126" s="425" t="str">
        <f aca="false">IF($P126=0,"",J126/$P126*BJ$159)</f>
        <v/>
      </c>
      <c r="BK126" s="425" t="str">
        <f aca="false">IF($P126=0,"",K126/$P126*BK$159)</f>
        <v/>
      </c>
      <c r="BL126" s="425" t="str">
        <f aca="false">IF($P126=0,"",L126/$P126*BL$159)</f>
        <v/>
      </c>
      <c r="BM126" s="425" t="str">
        <f aca="false">IF($P126=0,"",M126/$P126*BM$159)</f>
        <v/>
      </c>
      <c r="BN126" s="425" t="str">
        <f aca="false">IF($P126=0,"",N126/$P126*BN$159)</f>
        <v/>
      </c>
      <c r="BO126" s="425" t="str">
        <f aca="false">IF($P126=0,"",O126/$P126*BO$159)</f>
        <v/>
      </c>
      <c r="BP126" s="423" t="n">
        <f aca="false">1-AD$159*(SUM(BE126:BO126))^2</f>
        <v>1</v>
      </c>
    </row>
    <row r="127" customFormat="false" ht="15" hidden="false" customHeight="false" outlineLevel="0" collapsed="false">
      <c r="A127" s="449"/>
      <c r="B127" s="434"/>
      <c r="C127" s="450"/>
      <c r="D127" s="451"/>
      <c r="E127" s="452"/>
      <c r="F127" s="452"/>
      <c r="G127" s="452"/>
      <c r="H127" s="452"/>
      <c r="I127" s="452"/>
      <c r="J127" s="452"/>
      <c r="K127" s="452"/>
      <c r="L127" s="452"/>
      <c r="M127" s="452"/>
      <c r="N127" s="452"/>
      <c r="O127" s="453"/>
      <c r="P127" s="454" t="n">
        <f aca="false">SUM(E127:O127)</f>
        <v>0</v>
      </c>
      <c r="Q127" s="121" t="str">
        <f aca="false">IF($P127=0,"",$C127*E127/$P127)</f>
        <v/>
      </c>
      <c r="R127" s="122" t="str">
        <f aca="false">IF($P127=0,"",$C127*F127/$P127)</f>
        <v/>
      </c>
      <c r="S127" s="122" t="str">
        <f aca="false">IF($P127=0,"",$C127*G127/$P127)</f>
        <v/>
      </c>
      <c r="T127" s="122" t="str">
        <f aca="false">IF($P127=0,"",$C127*H127/$P127)</f>
        <v/>
      </c>
      <c r="U127" s="122" t="str">
        <f aca="false">IF($P127=0,"",$C127*I127/$P127)</f>
        <v/>
      </c>
      <c r="V127" s="122" t="str">
        <f aca="false">IF($P127=0,"",$C127*J127/$P127)</f>
        <v/>
      </c>
      <c r="W127" s="122" t="str">
        <f aca="false">IF($P127=0,"",$C127*K127/$P127)</f>
        <v/>
      </c>
      <c r="X127" s="122" t="str">
        <f aca="false">IF($P127=0,"",$C127*L127/$P127)</f>
        <v/>
      </c>
      <c r="Y127" s="122" t="str">
        <f aca="false">IF($P127=0,"",$C127*M127/$P127)</f>
        <v/>
      </c>
      <c r="Z127" s="122" t="str">
        <f aca="false">IF($P127=0,"",$C127*N127/$P127)</f>
        <v/>
      </c>
      <c r="AA127" s="122" t="str">
        <f aca="false">IF($P127=0,"",$C127*O127/$P127)</f>
        <v/>
      </c>
      <c r="AB127" s="124" t="n">
        <f aca="false">SUM(Q127:AA127)</f>
        <v>0</v>
      </c>
      <c r="AC127" s="455"/>
      <c r="AD127" s="456"/>
      <c r="AE127" s="122" t="str">
        <f aca="false">IF($P127=0,"",S127*AE$159/$BP127/1000)</f>
        <v/>
      </c>
      <c r="AF127" s="122" t="str">
        <f aca="false">IF($P127=0,"",T127*AF$159/$BP127/1000)</f>
        <v/>
      </c>
      <c r="AG127" s="122" t="str">
        <f aca="false">IF($P127=0,"",U127*AG$159/$BP127/1000)</f>
        <v/>
      </c>
      <c r="AH127" s="122" t="str">
        <f aca="false">IF($P127=0,"",V127*AH$159/$BP127/1000)</f>
        <v/>
      </c>
      <c r="AI127" s="122" t="str">
        <f aca="false">IF($P127=0,"",W127*AI$159/$BP127/1000)</f>
        <v/>
      </c>
      <c r="AJ127" s="122" t="str">
        <f aca="false">IF($P127=0,"",X127*AJ$159/$BP127/1000)</f>
        <v/>
      </c>
      <c r="AK127" s="122" t="str">
        <f aca="false">IF($P127=0,"",Y127*AK$159/$BP127/1000)</f>
        <v/>
      </c>
      <c r="AL127" s="122" t="str">
        <f aca="false">IF($P127=0,"",Z127*AL$159/$BP127/1000)</f>
        <v/>
      </c>
      <c r="AM127" s="122" t="str">
        <f aca="false">IF($P127=0,"",AA127*AM$159/$BP127/1000)</f>
        <v/>
      </c>
      <c r="AN127" s="122" t="n">
        <f aca="false">SUM(AC127:AM127)</f>
        <v>0</v>
      </c>
      <c r="AO127" s="122" t="n">
        <f aca="false">D127-AN127</f>
        <v>0</v>
      </c>
      <c r="AP127" s="457" t="n">
        <f aca="false">IF(D127=0,0,AO127/D127)</f>
        <v>0</v>
      </c>
      <c r="AQ127" s="291" t="n">
        <f aca="false">IF(AB127=0,0,AN127/AB127)*1000</f>
        <v>0</v>
      </c>
      <c r="AR127" s="458" t="n">
        <f aca="false">IF(C127=0,0,D127/C127)*1000</f>
        <v>0</v>
      </c>
      <c r="AS127" s="459" t="str">
        <f aca="false">IF($P127=0,"",Q127*1000/AS$159*$AD$159/14.696/$BP127/42)</f>
        <v/>
      </c>
      <c r="AT127" s="122" t="str">
        <f aca="false">IF($P127=0,"",R127*1000/AT$159*$AD$159/14.696/$BP127/42)</f>
        <v/>
      </c>
      <c r="AU127" s="122" t="str">
        <f aca="false">IF($P127=0,"",S127*1000/AU$159*$AD$159/14.696/$BP127/42)</f>
        <v/>
      </c>
      <c r="AV127" s="122" t="str">
        <f aca="false">IF($P127=0,"",T127*1000/AV$159*$AD$159/14.696/$BP127/42)</f>
        <v/>
      </c>
      <c r="AW127" s="122" t="str">
        <f aca="false">IF($P127=0,"",U127*1000/AW$159*$AD$159/14.696/$BP127/42)</f>
        <v/>
      </c>
      <c r="AX127" s="122" t="str">
        <f aca="false">IF($P127=0,"",V127*1000/AX$159*$AD$159/14.696/$BP127/42)</f>
        <v/>
      </c>
      <c r="AY127" s="122" t="str">
        <f aca="false">IF($P127=0,"",W127*1000/AY$159*$AD$159/14.696/$BP127/42)</f>
        <v/>
      </c>
      <c r="AZ127" s="122" t="str">
        <f aca="false">IF($P127=0,"",X127*1000/AZ$159*$AD$159/14.696/$BP127/42)</f>
        <v/>
      </c>
      <c r="BA127" s="122" t="str">
        <f aca="false">IF($P127=0,"",Y127*1000/BA$159*$AD$159/14.696/$BP127/42)</f>
        <v/>
      </c>
      <c r="BB127" s="122" t="str">
        <f aca="false">IF($P127=0,"",Z127*1000/BB$159*$AD$159/14.696/$BP127/42)</f>
        <v/>
      </c>
      <c r="BC127" s="122" t="str">
        <f aca="false">IF($P127=0,"",AA127*1000/BC$159*$AD$159/14.696/$BP127/42)</f>
        <v/>
      </c>
      <c r="BD127" s="460" t="n">
        <f aca="false">SUM(AS127:BC127)</f>
        <v>0</v>
      </c>
      <c r="BE127" s="455" t="str">
        <f aca="false">IF($P127=0,"",E127/$P127*BE$159)</f>
        <v/>
      </c>
      <c r="BF127" s="456" t="str">
        <f aca="false">IF($P127=0,"",F127/$P127*BF$159)</f>
        <v/>
      </c>
      <c r="BG127" s="456" t="str">
        <f aca="false">IF($P127=0,"",G127/$P127*BG$159)</f>
        <v/>
      </c>
      <c r="BH127" s="456" t="str">
        <f aca="false">IF($P127=0,"",H127/$P127*BH$159)</f>
        <v/>
      </c>
      <c r="BI127" s="456" t="str">
        <f aca="false">IF($P127=0,"",I127/$P127*BI$159)</f>
        <v/>
      </c>
      <c r="BJ127" s="456" t="str">
        <f aca="false">IF($P127=0,"",J127/$P127*BJ$159)</f>
        <v/>
      </c>
      <c r="BK127" s="456" t="str">
        <f aca="false">IF($P127=0,"",K127/$P127*BK$159)</f>
        <v/>
      </c>
      <c r="BL127" s="456" t="str">
        <f aca="false">IF($P127=0,"",L127/$P127*BL$159)</f>
        <v/>
      </c>
      <c r="BM127" s="456" t="str">
        <f aca="false">IF($P127=0,"",M127/$P127*BM$159)</f>
        <v/>
      </c>
      <c r="BN127" s="456" t="str">
        <f aca="false">IF($P127=0,"",N127/$P127*BN$159)</f>
        <v/>
      </c>
      <c r="BO127" s="456" t="str">
        <f aca="false">IF($P127=0,"",O127/$P127*BO$159)</f>
        <v/>
      </c>
      <c r="BP127" s="454" t="n">
        <f aca="false">1-AD$159*(SUM(BE127:BO127))^2</f>
        <v>1</v>
      </c>
    </row>
    <row r="128" customFormat="false" ht="15.75" hidden="false" customHeight="false" outlineLevel="0" collapsed="false">
      <c r="A128" s="449" t="s">
        <v>358</v>
      </c>
      <c r="B128" s="461" t="s">
        <v>175</v>
      </c>
      <c r="C128" s="450" t="n">
        <v>0</v>
      </c>
      <c r="D128" s="462"/>
      <c r="E128" s="452"/>
      <c r="F128" s="452"/>
      <c r="G128" s="452"/>
      <c r="H128" s="452"/>
      <c r="I128" s="452"/>
      <c r="J128" s="452"/>
      <c r="K128" s="452"/>
      <c r="L128" s="452"/>
      <c r="M128" s="452"/>
      <c r="N128" s="452"/>
      <c r="O128" s="453"/>
      <c r="P128" s="463"/>
      <c r="Q128" s="262"/>
      <c r="R128" s="263"/>
      <c r="S128" s="263"/>
      <c r="T128" s="263"/>
      <c r="U128" s="263"/>
      <c r="V128" s="263"/>
      <c r="W128" s="263"/>
      <c r="X128" s="263"/>
      <c r="Y128" s="263"/>
      <c r="Z128" s="263"/>
      <c r="AA128" s="263"/>
      <c r="AB128" s="464"/>
      <c r="AC128" s="465"/>
      <c r="AD128" s="466"/>
      <c r="AE128" s="263"/>
      <c r="AF128" s="263"/>
      <c r="AG128" s="263"/>
      <c r="AH128" s="263"/>
      <c r="AI128" s="263"/>
      <c r="AJ128" s="263"/>
      <c r="AK128" s="263"/>
      <c r="AL128" s="263"/>
      <c r="AM128" s="263"/>
      <c r="AN128" s="263"/>
      <c r="AO128" s="263"/>
      <c r="AP128" s="467"/>
      <c r="AQ128" s="468"/>
      <c r="AR128" s="469"/>
      <c r="AS128" s="470"/>
      <c r="AT128" s="263"/>
      <c r="AU128" s="263"/>
      <c r="AV128" s="263"/>
      <c r="AW128" s="263"/>
      <c r="AX128" s="263"/>
      <c r="AY128" s="263"/>
      <c r="AZ128" s="263"/>
      <c r="BA128" s="263"/>
      <c r="BB128" s="263"/>
      <c r="BC128" s="263"/>
      <c r="BD128" s="471"/>
      <c r="BE128" s="465"/>
      <c r="BF128" s="466"/>
      <c r="BG128" s="466"/>
      <c r="BH128" s="466"/>
      <c r="BI128" s="466"/>
      <c r="BJ128" s="466"/>
      <c r="BK128" s="466"/>
      <c r="BL128" s="466"/>
      <c r="BM128" s="466"/>
      <c r="BN128" s="466"/>
      <c r="BO128" s="466"/>
      <c r="BP128" s="463"/>
    </row>
    <row r="129" customFormat="false" ht="16.5" hidden="false" customHeight="false" outlineLevel="0" collapsed="false">
      <c r="A129" s="472" t="s">
        <v>359</v>
      </c>
      <c r="B129" s="473"/>
      <c r="C129" s="474" t="e">
        <f aca="false">#REF!-#REF!</f>
        <v>#REF!</v>
      </c>
      <c r="D129" s="475" t="e">
        <f aca="false">C129*D97/C97</f>
        <v>#REF!</v>
      </c>
      <c r="E129" s="476" t="n">
        <f aca="false">E97</f>
        <v>0.168</v>
      </c>
      <c r="F129" s="476" t="n">
        <f aca="false">F97</f>
        <v>2.117</v>
      </c>
      <c r="G129" s="476" t="n">
        <f aca="false">G97</f>
        <v>81.79</v>
      </c>
      <c r="H129" s="476" t="n">
        <f aca="false">H97</f>
        <v>10.687</v>
      </c>
      <c r="I129" s="476" t="n">
        <f aca="false">I97</f>
        <v>3.797</v>
      </c>
      <c r="J129" s="476" t="n">
        <f aca="false">J97</f>
        <v>0.438</v>
      </c>
      <c r="K129" s="476" t="n">
        <f aca="false">K97</f>
        <v>0.766</v>
      </c>
      <c r="L129" s="476" t="n">
        <f aca="false">L97</f>
        <v>0.103</v>
      </c>
      <c r="M129" s="476" t="n">
        <f aca="false">M97</f>
        <v>0.09</v>
      </c>
      <c r="N129" s="476" t="n">
        <f aca="false">N97</f>
        <v>0.044</v>
      </c>
      <c r="O129" s="476" t="n">
        <f aca="false">O97</f>
        <v>0</v>
      </c>
      <c r="P129" s="477" t="n">
        <f aca="false">SUM(E129:O129)</f>
        <v>100</v>
      </c>
      <c r="Q129" s="475" t="e">
        <f aca="false">$C129*E129/$P129</f>
        <v>#REF!</v>
      </c>
      <c r="R129" s="478" t="e">
        <f aca="false">$C129*F129/$P129</f>
        <v>#REF!</v>
      </c>
      <c r="S129" s="478" t="e">
        <f aca="false">$C129*G129/$P129</f>
        <v>#REF!</v>
      </c>
      <c r="T129" s="478" t="e">
        <f aca="false">$C129*H129/$P129</f>
        <v>#REF!</v>
      </c>
      <c r="U129" s="478" t="e">
        <f aca="false">$C129*I129/$P129</f>
        <v>#REF!</v>
      </c>
      <c r="V129" s="478" t="e">
        <f aca="false">$C129*J129/$P129</f>
        <v>#REF!</v>
      </c>
      <c r="W129" s="478" t="e">
        <f aca="false">$C129*K129/$P129</f>
        <v>#REF!</v>
      </c>
      <c r="X129" s="478" t="e">
        <f aca="false">$C129*L129/$P129</f>
        <v>#REF!</v>
      </c>
      <c r="Y129" s="478" t="e">
        <f aca="false">$C129*M129/$P129</f>
        <v>#REF!</v>
      </c>
      <c r="Z129" s="478" t="e">
        <f aca="false">$C129*N129/$P129</f>
        <v>#REF!</v>
      </c>
      <c r="AA129" s="478" t="e">
        <f aca="false">$C129*O129/$P129</f>
        <v>#REF!</v>
      </c>
      <c r="AB129" s="479" t="e">
        <f aca="false">SUM(Q129:AA129)</f>
        <v>#REF!</v>
      </c>
      <c r="AC129" s="480"/>
      <c r="AD129" s="481"/>
      <c r="AE129" s="478" t="e">
        <f aca="false">S129*AE$159/$BP129/1000</f>
        <v>#REF!</v>
      </c>
      <c r="AF129" s="478" t="e">
        <f aca="false">T129*AF$159/$BP129/1000</f>
        <v>#REF!</v>
      </c>
      <c r="AG129" s="478" t="e">
        <f aca="false">U129*AG$159/$BP129/1000</f>
        <v>#REF!</v>
      </c>
      <c r="AH129" s="478" t="e">
        <f aca="false">V129*AH$159/$BP129/1000</f>
        <v>#REF!</v>
      </c>
      <c r="AI129" s="478" t="e">
        <f aca="false">W129*AI$159/$BP129/1000</f>
        <v>#REF!</v>
      </c>
      <c r="AJ129" s="478" t="e">
        <f aca="false">X129*AJ$159/$BP129/1000</f>
        <v>#REF!</v>
      </c>
      <c r="AK129" s="478" t="e">
        <f aca="false">Y129*AK$159/$BP129/1000</f>
        <v>#REF!</v>
      </c>
      <c r="AL129" s="478" t="e">
        <f aca="false">Z129*AL$159/$BP129/1000</f>
        <v>#REF!</v>
      </c>
      <c r="AM129" s="478"/>
      <c r="AN129" s="478" t="e">
        <f aca="false">SUM(AC129:AM129)</f>
        <v>#REF!</v>
      </c>
      <c r="AO129" s="478" t="e">
        <f aca="false">D129-AN129</f>
        <v>#REF!</v>
      </c>
      <c r="AP129" s="482" t="e">
        <f aca="false">IF(D129=0,0,AO129/D129)</f>
        <v>#REF!</v>
      </c>
      <c r="AQ129" s="483" t="e">
        <f aca="false">IF(AB129=0,0,AN129/AB129)*1000</f>
        <v>#REF!</v>
      </c>
      <c r="AR129" s="484" t="e">
        <f aca="false">IF(C129=0,0,D129/C129)*1000</f>
        <v>#REF!</v>
      </c>
      <c r="AS129" s="474" t="e">
        <f aca="false">Q129*1000/AS$159*$AD$159/14.696/$BP129/42</f>
        <v>#REF!</v>
      </c>
      <c r="AT129" s="478" t="e">
        <f aca="false">R129*1000/AT$159*$AD$159/14.696/$BP129/42</f>
        <v>#REF!</v>
      </c>
      <c r="AU129" s="478" t="e">
        <f aca="false">S129*1000/AU$159*$AD$159/14.696/$BP129/42</f>
        <v>#REF!</v>
      </c>
      <c r="AV129" s="478" t="e">
        <f aca="false">T129*1000/AV$159*$AD$159/14.696/$BP129/42</f>
        <v>#REF!</v>
      </c>
      <c r="AW129" s="478" t="e">
        <f aca="false">U129*1000/AW$159*$AD$159/14.696/$BP129/42</f>
        <v>#REF!</v>
      </c>
      <c r="AX129" s="478" t="e">
        <f aca="false">V129*1000/AX$159*$AD$159/14.696/$BP129/42</f>
        <v>#REF!</v>
      </c>
      <c r="AY129" s="478" t="e">
        <f aca="false">W129*1000/AY$159*$AD$159/14.696/$BP129/42</f>
        <v>#REF!</v>
      </c>
      <c r="AZ129" s="478" t="e">
        <f aca="false">X129*1000/AZ$159*$AD$159/14.696/$BP129/42</f>
        <v>#REF!</v>
      </c>
      <c r="BA129" s="478" t="e">
        <f aca="false">Y129*1000/BA$159*$AD$159/14.696/$BP129/42</f>
        <v>#REF!</v>
      </c>
      <c r="BB129" s="478" t="e">
        <f aca="false">Z129*1000/BB$159*$AD$159/14.696/$BP129/42</f>
        <v>#REF!</v>
      </c>
      <c r="BC129" s="478" t="e">
        <f aca="false">AA129*1000/BC$159*$AD$159/14.696/$BP129/42</f>
        <v>#REF!</v>
      </c>
      <c r="BD129" s="485" t="e">
        <f aca="false">SUM(AS129:BC129)</f>
        <v>#REF!</v>
      </c>
      <c r="BE129" s="480" t="n">
        <f aca="false">E129/$P129*BE$159</f>
        <v>3.276E-005</v>
      </c>
      <c r="BF129" s="481" t="n">
        <f aca="false">F129/$P129*BF$159</f>
        <v>9.35714E-005</v>
      </c>
      <c r="BG129" s="481" t="n">
        <f aca="false">G129/$P129*BG$159</f>
        <v>0.00948764</v>
      </c>
      <c r="BH129" s="481" t="n">
        <f aca="false">H129/$P129*BH$159</f>
        <v>0.002543506</v>
      </c>
      <c r="BI129" s="481" t="n">
        <f aca="false">I129/$P129*BI$159</f>
        <v>0.001317559</v>
      </c>
      <c r="BJ129" s="481" t="n">
        <f aca="false">J129/$P129*BJ$159</f>
        <v>0.000193158</v>
      </c>
      <c r="BK129" s="481" t="n">
        <f aca="false">K129/$P129*BK$159</f>
        <v>0.00036002</v>
      </c>
      <c r="BL129" s="481" t="n">
        <f aca="false">L129/$P129*BL$159</f>
        <v>5.9328E-005</v>
      </c>
      <c r="BM129" s="481" t="n">
        <f aca="false">M129/$P129*BM$159</f>
        <v>5.454E-005</v>
      </c>
      <c r="BN129" s="481" t="n">
        <f aca="false">N129/$P129*BN$159</f>
        <v>3.80028E-005</v>
      </c>
      <c r="BO129" s="481" t="n">
        <f aca="false">O129/$P129*BO$159</f>
        <v>0</v>
      </c>
      <c r="BP129" s="477" t="n">
        <f aca="false">1-AD$159*(SUM(BE129:BO129))^2</f>
        <v>0.997054253941509</v>
      </c>
    </row>
    <row r="130" customFormat="false" ht="16.5" hidden="false" customHeight="false" outlineLevel="0" collapsed="false">
      <c r="A130" s="486" t="s">
        <v>104</v>
      </c>
      <c r="B130" s="487" t="s">
        <v>360</v>
      </c>
      <c r="C130" s="488" t="n">
        <v>31.49</v>
      </c>
      <c r="D130" s="489" t="n">
        <f aca="false">VLOOKUP("8.00.7",All_Data,4,0)/VLOOKUP("8.00.7",All_Data,3,0)*C130</f>
        <v>39.3624997090999</v>
      </c>
      <c r="E130" s="490" t="n">
        <f aca="false">VLOOKUP("8.00.7",All_Data,E$1,0)</f>
        <v>0.103</v>
      </c>
      <c r="F130" s="490" t="n">
        <f aca="false">VLOOKUP("8.00.7",All_Data,F$1,0)</f>
        <v>1.094</v>
      </c>
      <c r="G130" s="490" t="n">
        <f aca="false">VLOOKUP("8.00.7",All_Data,G$1,0)</f>
        <v>79.774</v>
      </c>
      <c r="H130" s="490" t="n">
        <f aca="false">VLOOKUP("8.00.7",All_Data,H$1,0)</f>
        <v>10.653</v>
      </c>
      <c r="I130" s="490" t="n">
        <f aca="false">VLOOKUP("8.00.7",All_Data,I$1,0)</f>
        <v>4.645</v>
      </c>
      <c r="J130" s="490" t="n">
        <f aca="false">VLOOKUP("8.00.7",All_Data,J$1,0)</f>
        <v>0.751</v>
      </c>
      <c r="K130" s="490" t="n">
        <f aca="false">VLOOKUP("8.00.7",All_Data,K$1,0)</f>
        <v>1.563</v>
      </c>
      <c r="L130" s="490" t="n">
        <f aca="false">VLOOKUP("8.00.7",All_Data,L$1,0)</f>
        <v>0.445</v>
      </c>
      <c r="M130" s="490" t="n">
        <f aca="false">VLOOKUP("8.00.7",All_Data,M$1,0)</f>
        <v>0.456</v>
      </c>
      <c r="N130" s="490" t="n">
        <f aca="false">VLOOKUP("8.00.7",All_Data,N$1,0)</f>
        <v>0.516</v>
      </c>
      <c r="O130" s="490" t="n">
        <f aca="false">VLOOKUP("8.00.7",All_Data,O$1,0)</f>
        <v>0</v>
      </c>
      <c r="P130" s="477" t="n">
        <f aca="false">SUM(E130:O130)</f>
        <v>100</v>
      </c>
      <c r="Q130" s="475" t="n">
        <f aca="false">$C130*E130/$P130</f>
        <v>0.0324347</v>
      </c>
      <c r="R130" s="478" t="n">
        <f aca="false">$C130*F130/$P130</f>
        <v>0.3445006</v>
      </c>
      <c r="S130" s="478" t="n">
        <f aca="false">$C130*G130/$P130</f>
        <v>25.1208326</v>
      </c>
      <c r="T130" s="478" t="n">
        <f aca="false">$C130*H130/$P130</f>
        <v>3.3546297</v>
      </c>
      <c r="U130" s="478" t="n">
        <f aca="false">$C130*I130/$P130</f>
        <v>1.4627105</v>
      </c>
      <c r="V130" s="478" t="n">
        <f aca="false">$C130*J130/$P130</f>
        <v>0.2364899</v>
      </c>
      <c r="W130" s="478" t="n">
        <f aca="false">$C130*K130/$P130</f>
        <v>0.4921887</v>
      </c>
      <c r="X130" s="478" t="n">
        <f aca="false">$C130*L130/$P130</f>
        <v>0.1401305</v>
      </c>
      <c r="Y130" s="478" t="n">
        <f aca="false">$C130*M130/$P130</f>
        <v>0.1435944</v>
      </c>
      <c r="Z130" s="478" t="n">
        <f aca="false">$C130*N130/$P130</f>
        <v>0.1624884</v>
      </c>
      <c r="AA130" s="478" t="n">
        <f aca="false">$C130*O130/$P130</f>
        <v>0</v>
      </c>
      <c r="AB130" s="479" t="n">
        <f aca="false">SUM(Q130:AA130)</f>
        <v>31.49</v>
      </c>
      <c r="AC130" s="480"/>
      <c r="AD130" s="481"/>
      <c r="AE130" s="478" t="n">
        <f aca="false">S130*AE$159/$BP130/1000</f>
        <v>25.3811439137311</v>
      </c>
      <c r="AF130" s="478" t="n">
        <f aca="false">T130*AF$159/$BP130/1000</f>
        <v>5.9391782621289</v>
      </c>
      <c r="AG130" s="478" t="n">
        <f aca="false">U130*AG$159/$BP130/1000</f>
        <v>3.68175171449448</v>
      </c>
      <c r="AH130" s="478" t="n">
        <f aca="false">V130*AH$159/$BP130/1000</f>
        <v>0.769341879126493</v>
      </c>
      <c r="AI130" s="478" t="n">
        <f aca="false">W130*AI$159/$BP130/1000</f>
        <v>1.60631045223171</v>
      </c>
      <c r="AJ130" s="478" t="n">
        <f aca="false">X130*AJ$159/$BP130/1000</f>
        <v>0.560874033875022</v>
      </c>
      <c r="AK130" s="478" t="n">
        <f aca="false">Y130*AK$159/$BP130/1000</f>
        <v>0.575862335188981</v>
      </c>
      <c r="AL130" s="478" t="n">
        <f aca="false">Z130*AL$159/$BP130/1000</f>
        <v>0.8337754390908</v>
      </c>
      <c r="AM130" s="478"/>
      <c r="AN130" s="478" t="n">
        <f aca="false">SUM(AC130:AM130)</f>
        <v>39.3482380298675</v>
      </c>
      <c r="AO130" s="478" t="n">
        <f aca="false">D130-AN130</f>
        <v>0.0142616792323906</v>
      </c>
      <c r="AP130" s="482" t="n">
        <f aca="false">IF(D130=0,0,AO130/D130)</f>
        <v>0.000362316401087037</v>
      </c>
      <c r="AQ130" s="483" t="n">
        <f aca="false">IF(AB130=0,0,AN130/AB130)*1000</f>
        <v>1249.54709526413</v>
      </c>
      <c r="AR130" s="484" t="n">
        <f aca="false">IF(C130=0,0,D130/C130)*1000</f>
        <v>1249.99999076214</v>
      </c>
      <c r="AS130" s="474" t="n">
        <f aca="false">Q130*1000/AS$159*$AD$159/14.696/$BP130/42</f>
        <v>0.0131508774482832</v>
      </c>
      <c r="AT130" s="478" t="n">
        <f aca="false">R130*1000/AT$159*$AD$159/14.696/$BP130/42</f>
        <v>0.0900453499052508</v>
      </c>
      <c r="AU130" s="478" t="n">
        <f aca="false">S130*1000/AU$159*$AD$159/14.696/$BP130/42</f>
        <v>10.1179037280945</v>
      </c>
      <c r="AV130" s="478" t="n">
        <f aca="false">T130*1000/AV$159*$AD$159/14.696/$BP130/42</f>
        <v>2.13145153773042</v>
      </c>
      <c r="AW130" s="478" t="n">
        <f aca="false">U130*1000/AW$159*$AD$159/14.696/$BP130/42</f>
        <v>0.95738702046234</v>
      </c>
      <c r="AX130" s="478" t="n">
        <f aca="false">V130*1000/AX$159*$AD$159/14.696/$BP130/42</f>
        <v>0.183860953197086</v>
      </c>
      <c r="AY130" s="478" t="n">
        <f aca="false">W130*1000/AY$159*$AD$159/14.696/$BP130/42</f>
        <v>0.368649804625307</v>
      </c>
      <c r="AZ130" s="478" t="n">
        <f aca="false">X130*1000/AZ$159*$AD$159/14.696/$BP130/42</f>
        <v>0.121754048043872</v>
      </c>
      <c r="BA130" s="478" t="n">
        <f aca="false">Y130*1000/BA$159*$AD$159/14.696/$BP130/42</f>
        <v>0.12366302824971</v>
      </c>
      <c r="BB130" s="478" t="n">
        <f aca="false">Z130*1000/BB$159*$AD$159/14.696/$BP130/42</f>
        <v>0.167516786247097</v>
      </c>
      <c r="BC130" s="478" t="n">
        <f aca="false">AA130*1000/BC$159*$AD$159/14.696/$BP130/42</f>
        <v>0</v>
      </c>
      <c r="BD130" s="485" t="n">
        <f aca="false">SUM(AS130:BC130)</f>
        <v>14.2753831340038</v>
      </c>
      <c r="BE130" s="480" t="n">
        <f aca="false">E130/$P130*BE$159</f>
        <v>2.0085E-005</v>
      </c>
      <c r="BF130" s="481" t="n">
        <f aca="false">F130/$P130*BF$159</f>
        <v>4.83548E-005</v>
      </c>
      <c r="BG130" s="481" t="n">
        <f aca="false">G130/$P130*BG$159</f>
        <v>0.009253784</v>
      </c>
      <c r="BH130" s="481" t="n">
        <f aca="false">H130/$P130*BH$159</f>
        <v>0.002535414</v>
      </c>
      <c r="BI130" s="481" t="n">
        <f aca="false">I130/$P130*BI$159</f>
        <v>0.001611815</v>
      </c>
      <c r="BJ130" s="481" t="n">
        <f aca="false">J130/$P130*BJ$159</f>
        <v>0.000331191</v>
      </c>
      <c r="BK130" s="481" t="n">
        <f aca="false">K130/$P130*BK$159</f>
        <v>0.00073461</v>
      </c>
      <c r="BL130" s="481" t="n">
        <f aca="false">L130/$P130*BL$159</f>
        <v>0.00025632</v>
      </c>
      <c r="BM130" s="481" t="n">
        <f aca="false">M130/$P130*BM$159</f>
        <v>0.000276336</v>
      </c>
      <c r="BN130" s="481" t="n">
        <f aca="false">N130/$P130*BN$159</f>
        <v>0.0004456692</v>
      </c>
      <c r="BO130" s="481" t="n">
        <f aca="false">O130/$P130*BO$159</f>
        <v>0</v>
      </c>
      <c r="BP130" s="477" t="n">
        <f aca="false">1-AD$159*(SUM(BE130:BO130))^2</f>
        <v>0.996474167895848</v>
      </c>
    </row>
    <row r="131" customFormat="false" ht="16.5" hidden="false" customHeight="false" outlineLevel="0" collapsed="false">
      <c r="A131" s="486" t="s">
        <v>105</v>
      </c>
      <c r="B131" s="487" t="s">
        <v>361</v>
      </c>
      <c r="C131" s="488" t="n">
        <v>176.68</v>
      </c>
      <c r="D131" s="489" t="n">
        <f aca="false">VLOOKUP("8.00.7",All_Data,4,0)/VLOOKUP("8.00.7",All_Data,3,0)*C131</f>
        <v>220.849998367856</v>
      </c>
      <c r="E131" s="490" t="n">
        <f aca="false">VLOOKUP("8.00.7",All_Data,E$1,0)</f>
        <v>0.103</v>
      </c>
      <c r="F131" s="490" t="n">
        <f aca="false">VLOOKUP("8.00.7",All_Data,F$1,0)</f>
        <v>1.094</v>
      </c>
      <c r="G131" s="490" t="n">
        <f aca="false">VLOOKUP("8.00.7",All_Data,G$1,0)</f>
        <v>79.774</v>
      </c>
      <c r="H131" s="490" t="n">
        <f aca="false">VLOOKUP("8.00.7",All_Data,H$1,0)</f>
        <v>10.653</v>
      </c>
      <c r="I131" s="490" t="n">
        <f aca="false">VLOOKUP("8.00.7",All_Data,I$1,0)</f>
        <v>4.645</v>
      </c>
      <c r="J131" s="490" t="n">
        <f aca="false">VLOOKUP("8.00.7",All_Data,J$1,0)</f>
        <v>0.751</v>
      </c>
      <c r="K131" s="490" t="n">
        <f aca="false">VLOOKUP("8.00.7",All_Data,K$1,0)</f>
        <v>1.563</v>
      </c>
      <c r="L131" s="490" t="n">
        <f aca="false">VLOOKUP("8.00.7",All_Data,L$1,0)</f>
        <v>0.445</v>
      </c>
      <c r="M131" s="490" t="n">
        <f aca="false">VLOOKUP("8.00.7",All_Data,M$1,0)</f>
        <v>0.456</v>
      </c>
      <c r="N131" s="490" t="n">
        <f aca="false">VLOOKUP("8.00.7",All_Data,N$1,0)</f>
        <v>0.516</v>
      </c>
      <c r="O131" s="490"/>
      <c r="P131" s="477" t="n">
        <f aca="false">SUM(E131:O131)</f>
        <v>100</v>
      </c>
      <c r="Q131" s="475" t="n">
        <f aca="false">$C131*E131/$P131</f>
        <v>0.1819804</v>
      </c>
      <c r="R131" s="478" t="n">
        <f aca="false">$C131*F131/$P131</f>
        <v>1.9328792</v>
      </c>
      <c r="S131" s="478" t="n">
        <f aca="false">$C131*G131/$P131</f>
        <v>140.9447032</v>
      </c>
      <c r="T131" s="478" t="n">
        <f aca="false">$C131*H131/$P131</f>
        <v>18.8217204</v>
      </c>
      <c r="U131" s="478" t="n">
        <f aca="false">$C131*I131/$P131</f>
        <v>8.206786</v>
      </c>
      <c r="V131" s="478" t="n">
        <f aca="false">$C131*J131/$P131</f>
        <v>1.3268668</v>
      </c>
      <c r="W131" s="478" t="n">
        <f aca="false">$C131*K131/$P131</f>
        <v>2.7615084</v>
      </c>
      <c r="X131" s="478" t="n">
        <f aca="false">$C131*L131/$P131</f>
        <v>0.786226</v>
      </c>
      <c r="Y131" s="478" t="n">
        <f aca="false">$C131*M131/$P131</f>
        <v>0.8056608</v>
      </c>
      <c r="Z131" s="478" t="n">
        <f aca="false">$C131*N131/$P131</f>
        <v>0.9116688</v>
      </c>
      <c r="AA131" s="478" t="n">
        <f aca="false">$C131*O131/$P131</f>
        <v>0</v>
      </c>
      <c r="AB131" s="479" t="n">
        <f aca="false">SUM(Q131:AA131)</f>
        <v>176.68</v>
      </c>
      <c r="AC131" s="480"/>
      <c r="AD131" s="481"/>
      <c r="AE131" s="478" t="n">
        <f aca="false">S131*AE$159/$BP131/1000</f>
        <v>142.405224092665</v>
      </c>
      <c r="AF131" s="478" t="n">
        <f aca="false">T131*AF$159/$BP131/1000</f>
        <v>33.3227696206076</v>
      </c>
      <c r="AG131" s="478" t="n">
        <f aca="false">U131*AG$159/$BP131/1000</f>
        <v>20.6570940907236</v>
      </c>
      <c r="AH131" s="478" t="n">
        <f aca="false">V131*AH$159/$BP131/1000</f>
        <v>4.31652344249186</v>
      </c>
      <c r="AI131" s="478" t="n">
        <f aca="false">W131*AI$159/$BP131/1000</f>
        <v>9.01247795174021</v>
      </c>
      <c r="AJ131" s="478" t="n">
        <f aca="false">X131*AJ$159/$BP131/1000</f>
        <v>3.14687914592057</v>
      </c>
      <c r="AK131" s="478" t="n">
        <f aca="false">Y131*AK$159/$BP131/1000</f>
        <v>3.23097355926292</v>
      </c>
      <c r="AL131" s="478" t="n">
        <f aca="false">Z131*AL$159/$BP131/1000</f>
        <v>4.67803888785527</v>
      </c>
      <c r="AM131" s="478"/>
      <c r="AN131" s="478" t="n">
        <f aca="false">SUM(AC131:AM131)</f>
        <v>220.769980791267</v>
      </c>
      <c r="AO131" s="478" t="n">
        <f aca="false">D131-AN131</f>
        <v>0.0800175765887161</v>
      </c>
      <c r="AP131" s="482" t="n">
        <f aca="false">IF(D131=0,0,AO131/D131)</f>
        <v>0.000362316401087022</v>
      </c>
      <c r="AQ131" s="483" t="n">
        <f aca="false">IF(AB131=0,0,AN131/AB131)*1000</f>
        <v>1249.54709526413</v>
      </c>
      <c r="AR131" s="484" t="n">
        <f aca="false">IF(C131=0,0,D131/C131)*1000</f>
        <v>1249.99999076214</v>
      </c>
      <c r="AS131" s="474" t="n">
        <f aca="false">Q131*1000/AS$159*$AD$159/14.696/$BP131/42</f>
        <v>0.0737852342827143</v>
      </c>
      <c r="AT131" s="478" t="n">
        <f aca="false">R131*1000/AT$159*$AD$159/14.696/$BP131/42</f>
        <v>0.505214748214027</v>
      </c>
      <c r="AU131" s="478" t="n">
        <f aca="false">S131*1000/AU$159*$AD$159/14.696/$BP131/42</f>
        <v>56.7682194563267</v>
      </c>
      <c r="AV131" s="478" t="n">
        <f aca="false">T131*1000/AV$159*$AD$159/14.696/$BP131/42</f>
        <v>11.9588713142652</v>
      </c>
      <c r="AW131" s="478" t="n">
        <f aca="false">U131*1000/AW$159*$AD$159/14.696/$BP131/42</f>
        <v>5.37158268578235</v>
      </c>
      <c r="AX131" s="478" t="n">
        <f aca="false">V131*1000/AX$159*$AD$159/14.696/$BP131/42</f>
        <v>1.0315831442001</v>
      </c>
      <c r="AY131" s="478" t="n">
        <f aca="false">W131*1000/AY$159*$AD$159/14.696/$BP131/42</f>
        <v>2.06837241921877</v>
      </c>
      <c r="AZ131" s="478" t="n">
        <f aca="false">X131*1000/AZ$159*$AD$159/14.696/$BP131/42</f>
        <v>0.683121791311253</v>
      </c>
      <c r="BA131" s="478" t="n">
        <f aca="false">Y131*1000/BA$159*$AD$159/14.696/$BP131/42</f>
        <v>0.6938324493858</v>
      </c>
      <c r="BB131" s="478" t="n">
        <f aca="false">Z131*1000/BB$159*$AD$159/14.696/$BP131/42</f>
        <v>0.939881416136458</v>
      </c>
      <c r="BC131" s="478" t="n">
        <f aca="false">AA131*1000/BC$159*$AD$159/14.696/$BP131/42</f>
        <v>0</v>
      </c>
      <c r="BD131" s="485" t="n">
        <f aca="false">SUM(AS131:BC131)</f>
        <v>80.0944646591234</v>
      </c>
      <c r="BE131" s="480" t="n">
        <f aca="false">E131/$P131*BE$159</f>
        <v>2.0085E-005</v>
      </c>
      <c r="BF131" s="481" t="n">
        <f aca="false">F131/$P131*BF$159</f>
        <v>4.83548E-005</v>
      </c>
      <c r="BG131" s="481" t="n">
        <f aca="false">G131/$P131*BG$159</f>
        <v>0.009253784</v>
      </c>
      <c r="BH131" s="481" t="n">
        <f aca="false">H131/$P131*BH$159</f>
        <v>0.002535414</v>
      </c>
      <c r="BI131" s="481" t="n">
        <f aca="false">I131/$P131*BI$159</f>
        <v>0.001611815</v>
      </c>
      <c r="BJ131" s="481" t="n">
        <f aca="false">J131/$P131*BJ$159</f>
        <v>0.000331191</v>
      </c>
      <c r="BK131" s="481" t="n">
        <f aca="false">K131/$P131*BK$159</f>
        <v>0.00073461</v>
      </c>
      <c r="BL131" s="481" t="n">
        <f aca="false">L131/$P131*BL$159</f>
        <v>0.00025632</v>
      </c>
      <c r="BM131" s="481" t="n">
        <f aca="false">M131/$P131*BM$159</f>
        <v>0.000276336</v>
      </c>
      <c r="BN131" s="481" t="n">
        <f aca="false">N131/$P131*BN$159</f>
        <v>0.0004456692</v>
      </c>
      <c r="BO131" s="481" t="n">
        <f aca="false">O131/$P131*BO$159</f>
        <v>0</v>
      </c>
      <c r="BP131" s="477" t="n">
        <f aca="false">1-AD$159*(SUM(BE131:BO131))^2</f>
        <v>0.996474167895848</v>
      </c>
    </row>
    <row r="132" customFormat="false" ht="16.5" hidden="false" customHeight="false" outlineLevel="0" collapsed="false">
      <c r="A132" s="486" t="s">
        <v>106</v>
      </c>
      <c r="B132" s="487" t="s">
        <v>362</v>
      </c>
      <c r="C132" s="488" t="n">
        <v>695.8</v>
      </c>
      <c r="D132" s="489" t="n">
        <f aca="false">VLOOKUP("8.00.7",All_Data,4,0)/VLOOKUP("8.00.7",All_Data,3,0)*C132</f>
        <v>869.7499935723</v>
      </c>
      <c r="E132" s="490" t="n">
        <f aca="false">VLOOKUP("8.00.7",All_Data,E$1,0)</f>
        <v>0.103</v>
      </c>
      <c r="F132" s="490" t="n">
        <f aca="false">VLOOKUP("8.00.7",All_Data,F$1,0)</f>
        <v>1.094</v>
      </c>
      <c r="G132" s="490" t="n">
        <f aca="false">VLOOKUP("8.00.7",All_Data,G$1,0)</f>
        <v>79.774</v>
      </c>
      <c r="H132" s="490" t="n">
        <f aca="false">VLOOKUP("8.00.7",All_Data,H$1,0)</f>
        <v>10.653</v>
      </c>
      <c r="I132" s="490" t="n">
        <f aca="false">VLOOKUP("8.00.7",All_Data,I$1,0)</f>
        <v>4.645</v>
      </c>
      <c r="J132" s="490" t="n">
        <f aca="false">VLOOKUP("8.00.7",All_Data,J$1,0)</f>
        <v>0.751</v>
      </c>
      <c r="K132" s="490" t="n">
        <f aca="false">VLOOKUP("8.00.7",All_Data,K$1,0)</f>
        <v>1.563</v>
      </c>
      <c r="L132" s="490" t="n">
        <f aca="false">VLOOKUP("8.00.7",All_Data,L$1,0)</f>
        <v>0.445</v>
      </c>
      <c r="M132" s="490" t="n">
        <f aca="false">VLOOKUP("8.00.7",All_Data,M$1,0)</f>
        <v>0.456</v>
      </c>
      <c r="N132" s="490" t="n">
        <f aca="false">VLOOKUP("8.00.7",All_Data,N$1,0)</f>
        <v>0.516</v>
      </c>
      <c r="O132" s="490"/>
      <c r="P132" s="477" t="n">
        <f aca="false">SUM(E132:O132)</f>
        <v>100</v>
      </c>
      <c r="Q132" s="475" t="n">
        <f aca="false">$C132*E132/$P132</f>
        <v>0.716674</v>
      </c>
      <c r="R132" s="478" t="n">
        <f aca="false">$C132*F132/$P132</f>
        <v>7.612052</v>
      </c>
      <c r="S132" s="478" t="n">
        <f aca="false">$C132*G132/$P132</f>
        <v>555.067492</v>
      </c>
      <c r="T132" s="478" t="n">
        <f aca="false">$C132*H132/$P132</f>
        <v>74.123574</v>
      </c>
      <c r="U132" s="478" t="n">
        <f aca="false">$C132*I132/$P132</f>
        <v>32.31991</v>
      </c>
      <c r="V132" s="478" t="n">
        <f aca="false">$C132*J132/$P132</f>
        <v>5.225458</v>
      </c>
      <c r="W132" s="478" t="n">
        <f aca="false">$C132*K132/$P132</f>
        <v>10.875354</v>
      </c>
      <c r="X132" s="478" t="n">
        <f aca="false">$C132*L132/$P132</f>
        <v>3.09631</v>
      </c>
      <c r="Y132" s="478" t="n">
        <f aca="false">$C132*M132/$P132</f>
        <v>3.172848</v>
      </c>
      <c r="Z132" s="478" t="n">
        <f aca="false">$C132*N132/$P132</f>
        <v>3.590328</v>
      </c>
      <c r="AA132" s="478" t="n">
        <f aca="false">$C132*O132/$P132</f>
        <v>0</v>
      </c>
      <c r="AB132" s="479" t="n">
        <f aca="false">SUM(Q132:AA132)</f>
        <v>695.8</v>
      </c>
      <c r="AC132" s="480"/>
      <c r="AD132" s="481"/>
      <c r="AE132" s="478" t="n">
        <f aca="false">S132*AE$159/$BP132/1000</f>
        <v>560.819305658118</v>
      </c>
      <c r="AF132" s="478" t="n">
        <f aca="false">T132*AF$159/$BP132/1000</f>
        <v>131.231509520143</v>
      </c>
      <c r="AG132" s="478" t="n">
        <f aca="false">U132*AG$159/$BP132/1000</f>
        <v>81.3516304523741</v>
      </c>
      <c r="AH132" s="478" t="n">
        <f aca="false">V132*AH$159/$BP132/1000</f>
        <v>16.9993038900036</v>
      </c>
      <c r="AI132" s="478" t="n">
        <f aca="false">W132*AI$159/$BP132/1000</f>
        <v>35.4928806815759</v>
      </c>
      <c r="AJ132" s="478" t="n">
        <f aca="false">X132*AJ$159/$BP132/1000</f>
        <v>12.3930185065176</v>
      </c>
      <c r="AK132" s="478" t="n">
        <f aca="false">Y132*AK$159/$BP132/1000</f>
        <v>12.7241985654015</v>
      </c>
      <c r="AL132" s="478" t="n">
        <f aca="false">Z132*AL$159/$BP132/1000</f>
        <v>18.4230216106503</v>
      </c>
      <c r="AM132" s="478"/>
      <c r="AN132" s="478" t="n">
        <f aca="false">SUM(AC132:AM132)</f>
        <v>869.434868884783</v>
      </c>
      <c r="AO132" s="478" t="n">
        <f aca="false">D132-AN132</f>
        <v>0.315124687516573</v>
      </c>
      <c r="AP132" s="482" t="n">
        <f aca="false">IF(D132=0,0,AO132/D132)</f>
        <v>0.000362316401087018</v>
      </c>
      <c r="AQ132" s="483" t="n">
        <f aca="false">IF(AB132=0,0,AN132/AB132)*1000</f>
        <v>1249.54709526413</v>
      </c>
      <c r="AR132" s="484" t="n">
        <f aca="false">IF(C132=0,0,D132/C132)*1000</f>
        <v>1249.99999076214</v>
      </c>
      <c r="AS132" s="474" t="n">
        <f aca="false">Q132*1000/AS$159*$AD$159/14.696/$BP132/42</f>
        <v>0.290580518530182</v>
      </c>
      <c r="AT132" s="478" t="n">
        <f aca="false">R132*1000/AT$159*$AD$159/14.696/$BP132/42</f>
        <v>1.98963335865588</v>
      </c>
      <c r="AU132" s="478" t="n">
        <f aca="false">S132*1000/AU$159*$AD$159/14.696/$BP132/42</f>
        <v>223.564224007879</v>
      </c>
      <c r="AV132" s="478" t="n">
        <f aca="false">T132*1000/AV$159*$AD$159/14.696/$BP132/42</f>
        <v>47.0963474103788</v>
      </c>
      <c r="AW132" s="478" t="n">
        <f aca="false">U132*1000/AW$159*$AD$159/14.696/$BP132/42</f>
        <v>21.1543311793489</v>
      </c>
      <c r="AX132" s="478" t="n">
        <f aca="false">V132*1000/AX$159*$AD$159/14.696/$BP132/42</f>
        <v>4.0625738721668</v>
      </c>
      <c r="AY132" s="478" t="n">
        <f aca="false">W132*1000/AY$159*$AD$159/14.696/$BP132/42</f>
        <v>8.14565049407077</v>
      </c>
      <c r="AZ132" s="478" t="n">
        <f aca="false">X132*1000/AZ$159*$AD$159/14.696/$BP132/42</f>
        <v>2.69026569161405</v>
      </c>
      <c r="BA132" s="478" t="n">
        <f aca="false">Y132*1000/BA$159*$AD$159/14.696/$BP132/42</f>
        <v>2.732446333952</v>
      </c>
      <c r="BB132" s="478" t="n">
        <f aca="false">Z132*1000/BB$159*$AD$159/14.696/$BP132/42</f>
        <v>3.70143473708256</v>
      </c>
      <c r="BC132" s="478" t="n">
        <f aca="false">AA132*1000/BC$159*$AD$159/14.696/$BP132/42</f>
        <v>0</v>
      </c>
      <c r="BD132" s="485" t="n">
        <f aca="false">SUM(AS132:BC132)</f>
        <v>315.427487603679</v>
      </c>
      <c r="BE132" s="480" t="n">
        <f aca="false">E132/$P132*BE$159</f>
        <v>2.0085E-005</v>
      </c>
      <c r="BF132" s="481" t="n">
        <f aca="false">F132/$P132*BF$159</f>
        <v>4.83548E-005</v>
      </c>
      <c r="BG132" s="481" t="n">
        <f aca="false">G132/$P132*BG$159</f>
        <v>0.009253784</v>
      </c>
      <c r="BH132" s="481" t="n">
        <f aca="false">H132/$P132*BH$159</f>
        <v>0.002535414</v>
      </c>
      <c r="BI132" s="481" t="n">
        <f aca="false">I132/$P132*BI$159</f>
        <v>0.001611815</v>
      </c>
      <c r="BJ132" s="481" t="n">
        <f aca="false">J132/$P132*BJ$159</f>
        <v>0.000331191</v>
      </c>
      <c r="BK132" s="481" t="n">
        <f aca="false">K132/$P132*BK$159</f>
        <v>0.00073461</v>
      </c>
      <c r="BL132" s="481" t="n">
        <f aca="false">L132/$P132*BL$159</f>
        <v>0.00025632</v>
      </c>
      <c r="BM132" s="481" t="n">
        <f aca="false">M132/$P132*BM$159</f>
        <v>0.000276336</v>
      </c>
      <c r="BN132" s="481" t="n">
        <f aca="false">N132/$P132*BN$159</f>
        <v>0.0004456692</v>
      </c>
      <c r="BO132" s="481" t="n">
        <f aca="false">O132/$P132*BO$159</f>
        <v>0</v>
      </c>
      <c r="BP132" s="477" t="n">
        <f aca="false">1-AD$159*(SUM(BE132:BO132))^2</f>
        <v>0.996474167895848</v>
      </c>
    </row>
    <row r="133" customFormat="false" ht="16.5" hidden="false" customHeight="false" outlineLevel="0" collapsed="false">
      <c r="A133" s="486" t="s">
        <v>107</v>
      </c>
      <c r="B133" s="487" t="s">
        <v>363</v>
      </c>
      <c r="C133" s="488" t="n">
        <v>47.2</v>
      </c>
      <c r="D133" s="489" t="n">
        <f aca="false">VLOOKUP("8.00.21",All_Data,4,0)/VLOOKUP("8.00.21",All_Data,3,0)*C133</f>
        <v>59.7551998295163</v>
      </c>
      <c r="E133" s="490" t="n">
        <f aca="false">VLOOKUP("8.00.21",All_Data,E$1,0)</f>
        <v>0.121</v>
      </c>
      <c r="F133" s="490" t="n">
        <f aca="false">VLOOKUP("8.00.21",All_Data,F$1,0)</f>
        <v>0.839</v>
      </c>
      <c r="G133" s="490" t="n">
        <f aca="false">VLOOKUP("8.00.21",All_Data,G$1,0)</f>
        <v>79.667</v>
      </c>
      <c r="H133" s="490" t="n">
        <f aca="false">VLOOKUP("8.00.21",All_Data,H$1,0)</f>
        <v>10.619</v>
      </c>
      <c r="I133" s="490" t="n">
        <f aca="false">VLOOKUP("8.00.21",All_Data,I$1,0)</f>
        <v>4.586</v>
      </c>
      <c r="J133" s="490" t="n">
        <f aca="false">VLOOKUP("8.00.21",All_Data,J$1,0)</f>
        <v>0.744</v>
      </c>
      <c r="K133" s="490" t="n">
        <f aca="false">VLOOKUP("8.00.21",All_Data,K$1,0)</f>
        <v>1.639</v>
      </c>
      <c r="L133" s="490" t="n">
        <f aca="false">VLOOKUP("8.00.21",All_Data,L$1,0)</f>
        <v>0.501</v>
      </c>
      <c r="M133" s="490" t="n">
        <f aca="false">VLOOKUP("8.00.21",All_Data,M$1,0)</f>
        <v>0.572</v>
      </c>
      <c r="N133" s="490" t="n">
        <f aca="false">VLOOKUP("8.00.21",All_Data,N$1,0)</f>
        <v>0.712</v>
      </c>
      <c r="O133" s="490" t="n">
        <f aca="false">VLOOKUP("8.00.21",All_Data,O$1,0)</f>
        <v>0</v>
      </c>
      <c r="P133" s="477" t="n">
        <f aca="false">SUM(E133:O133)</f>
        <v>100</v>
      </c>
      <c r="Q133" s="475" t="n">
        <f aca="false">$C133*E133/$P133</f>
        <v>0.057112</v>
      </c>
      <c r="R133" s="478" t="n">
        <f aca="false">$C133*F133/$P133</f>
        <v>0.396008</v>
      </c>
      <c r="S133" s="478" t="n">
        <f aca="false">$C133*G133/$P133</f>
        <v>37.602824</v>
      </c>
      <c r="T133" s="478" t="n">
        <f aca="false">$C133*H133/$P133</f>
        <v>5.012168</v>
      </c>
      <c r="U133" s="478" t="n">
        <f aca="false">$C133*I133/$P133</f>
        <v>2.164592</v>
      </c>
      <c r="V133" s="478" t="n">
        <f aca="false">$C133*J133/$P133</f>
        <v>0.351168</v>
      </c>
      <c r="W133" s="478" t="n">
        <f aca="false">$C133*K133/$P133</f>
        <v>0.773608</v>
      </c>
      <c r="X133" s="478" t="n">
        <f aca="false">$C133*L133/$P133</f>
        <v>0.236472</v>
      </c>
      <c r="Y133" s="478" t="n">
        <f aca="false">$C133*M133/$P133</f>
        <v>0.269984</v>
      </c>
      <c r="Z133" s="478" t="n">
        <f aca="false">$C133*N133/$P133</f>
        <v>0.336064</v>
      </c>
      <c r="AA133" s="478" t="n">
        <f aca="false">$C133*O133/$P133</f>
        <v>0</v>
      </c>
      <c r="AB133" s="479" t="n">
        <f aca="false">SUM(Q133:AA133)</f>
        <v>47.2</v>
      </c>
      <c r="AC133" s="480"/>
      <c r="AD133" s="481"/>
      <c r="AE133" s="478" t="n">
        <f aca="false">S133*AE$159/$BP133/1000</f>
        <v>37.9969473257324</v>
      </c>
      <c r="AF133" s="478" t="n">
        <f aca="false">T133*AF$159/$BP133/1000</f>
        <v>8.87479796500838</v>
      </c>
      <c r="AG133" s="478" t="n">
        <f aca="false">U133*AG$159/$BP133/1000</f>
        <v>5.44908083419652</v>
      </c>
      <c r="AH133" s="478" t="n">
        <f aca="false">V133*AH$159/$BP133/1000</f>
        <v>1.142543629431</v>
      </c>
      <c r="AI133" s="478" t="n">
        <f aca="false">W133*AI$159/$BP133/1000</f>
        <v>2.52504941444739</v>
      </c>
      <c r="AJ133" s="478" t="n">
        <f aca="false">X133*AJ$159/$BP133/1000</f>
        <v>0.946593395516505</v>
      </c>
      <c r="AK133" s="478" t="n">
        <f aca="false">Y133*AK$159/$BP133/1000</f>
        <v>1.08285493677036</v>
      </c>
      <c r="AL133" s="478" t="n">
        <f aca="false">Z133*AL$159/$BP133/1000</f>
        <v>1.72464538437314</v>
      </c>
      <c r="AM133" s="478"/>
      <c r="AN133" s="478" t="n">
        <f aca="false">SUM(AC133:AM133)</f>
        <v>59.7425128854757</v>
      </c>
      <c r="AO133" s="478" t="n">
        <f aca="false">D133-AN133</f>
        <v>0.0126869440405955</v>
      </c>
      <c r="AP133" s="482" t="n">
        <f aca="false">IF(D133=0,0,AO133/D133)</f>
        <v>0.000212315314429401</v>
      </c>
      <c r="AQ133" s="483" t="n">
        <f aca="false">IF(AB133=0,0,AN133/AB133)*1000</f>
        <v>1265.73120520076</v>
      </c>
      <c r="AR133" s="484" t="n">
        <f aca="false">IF(C133=0,0,D133/C133)*1000</f>
        <v>1265.99999638806</v>
      </c>
      <c r="AS133" s="474" t="n">
        <f aca="false">Q133*1000/AS$159*$AD$159/14.696/$BP133/42</f>
        <v>0.0231591863310723</v>
      </c>
      <c r="AT133" s="478" t="n">
        <f aca="false">R133*1000/AT$159*$AD$159/14.696/$BP133/42</f>
        <v>0.103520497280017</v>
      </c>
      <c r="AU133" s="478" t="n">
        <f aca="false">S133*1000/AU$159*$AD$159/14.696/$BP133/42</f>
        <v>15.14704996394</v>
      </c>
      <c r="AV133" s="478" t="n">
        <f aca="false">T133*1000/AV$159*$AD$159/14.696/$BP133/42</f>
        <v>3.18498636253821</v>
      </c>
      <c r="AW133" s="478" t="n">
        <f aca="false">U133*1000/AW$159*$AD$159/14.696/$BP133/42</f>
        <v>1.41695575059334</v>
      </c>
      <c r="AX133" s="478" t="n">
        <f aca="false">V133*1000/AX$159*$AD$159/14.696/$BP133/42</f>
        <v>0.27305046881752</v>
      </c>
      <c r="AY133" s="478" t="n">
        <f aca="false">W133*1000/AY$159*$AD$159/14.696/$BP133/42</f>
        <v>0.579501286324817</v>
      </c>
      <c r="AZ133" s="478" t="n">
        <f aca="false">X133*1000/AZ$159*$AD$159/14.696/$BP133/42</f>
        <v>0.205485671995666</v>
      </c>
      <c r="BA133" s="478" t="n">
        <f aca="false">Y133*1000/BA$159*$AD$159/14.696/$BP133/42</f>
        <v>0.232536688811618</v>
      </c>
      <c r="BB133" s="478" t="n">
        <f aca="false">Z133*1000/BB$159*$AD$159/14.696/$BP133/42</f>
        <v>0.346504632615611</v>
      </c>
      <c r="BC133" s="478" t="n">
        <f aca="false">AA133*1000/BC$159*$AD$159/14.696/$BP133/42</f>
        <v>0</v>
      </c>
      <c r="BD133" s="485" t="n">
        <f aca="false">SUM(AS133:BC133)</f>
        <v>21.5127505092478</v>
      </c>
      <c r="BE133" s="480" t="n">
        <f aca="false">E133/$P133*BE$159</f>
        <v>2.3595E-005</v>
      </c>
      <c r="BF133" s="481" t="n">
        <f aca="false">F133/$P133*BF$159</f>
        <v>3.70838E-005</v>
      </c>
      <c r="BG133" s="481" t="n">
        <f aca="false">G133/$P133*BG$159</f>
        <v>0.009241372</v>
      </c>
      <c r="BH133" s="481" t="n">
        <f aca="false">H133/$P133*BH$159</f>
        <v>0.002527322</v>
      </c>
      <c r="BI133" s="481" t="n">
        <f aca="false">I133/$P133*BI$159</f>
        <v>0.001591342</v>
      </c>
      <c r="BJ133" s="481" t="n">
        <f aca="false">J133/$P133*BJ$159</f>
        <v>0.000328104</v>
      </c>
      <c r="BK133" s="481" t="n">
        <f aca="false">K133/$P133*BK$159</f>
        <v>0.00077033</v>
      </c>
      <c r="BL133" s="481" t="n">
        <f aca="false">L133/$P133*BL$159</f>
        <v>0.000288576</v>
      </c>
      <c r="BM133" s="481" t="n">
        <f aca="false">M133/$P133*BM$159</f>
        <v>0.000346632</v>
      </c>
      <c r="BN133" s="481" t="n">
        <f aca="false">N133/$P133*BN$159</f>
        <v>0.0006149544</v>
      </c>
      <c r="BO133" s="481" t="n">
        <f aca="false">O133/$P133*BO$159</f>
        <v>0</v>
      </c>
      <c r="BP133" s="477" t="n">
        <f aca="false">1-AD$159*(SUM(BE133:BO133))^2</f>
        <v>0.996356967275666</v>
      </c>
    </row>
    <row r="134" customFormat="false" ht="16.5" hidden="false" customHeight="false" outlineLevel="0" collapsed="false">
      <c r="A134" s="486" t="s">
        <v>113</v>
      </c>
      <c r="B134" s="487" t="s">
        <v>364</v>
      </c>
      <c r="C134" s="488" t="n">
        <v>290.18</v>
      </c>
      <c r="D134" s="489" t="n">
        <f aca="false">VLOOKUP("8.00.21",All_Data,4,0)/VLOOKUP("8.00.21",All_Data,3,0)*C134</f>
        <v>367.367878951887</v>
      </c>
      <c r="E134" s="490" t="n">
        <f aca="false">VLOOKUP("8.00.21",All_Data,E$1,0)</f>
        <v>0.121</v>
      </c>
      <c r="F134" s="490" t="n">
        <f aca="false">VLOOKUP("8.00.21",All_Data,F$1,0)</f>
        <v>0.839</v>
      </c>
      <c r="G134" s="490" t="n">
        <f aca="false">VLOOKUP("8.00.21",All_Data,G$1,0)</f>
        <v>79.667</v>
      </c>
      <c r="H134" s="490" t="n">
        <f aca="false">VLOOKUP("8.00.21",All_Data,H$1,0)</f>
        <v>10.619</v>
      </c>
      <c r="I134" s="490" t="n">
        <f aca="false">VLOOKUP("8.00.21",All_Data,I$1,0)</f>
        <v>4.586</v>
      </c>
      <c r="J134" s="490" t="n">
        <f aca="false">VLOOKUP("8.00.21",All_Data,J$1,0)</f>
        <v>0.744</v>
      </c>
      <c r="K134" s="490" t="n">
        <f aca="false">VLOOKUP("8.00.21",All_Data,K$1,0)</f>
        <v>1.639</v>
      </c>
      <c r="L134" s="490" t="n">
        <f aca="false">VLOOKUP("8.00.21",All_Data,L$1,0)</f>
        <v>0.501</v>
      </c>
      <c r="M134" s="490" t="n">
        <f aca="false">VLOOKUP("8.00.21",All_Data,M$1,0)</f>
        <v>0.572</v>
      </c>
      <c r="N134" s="490" t="n">
        <f aca="false">VLOOKUP("8.00.21",All_Data,N$1,0)</f>
        <v>0.712</v>
      </c>
      <c r="O134" s="490" t="n">
        <f aca="false">VLOOKUP("8.00.21",All_Data,O$1,0)</f>
        <v>0</v>
      </c>
      <c r="P134" s="477" t="n">
        <f aca="false">SUM(E134:O134)</f>
        <v>100</v>
      </c>
      <c r="Q134" s="475" t="n">
        <f aca="false">$C134*E134/$P134</f>
        <v>0.3511178</v>
      </c>
      <c r="R134" s="478" t="n">
        <f aca="false">$C134*F134/$P134</f>
        <v>2.4346102</v>
      </c>
      <c r="S134" s="478" t="n">
        <f aca="false">$C134*G134/$P134</f>
        <v>231.1777006</v>
      </c>
      <c r="T134" s="478" t="n">
        <f aca="false">$C134*H134/$P134</f>
        <v>30.8142142</v>
      </c>
      <c r="U134" s="478" t="n">
        <f aca="false">$C134*I134/$P134</f>
        <v>13.3076548</v>
      </c>
      <c r="V134" s="478" t="n">
        <f aca="false">$C134*J134/$P134</f>
        <v>2.1589392</v>
      </c>
      <c r="W134" s="478" t="n">
        <f aca="false">$C134*K134/$P134</f>
        <v>4.7560502</v>
      </c>
      <c r="X134" s="478" t="n">
        <f aca="false">$C134*L134/$P134</f>
        <v>1.4538018</v>
      </c>
      <c r="Y134" s="478" t="n">
        <f aca="false">$C134*M134/$P134</f>
        <v>1.6598296</v>
      </c>
      <c r="Z134" s="478" t="n">
        <f aca="false">$C134*N134/$P134</f>
        <v>2.0660816</v>
      </c>
      <c r="AA134" s="478" t="n">
        <f aca="false">$C134*O134/$P134</f>
        <v>0</v>
      </c>
      <c r="AB134" s="479" t="n">
        <f aca="false">SUM(Q134:AA134)</f>
        <v>290.18</v>
      </c>
      <c r="AC134" s="480"/>
      <c r="AD134" s="481"/>
      <c r="AE134" s="478" t="n">
        <f aca="false">S134*AE$159/$BP134/1000</f>
        <v>233.600724046208</v>
      </c>
      <c r="AF134" s="478" t="n">
        <f aca="false">T134*AF$159/$BP134/1000</f>
        <v>54.5612049467401</v>
      </c>
      <c r="AG134" s="478" t="n">
        <f aca="false">U134*AG$159/$BP134/1000</f>
        <v>33.5003024675243</v>
      </c>
      <c r="AH134" s="478" t="n">
        <f aca="false">V134*AH$159/$BP134/1000</f>
        <v>7.02422267771794</v>
      </c>
      <c r="AI134" s="478" t="n">
        <f aca="false">W134*AI$159/$BP134/1000</f>
        <v>15.5237042178887</v>
      </c>
      <c r="AJ134" s="478" t="n">
        <f aca="false">X134*AJ$159/$BP134/1000</f>
        <v>5.81954388794448</v>
      </c>
      <c r="AK134" s="478" t="n">
        <f aca="false">Y134*AK$159/$BP134/1000</f>
        <v>6.65726367694965</v>
      </c>
      <c r="AL134" s="478" t="n">
        <f aca="false">Z134*AL$159/$BP134/1000</f>
        <v>10.6029152041822</v>
      </c>
      <c r="AM134" s="478"/>
      <c r="AN134" s="478" t="n">
        <f aca="false">SUM(AC134:AM134)</f>
        <v>367.289881125156</v>
      </c>
      <c r="AO134" s="478" t="n">
        <f aca="false">D134-AN134</f>
        <v>0.0779978267309502</v>
      </c>
      <c r="AP134" s="482" t="n">
        <f aca="false">IF(D134=0,0,AO134/D134)</f>
        <v>0.000212315314429451</v>
      </c>
      <c r="AQ134" s="483" t="n">
        <f aca="false">IF(AB134=0,0,AN134/AB134)*1000</f>
        <v>1265.73120520076</v>
      </c>
      <c r="AR134" s="484" t="n">
        <f aca="false">IF(C134=0,0,D134/C134)*1000</f>
        <v>1265.99999638806</v>
      </c>
      <c r="AS134" s="474" t="n">
        <f aca="false">Q134*1000/AS$159*$AD$159/14.696/$BP134/42</f>
        <v>0.142379929863359</v>
      </c>
      <c r="AT134" s="478" t="n">
        <f aca="false">R134*1000/AT$159*$AD$159/14.696/$BP134/42</f>
        <v>0.636431735184646</v>
      </c>
      <c r="AU134" s="478" t="n">
        <f aca="false">S134*1000/AU$159*$AD$159/14.696/$BP134/42</f>
        <v>93.1222660706802</v>
      </c>
      <c r="AV134" s="478" t="n">
        <f aca="false">T134*1000/AV$159*$AD$159/14.696/$BP134/42</f>
        <v>19.580918277147</v>
      </c>
      <c r="AW134" s="478" t="n">
        <f aca="false">U134*1000/AW$159*$AD$159/14.696/$BP134/42</f>
        <v>8.71127584125372</v>
      </c>
      <c r="AX134" s="478" t="n">
        <f aca="false">V134*1000/AX$159*$AD$159/14.696/$BP134/42</f>
        <v>1.67868188647178</v>
      </c>
      <c r="AY134" s="478" t="n">
        <f aca="false">W134*1000/AY$159*$AD$159/14.696/$BP134/42</f>
        <v>3.56270515393507</v>
      </c>
      <c r="AZ134" s="478" t="n">
        <f aca="false">X134*1000/AZ$159*$AD$159/14.696/$BP134/42</f>
        <v>1.26330153177335</v>
      </c>
      <c r="BA134" s="478" t="n">
        <f aca="false">Y134*1000/BA$159*$AD$159/14.696/$BP134/42</f>
        <v>1.42960797371515</v>
      </c>
      <c r="BB134" s="478" t="n">
        <f aca="false">Z134*1000/BB$159*$AD$159/14.696/$BP134/42</f>
        <v>2.13026937060166</v>
      </c>
      <c r="BC134" s="478" t="n">
        <f aca="false">AA134*1000/BC$159*$AD$159/14.696/$BP134/42</f>
        <v>0</v>
      </c>
      <c r="BD134" s="485" t="n">
        <f aca="false">SUM(AS134:BC134)</f>
        <v>132.257837770626</v>
      </c>
      <c r="BE134" s="480" t="n">
        <f aca="false">E134/$P134*BE$159</f>
        <v>2.3595E-005</v>
      </c>
      <c r="BF134" s="481" t="n">
        <f aca="false">F134/$P134*BF$159</f>
        <v>3.70838E-005</v>
      </c>
      <c r="BG134" s="481" t="n">
        <f aca="false">G134/$P134*BG$159</f>
        <v>0.009241372</v>
      </c>
      <c r="BH134" s="481" t="n">
        <f aca="false">H134/$P134*BH$159</f>
        <v>0.002527322</v>
      </c>
      <c r="BI134" s="481" t="n">
        <f aca="false">I134/$P134*BI$159</f>
        <v>0.001591342</v>
      </c>
      <c r="BJ134" s="481" t="n">
        <f aca="false">J134/$P134*BJ$159</f>
        <v>0.000328104</v>
      </c>
      <c r="BK134" s="481" t="n">
        <f aca="false">K134/$P134*BK$159</f>
        <v>0.00077033</v>
      </c>
      <c r="BL134" s="481" t="n">
        <f aca="false">L134/$P134*BL$159</f>
        <v>0.000288576</v>
      </c>
      <c r="BM134" s="481" t="n">
        <f aca="false">M134/$P134*BM$159</f>
        <v>0.000346632</v>
      </c>
      <c r="BN134" s="481" t="n">
        <f aca="false">N134/$P134*BN$159</f>
        <v>0.0006149544</v>
      </c>
      <c r="BO134" s="481" t="n">
        <f aca="false">O134/$P134*BO$159</f>
        <v>0</v>
      </c>
      <c r="BP134" s="477" t="n">
        <f aca="false">1-AD$159*(SUM(BE134:BO134))^2</f>
        <v>0.996356967275666</v>
      </c>
    </row>
    <row r="135" customFormat="false" ht="16.5" hidden="false" customHeight="false" outlineLevel="0" collapsed="false">
      <c r="A135" s="486" t="s">
        <v>108</v>
      </c>
      <c r="B135" s="487" t="s">
        <v>365</v>
      </c>
      <c r="C135" s="488" t="n">
        <v>0</v>
      </c>
      <c r="D135" s="489" t="n">
        <f aca="false">VLOOKUP("8.00.21",All_Data,4,0)/VLOOKUP("8.00.21",All_Data,3,0)*C135</f>
        <v>0</v>
      </c>
      <c r="E135" s="490" t="n">
        <f aca="false">VLOOKUP("8.00.16",All_Data,E$1,0)</f>
        <v>0.135</v>
      </c>
      <c r="F135" s="490" t="n">
        <f aca="false">VLOOKUP("8.00.21",All_Data,F$1,0)</f>
        <v>0.839</v>
      </c>
      <c r="G135" s="490" t="n">
        <f aca="false">VLOOKUP("8.00.21",All_Data,G$1,0)</f>
        <v>79.667</v>
      </c>
      <c r="H135" s="490" t="n">
        <f aca="false">VLOOKUP("8.00.21",All_Data,H$1,0)</f>
        <v>10.619</v>
      </c>
      <c r="I135" s="490" t="n">
        <f aca="false">VLOOKUP("8.00.21",All_Data,I$1,0)</f>
        <v>4.586</v>
      </c>
      <c r="J135" s="490" t="n">
        <f aca="false">VLOOKUP("8.00.21",All_Data,J$1,0)</f>
        <v>0.744</v>
      </c>
      <c r="K135" s="490" t="n">
        <f aca="false">VLOOKUP("8.00.21",All_Data,K$1,0)</f>
        <v>1.639</v>
      </c>
      <c r="L135" s="490" t="n">
        <f aca="false">VLOOKUP("8.00.21",All_Data,L$1,0)</f>
        <v>0.501</v>
      </c>
      <c r="M135" s="490" t="n">
        <f aca="false">VLOOKUP("8.00.21",All_Data,M$1,0)</f>
        <v>0.572</v>
      </c>
      <c r="N135" s="490" t="n">
        <f aca="false">VLOOKUP("8.00.21",All_Data,N$1,0)</f>
        <v>0.712</v>
      </c>
      <c r="O135" s="490" t="n">
        <f aca="false">VLOOKUP("8.00.21",All_Data,O$1,0)</f>
        <v>0</v>
      </c>
      <c r="P135" s="477" t="n">
        <f aca="false">SUM(E135:O135)</f>
        <v>100.014</v>
      </c>
      <c r="Q135" s="475" t="n">
        <f aca="false">$C135*E135/$P135</f>
        <v>0</v>
      </c>
      <c r="R135" s="478" t="n">
        <f aca="false">$C135*F135/$P135</f>
        <v>0</v>
      </c>
      <c r="S135" s="478" t="n">
        <f aca="false">$C135*G135/$P135</f>
        <v>0</v>
      </c>
      <c r="T135" s="478" t="n">
        <f aca="false">$C135*H135/$P135</f>
        <v>0</v>
      </c>
      <c r="U135" s="478" t="n">
        <f aca="false">$C135*I135/$P135</f>
        <v>0</v>
      </c>
      <c r="V135" s="478" t="n">
        <f aca="false">$C135*J135/$P135</f>
        <v>0</v>
      </c>
      <c r="W135" s="478" t="n">
        <f aca="false">$C135*K135/$P135</f>
        <v>0</v>
      </c>
      <c r="X135" s="478" t="n">
        <f aca="false">$C135*L135/$P135</f>
        <v>0</v>
      </c>
      <c r="Y135" s="478" t="n">
        <f aca="false">$C135*M135/$P135</f>
        <v>0</v>
      </c>
      <c r="Z135" s="478" t="n">
        <f aca="false">$C135*N135/$P135</f>
        <v>0</v>
      </c>
      <c r="AA135" s="478" t="n">
        <f aca="false">$C135*O135/$P135</f>
        <v>0</v>
      </c>
      <c r="AB135" s="479" t="n">
        <f aca="false">SUM(Q135:AA135)</f>
        <v>0</v>
      </c>
      <c r="AC135" s="480"/>
      <c r="AD135" s="481"/>
      <c r="AE135" s="478" t="n">
        <f aca="false">S135*AE$159/$BP135/1000</f>
        <v>0</v>
      </c>
      <c r="AF135" s="478" t="n">
        <f aca="false">T135*AF$159/$BP135/1000</f>
        <v>0</v>
      </c>
      <c r="AG135" s="478" t="n">
        <f aca="false">U135*AG$159/$BP135/1000</f>
        <v>0</v>
      </c>
      <c r="AH135" s="478" t="n">
        <f aca="false">V135*AH$159/$BP135/1000</f>
        <v>0</v>
      </c>
      <c r="AI135" s="478" t="n">
        <f aca="false">W135*AI$159/$BP135/1000</f>
        <v>0</v>
      </c>
      <c r="AJ135" s="478" t="n">
        <f aca="false">X135*AJ$159/$BP135/1000</f>
        <v>0</v>
      </c>
      <c r="AK135" s="478" t="n">
        <f aca="false">Y135*AK$159/$BP135/1000</f>
        <v>0</v>
      </c>
      <c r="AL135" s="478" t="n">
        <f aca="false">Z135*AL$159/$BP135/1000</f>
        <v>0</v>
      </c>
      <c r="AM135" s="478"/>
      <c r="AN135" s="478" t="n">
        <f aca="false">SUM(AC135:AM135)</f>
        <v>0</v>
      </c>
      <c r="AO135" s="478" t="n">
        <f aca="false">D135-AN135</f>
        <v>0</v>
      </c>
      <c r="AP135" s="482" t="n">
        <f aca="false">IF(D135=0,0,AO135/D135)</f>
        <v>0</v>
      </c>
      <c r="AQ135" s="483" t="n">
        <f aca="false">IF(AB135=0,0,AN135/AB135)*1000</f>
        <v>0</v>
      </c>
      <c r="AR135" s="484" t="n">
        <f aca="false">IF(C135=0,0,D135/C135)*1000</f>
        <v>0</v>
      </c>
      <c r="AS135" s="474" t="n">
        <f aca="false">Q135*1000/AS$159*$AD$159/14.696/$BP135/42</f>
        <v>0</v>
      </c>
      <c r="AT135" s="478" t="n">
        <f aca="false">R135*1000/AT$159*$AD$159/14.696/$BP135/42</f>
        <v>0</v>
      </c>
      <c r="AU135" s="478" t="n">
        <f aca="false">S135*1000/AU$159*$AD$159/14.696/$BP135/42</f>
        <v>0</v>
      </c>
      <c r="AV135" s="478" t="n">
        <f aca="false">T135*1000/AV$159*$AD$159/14.696/$BP135/42</f>
        <v>0</v>
      </c>
      <c r="AW135" s="478" t="n">
        <f aca="false">U135*1000/AW$159*$AD$159/14.696/$BP135/42</f>
        <v>0</v>
      </c>
      <c r="AX135" s="478" t="n">
        <f aca="false">V135*1000/AX$159*$AD$159/14.696/$BP135/42</f>
        <v>0</v>
      </c>
      <c r="AY135" s="478" t="n">
        <f aca="false">W135*1000/AY$159*$AD$159/14.696/$BP135/42</f>
        <v>0</v>
      </c>
      <c r="AZ135" s="478" t="n">
        <f aca="false">X135*1000/AZ$159*$AD$159/14.696/$BP135/42</f>
        <v>0</v>
      </c>
      <c r="BA135" s="478" t="n">
        <f aca="false">Y135*1000/BA$159*$AD$159/14.696/$BP135/42</f>
        <v>0</v>
      </c>
      <c r="BB135" s="478" t="n">
        <f aca="false">Z135*1000/BB$159*$AD$159/14.696/$BP135/42</f>
        <v>0</v>
      </c>
      <c r="BC135" s="478" t="n">
        <f aca="false">AA135*1000/BC$159*$AD$159/14.696/$BP135/42</f>
        <v>0</v>
      </c>
      <c r="BD135" s="485" t="n">
        <f aca="false">SUM(AS135:BC135)</f>
        <v>0</v>
      </c>
      <c r="BE135" s="480" t="n">
        <f aca="false">E135/$P135*BE$159</f>
        <v>2.63213150158978E-005</v>
      </c>
      <c r="BF135" s="481" t="n">
        <f aca="false">F135/$P135*BF$159</f>
        <v>3.70786089947407E-005</v>
      </c>
      <c r="BG135" s="481" t="n">
        <f aca="false">G135/$P135*BG$159</f>
        <v>0.00924007838902554</v>
      </c>
      <c r="BH135" s="481" t="n">
        <f aca="false">H135/$P135*BH$159</f>
        <v>0.00252696822444858</v>
      </c>
      <c r="BI135" s="481" t="n">
        <f aca="false">I135/$P135*BI$159</f>
        <v>0.00159111924330594</v>
      </c>
      <c r="BJ135" s="481" t="n">
        <f aca="false">J135/$P135*BJ$159</f>
        <v>0.000328058071869938</v>
      </c>
      <c r="BK135" s="481" t="n">
        <f aca="false">K135/$P135*BK$159</f>
        <v>0.000770222168896354</v>
      </c>
      <c r="BL135" s="481" t="n">
        <f aca="false">L135/$P135*BL$159</f>
        <v>0.000288535605015298</v>
      </c>
      <c r="BM135" s="481" t="n">
        <f aca="false">M135/$P135*BM$159</f>
        <v>0.000346583478313036</v>
      </c>
      <c r="BN135" s="481" t="n">
        <f aca="false">N135/$P135*BN$159</f>
        <v>0.000614868318435419</v>
      </c>
      <c r="BO135" s="481" t="n">
        <f aca="false">O135/$P135*BO$159</f>
        <v>0</v>
      </c>
      <c r="BP135" s="477" t="n">
        <f aca="false">1-AD$159*(SUM(BE135:BO135))^2</f>
        <v>0.99635672598318</v>
      </c>
    </row>
    <row r="136" customFormat="false" ht="15.75" hidden="false" customHeight="false" outlineLevel="0" collapsed="false">
      <c r="A136" s="486" t="s">
        <v>366</v>
      </c>
      <c r="B136" s="487" t="s">
        <v>367</v>
      </c>
      <c r="C136" s="488" t="n">
        <v>0</v>
      </c>
      <c r="D136" s="489"/>
      <c r="E136" s="490"/>
      <c r="F136" s="490"/>
      <c r="G136" s="490"/>
      <c r="H136" s="490"/>
      <c r="I136" s="490"/>
      <c r="J136" s="490"/>
      <c r="K136" s="490"/>
      <c r="L136" s="490"/>
      <c r="M136" s="490"/>
      <c r="N136" s="490"/>
      <c r="O136" s="490"/>
      <c r="P136" s="477" t="n">
        <f aca="false">SUM(E136:O136)</f>
        <v>0</v>
      </c>
      <c r="Q136" s="475" t="e">
        <f aca="false">$C136*E136/$P136</f>
        <v>#DIV/0!</v>
      </c>
      <c r="R136" s="478" t="e">
        <f aca="false">$C136*F136/$P136</f>
        <v>#DIV/0!</v>
      </c>
      <c r="S136" s="478" t="e">
        <f aca="false">$C136*G136/$P136</f>
        <v>#DIV/0!</v>
      </c>
      <c r="T136" s="478" t="e">
        <f aca="false">$C136*H136/$P136</f>
        <v>#DIV/0!</v>
      </c>
      <c r="U136" s="478" t="e">
        <f aca="false">$C136*I136/$P136</f>
        <v>#DIV/0!</v>
      </c>
      <c r="V136" s="478" t="e">
        <f aca="false">$C136*J136/$P136</f>
        <v>#DIV/0!</v>
      </c>
      <c r="W136" s="478" t="e">
        <f aca="false">$C136*K136/$P136</f>
        <v>#DIV/0!</v>
      </c>
      <c r="X136" s="478" t="e">
        <f aca="false">$C136*L136/$P136</f>
        <v>#DIV/0!</v>
      </c>
      <c r="Y136" s="478" t="e">
        <f aca="false">$C136*M136/$P136</f>
        <v>#DIV/0!</v>
      </c>
      <c r="Z136" s="478" t="e">
        <f aca="false">$C136*N136/$P136</f>
        <v>#DIV/0!</v>
      </c>
      <c r="AA136" s="478" t="e">
        <f aca="false">$C136*O136/$P136</f>
        <v>#DIV/0!</v>
      </c>
      <c r="AB136" s="479" t="e">
        <f aca="false">SUM(Q136:AA136)</f>
        <v>#DIV/0!</v>
      </c>
      <c r="AC136" s="480"/>
      <c r="AD136" s="481"/>
      <c r="AE136" s="478" t="e">
        <f aca="false">S136*AE$159/$BP136/1000</f>
        <v>#DIV/0!</v>
      </c>
      <c r="AF136" s="478" t="e">
        <f aca="false">T136*AF$159/$BP136/1000</f>
        <v>#DIV/0!</v>
      </c>
      <c r="AG136" s="478" t="e">
        <f aca="false">U136*AG$159/$BP136/1000</f>
        <v>#DIV/0!</v>
      </c>
      <c r="AH136" s="478" t="e">
        <f aca="false">V136*AH$159/$BP136/1000</f>
        <v>#DIV/0!</v>
      </c>
      <c r="AI136" s="478" t="e">
        <f aca="false">W136*AI$159/$BP136/1000</f>
        <v>#DIV/0!</v>
      </c>
      <c r="AJ136" s="478" t="e">
        <f aca="false">X136*AJ$159/$BP136/1000</f>
        <v>#DIV/0!</v>
      </c>
      <c r="AK136" s="478" t="e">
        <f aca="false">Y136*AK$159/$BP136/1000</f>
        <v>#DIV/0!</v>
      </c>
      <c r="AL136" s="478" t="e">
        <f aca="false">Z136*AL$159/$BP136/1000</f>
        <v>#DIV/0!</v>
      </c>
      <c r="AM136" s="478"/>
      <c r="AN136" s="478" t="e">
        <f aca="false">SUM(AC136:AM136)</f>
        <v>#DIV/0!</v>
      </c>
      <c r="AO136" s="478" t="e">
        <f aca="false">D136-AN136</f>
        <v>#DIV/0!</v>
      </c>
      <c r="AP136" s="482" t="n">
        <f aca="false">IF(D136=0,0,AO136/D136)</f>
        <v>0</v>
      </c>
      <c r="AQ136" s="483" t="e">
        <f aca="false">IF(AB136=0,0,AN136/AB136)*1000</f>
        <v>#DIV/0!</v>
      </c>
      <c r="AR136" s="484" t="n">
        <f aca="false">IF(C136=0,0,D136/C136)*1000</f>
        <v>0</v>
      </c>
      <c r="AS136" s="474" t="e">
        <f aca="false">Q136*1000/AS$159*$AD$159/14.696/$BP136/42</f>
        <v>#DIV/0!</v>
      </c>
      <c r="AT136" s="478" t="e">
        <f aca="false">R136*1000/AT$159*$AD$159/14.696/$BP136/42</f>
        <v>#DIV/0!</v>
      </c>
      <c r="AU136" s="478" t="e">
        <f aca="false">S136*1000/AU$159*$AD$159/14.696/$BP136/42</f>
        <v>#DIV/0!</v>
      </c>
      <c r="AV136" s="478" t="e">
        <f aca="false">T136*1000/AV$159*$AD$159/14.696/$BP136/42</f>
        <v>#DIV/0!</v>
      </c>
      <c r="AW136" s="478" t="e">
        <f aca="false">U136*1000/AW$159*$AD$159/14.696/$BP136/42</f>
        <v>#DIV/0!</v>
      </c>
      <c r="AX136" s="478" t="e">
        <f aca="false">V136*1000/AX$159*$AD$159/14.696/$BP136/42</f>
        <v>#DIV/0!</v>
      </c>
      <c r="AY136" s="478" t="e">
        <f aca="false">W136*1000/AY$159*$AD$159/14.696/$BP136/42</f>
        <v>#DIV/0!</v>
      </c>
      <c r="AZ136" s="478" t="e">
        <f aca="false">X136*1000/AZ$159*$AD$159/14.696/$BP136/42</f>
        <v>#DIV/0!</v>
      </c>
      <c r="BA136" s="478" t="e">
        <f aca="false">Y136*1000/BA$159*$AD$159/14.696/$BP136/42</f>
        <v>#DIV/0!</v>
      </c>
      <c r="BB136" s="478" t="e">
        <f aca="false">Z136*1000/BB$159*$AD$159/14.696/$BP136/42</f>
        <v>#DIV/0!</v>
      </c>
      <c r="BC136" s="478" t="e">
        <f aca="false">AA136*1000/BC$159*$AD$159/14.696/$BP136/42</f>
        <v>#DIV/0!</v>
      </c>
      <c r="BD136" s="485" t="e">
        <f aca="false">SUM(AS136:BC136)</f>
        <v>#DIV/0!</v>
      </c>
      <c r="BE136" s="480" t="e">
        <f aca="false">E136/$P136*BE$159</f>
        <v>#DIV/0!</v>
      </c>
      <c r="BF136" s="481" t="e">
        <f aca="false">F136/$P136*BF$159</f>
        <v>#DIV/0!</v>
      </c>
      <c r="BG136" s="481" t="e">
        <f aca="false">G136/$P136*BG$159</f>
        <v>#DIV/0!</v>
      </c>
      <c r="BH136" s="481" t="e">
        <f aca="false">H136/$P136*BH$159</f>
        <v>#DIV/0!</v>
      </c>
      <c r="BI136" s="481" t="e">
        <f aca="false">I136/$P136*BI$159</f>
        <v>#DIV/0!</v>
      </c>
      <c r="BJ136" s="481" t="e">
        <f aca="false">J136/$P136*BJ$159</f>
        <v>#DIV/0!</v>
      </c>
      <c r="BK136" s="481" t="e">
        <f aca="false">K136/$P136*BK$159</f>
        <v>#DIV/0!</v>
      </c>
      <c r="BL136" s="481" t="e">
        <f aca="false">L136/$P136*BL$159</f>
        <v>#DIV/0!</v>
      </c>
      <c r="BM136" s="481" t="e">
        <f aca="false">M136/$P136*BM$159</f>
        <v>#DIV/0!</v>
      </c>
      <c r="BN136" s="481" t="e">
        <f aca="false">N136/$P136*BN$159</f>
        <v>#DIV/0!</v>
      </c>
      <c r="BO136" s="481" t="e">
        <f aca="false">O136/$P136*BO$159</f>
        <v>#DIV/0!</v>
      </c>
      <c r="BP136" s="477" t="e">
        <f aca="false">1-AD$159*(SUM(BE136:BO136))^2</f>
        <v>#DIV/0!</v>
      </c>
    </row>
    <row r="137" customFormat="false" ht="15" hidden="false" customHeight="false" outlineLevel="0" collapsed="false">
      <c r="A137" s="491" t="s">
        <v>109</v>
      </c>
      <c r="B137" s="492" t="s">
        <v>202</v>
      </c>
      <c r="C137" s="493" t="n">
        <v>6.07</v>
      </c>
      <c r="D137" s="494" t="n">
        <f aca="false">VLOOKUP("8.00.16",All_Data,4,0)/VLOOKUP("8.00.16",All_Data,3,0)*C137</f>
        <v>7.80601998947476</v>
      </c>
      <c r="E137" s="495" t="n">
        <f aca="false">VLOOKUP("8.00.16",All_Data,E$1,0)</f>
        <v>0.135</v>
      </c>
      <c r="F137" s="495" t="n">
        <f aca="false">VLOOKUP("8.00.16",All_Data,F$1,0)</f>
        <v>0.866</v>
      </c>
      <c r="G137" s="495" t="n">
        <f aca="false">VLOOKUP("8.00.16",All_Data,G$1,0)</f>
        <v>78.175</v>
      </c>
      <c r="H137" s="495" t="n">
        <f aca="false">VLOOKUP("8.00.16",All_Data,H$1,0)</f>
        <v>11.344</v>
      </c>
      <c r="I137" s="495" t="n">
        <f aca="false">VLOOKUP("8.00.16",All_Data,I$1,0)</f>
        <v>5.072</v>
      </c>
      <c r="J137" s="495" t="n">
        <f aca="false">VLOOKUP("8.00.16",All_Data,J$1,0)</f>
        <v>0.771</v>
      </c>
      <c r="K137" s="495" t="n">
        <f aca="false">VLOOKUP("8.00.16",All_Data,K$1,0)</f>
        <v>1.767</v>
      </c>
      <c r="L137" s="495" t="n">
        <f aca="false">VLOOKUP("8.00.16",All_Data,L$1,0)</f>
        <v>0.506</v>
      </c>
      <c r="M137" s="495" t="n">
        <f aca="false">VLOOKUP("8.00.16",All_Data,M$1,0)</f>
        <v>0.536</v>
      </c>
      <c r="N137" s="495" t="n">
        <f aca="false">VLOOKUP("8.00.16",All_Data,N$1,0)</f>
        <v>0.828</v>
      </c>
      <c r="O137" s="495" t="n">
        <f aca="false">VLOOKUP("8.00.16",All_Data,O$1,0)</f>
        <v>0</v>
      </c>
      <c r="P137" s="496" t="n">
        <f aca="false">SUM(E137:O137)</f>
        <v>100</v>
      </c>
      <c r="Q137" s="494" t="n">
        <f aca="false">$C137*E137/$P137</f>
        <v>0.0081945</v>
      </c>
      <c r="R137" s="497" t="n">
        <f aca="false">$C137*F137/$P137</f>
        <v>0.0525662</v>
      </c>
      <c r="S137" s="497" t="n">
        <f aca="false">$C137*G137/$P137</f>
        <v>4.7452225</v>
      </c>
      <c r="T137" s="497" t="n">
        <f aca="false">$C137*H137/$P137</f>
        <v>0.6885808</v>
      </c>
      <c r="U137" s="497" t="n">
        <f aca="false">$C137*I137/$P137</f>
        <v>0.3078704</v>
      </c>
      <c r="V137" s="497" t="n">
        <f aca="false">$C137*J137/$P137</f>
        <v>0.0467997</v>
      </c>
      <c r="W137" s="497" t="n">
        <f aca="false">$C137*K137/$P137</f>
        <v>0.1072569</v>
      </c>
      <c r="X137" s="497" t="n">
        <f aca="false">$C137*L137/$P137</f>
        <v>0.0307142</v>
      </c>
      <c r="Y137" s="497" t="n">
        <f aca="false">$C137*M137/$P137</f>
        <v>0.0325352</v>
      </c>
      <c r="Z137" s="497" t="n">
        <f aca="false">$C137*N137/$P137</f>
        <v>0.0502596</v>
      </c>
      <c r="AA137" s="497" t="n">
        <f aca="false">$C137*O137/$P137</f>
        <v>0</v>
      </c>
      <c r="AB137" s="498" t="n">
        <f aca="false">SUM(Q137:AA137)</f>
        <v>6.07</v>
      </c>
      <c r="AC137" s="499"/>
      <c r="AD137" s="500"/>
      <c r="AE137" s="497" t="n">
        <f aca="false">S137*AE$159/$BP137/1000</f>
        <v>4.79568924537568</v>
      </c>
      <c r="AF137" s="497" t="n">
        <f aca="false">T137*AF$159/$BP137/1000</f>
        <v>1.2194218494557</v>
      </c>
      <c r="AG137" s="497" t="n">
        <f aca="false">U137*AG$159/$BP137/1000</f>
        <v>0.775142135688441</v>
      </c>
      <c r="AH137" s="497" t="n">
        <f aca="false">V137*AH$159/$BP137/1000</f>
        <v>0.152288509417219</v>
      </c>
      <c r="AI137" s="497" t="n">
        <f aca="false">W137*AI$159/$BP137/1000</f>
        <v>0.350138911849236</v>
      </c>
      <c r="AJ137" s="497" t="n">
        <f aca="false">X137*AJ$159/$BP137/1000</f>
        <v>0.122967165202377</v>
      </c>
      <c r="AK137" s="497" t="n">
        <f aca="false">Y137*AK$159/$BP137/1000</f>
        <v>0.130512449875296</v>
      </c>
      <c r="AL137" s="497" t="n">
        <f aca="false">Z137*AL$159/$BP137/1000</f>
        <v>0.257966347043477</v>
      </c>
      <c r="AM137" s="497"/>
      <c r="AN137" s="497" t="n">
        <f aca="false">SUM(AC137:AM137)</f>
        <v>7.80412661390742</v>
      </c>
      <c r="AO137" s="497" t="n">
        <f aca="false">D137-AN137</f>
        <v>0.00189337556733626</v>
      </c>
      <c r="AP137" s="501" t="n">
        <f aca="false">IF(D137=0,0,AO137/D137)</f>
        <v>0.000242553256318738</v>
      </c>
      <c r="AQ137" s="502" t="n">
        <f aca="false">IF(AB137=0,0,AN137/AB137)*1000</f>
        <v>1285.68807477882</v>
      </c>
      <c r="AR137" s="503" t="n">
        <f aca="false">IF(C137=0,0,D137/C137)*1000</f>
        <v>1285.99999826602</v>
      </c>
      <c r="AS137" s="504" t="n">
        <f aca="false">Q137*1000/AS$159*$AD$159/14.696/$BP137/42</f>
        <v>0.00332341515042935</v>
      </c>
      <c r="AT137" s="497" t="n">
        <f aca="false">R137*1000/AT$159*$AD$159/14.696/$BP137/42</f>
        <v>0.0137434314619638</v>
      </c>
      <c r="AU137" s="497" t="n">
        <f aca="false">S137*1000/AU$159*$AD$159/14.696/$BP137/42</f>
        <v>1.9117468566229</v>
      </c>
      <c r="AV137" s="497" t="n">
        <f aca="false">T137*1000/AV$159*$AD$159/14.696/$BP137/42</f>
        <v>0.43762595791034</v>
      </c>
      <c r="AW137" s="497" t="n">
        <f aca="false">U137*1000/AW$159*$AD$159/14.696/$BP137/42</f>
        <v>0.20156465651934</v>
      </c>
      <c r="AX137" s="497" t="n">
        <f aca="false">V137*1000/AX$159*$AD$159/14.696/$BP137/42</f>
        <v>0.0363946267090051</v>
      </c>
      <c r="AY137" s="497" t="n">
        <f aca="false">W137*1000/AY$159*$AD$159/14.696/$BP137/42</f>
        <v>0.0803572194065003</v>
      </c>
      <c r="AZ137" s="497" t="n">
        <f aca="false">X137*1000/AZ$159*$AD$159/14.696/$BP137/42</f>
        <v>0.0266936054008966</v>
      </c>
      <c r="BA137" s="497" t="n">
        <f aca="false">Y137*1000/BA$159*$AD$159/14.696/$BP137/42</f>
        <v>0.0280267761748493</v>
      </c>
      <c r="BB137" s="497" t="n">
        <f aca="false">Z137*1000/BB$159*$AD$159/14.696/$BP137/42</f>
        <v>0.0518289354550303</v>
      </c>
      <c r="BC137" s="497" t="n">
        <f aca="false">AA137*1000/BC$159*$AD$159/14.696/$BP137/42</f>
        <v>0</v>
      </c>
      <c r="BD137" s="505" t="n">
        <f aca="false">SUM(AS137:BC137)</f>
        <v>2.79130548081126</v>
      </c>
      <c r="BE137" s="499" t="n">
        <f aca="false">E137/$P137*BE$159</f>
        <v>2.6325E-005</v>
      </c>
      <c r="BF137" s="500" t="n">
        <f aca="false">F137/$P137*BF$159</f>
        <v>3.82772E-005</v>
      </c>
      <c r="BG137" s="500" t="n">
        <f aca="false">G137/$P137*BG$159</f>
        <v>0.0090683</v>
      </c>
      <c r="BH137" s="500" t="n">
        <f aca="false">H137/$P137*BH$159</f>
        <v>0.002699872</v>
      </c>
      <c r="BI137" s="500" t="n">
        <f aca="false">I137/$P137*BI$159</f>
        <v>0.001759984</v>
      </c>
      <c r="BJ137" s="500" t="n">
        <f aca="false">J137/$P137*BJ$159</f>
        <v>0.000340011</v>
      </c>
      <c r="BK137" s="500" t="n">
        <f aca="false">K137/$P137*BK$159</f>
        <v>0.00083049</v>
      </c>
      <c r="BL137" s="500" t="n">
        <f aca="false">L137/$P137*BL$159</f>
        <v>0.000291456</v>
      </c>
      <c r="BM137" s="500" t="n">
        <f aca="false">M137/$P137*BM$159</f>
        <v>0.000324816</v>
      </c>
      <c r="BN137" s="500" t="n">
        <f aca="false">N137/$P137*BN$159</f>
        <v>0.0007151436</v>
      </c>
      <c r="BO137" s="500" t="n">
        <f aca="false">O137/$P137*BO$159</f>
        <v>0</v>
      </c>
      <c r="BP137" s="496" t="n">
        <f aca="false">1-AD$159*(SUM(BE137:BO137))^2</f>
        <v>0.996205085141155</v>
      </c>
    </row>
    <row r="138" customFormat="false" ht="15" hidden="false" customHeight="false" outlineLevel="0" collapsed="false">
      <c r="A138" s="89" t="s">
        <v>114</v>
      </c>
      <c r="B138" s="90" t="s">
        <v>368</v>
      </c>
      <c r="C138" s="493" t="n">
        <v>242.68</v>
      </c>
      <c r="D138" s="92" t="n">
        <f aca="false">VLOOKUP("8.00.16",All_Data,4,0)/VLOOKUP("8.00.16",All_Data,3,0)*C138</f>
        <v>312.086479579199</v>
      </c>
      <c r="E138" s="506" t="n">
        <f aca="false">VLOOKUP("8.00.16",All_Data,E$1,0)</f>
        <v>0.135</v>
      </c>
      <c r="F138" s="506" t="n">
        <f aca="false">VLOOKUP("8.00.16",All_Data,F$1,0)</f>
        <v>0.866</v>
      </c>
      <c r="G138" s="506" t="n">
        <f aca="false">VLOOKUP("8.00.16",All_Data,G$1,0)</f>
        <v>78.175</v>
      </c>
      <c r="H138" s="506" t="n">
        <f aca="false">VLOOKUP("8.00.16",All_Data,H$1,0)</f>
        <v>11.344</v>
      </c>
      <c r="I138" s="506" t="n">
        <f aca="false">VLOOKUP("8.00.16",All_Data,I$1,0)</f>
        <v>5.072</v>
      </c>
      <c r="J138" s="506" t="n">
        <f aca="false">VLOOKUP("8.00.16",All_Data,J$1,0)</f>
        <v>0.771</v>
      </c>
      <c r="K138" s="506" t="n">
        <f aca="false">VLOOKUP("8.00.16",All_Data,K$1,0)</f>
        <v>1.767</v>
      </c>
      <c r="L138" s="506" t="n">
        <f aca="false">VLOOKUP("8.00.16",All_Data,L$1,0)</f>
        <v>0.506</v>
      </c>
      <c r="M138" s="506" t="n">
        <f aca="false">VLOOKUP("8.00.16",All_Data,M$1,0)</f>
        <v>0.536</v>
      </c>
      <c r="N138" s="506" t="n">
        <f aca="false">VLOOKUP("8.00.16",All_Data,N$1,0)</f>
        <v>0.828</v>
      </c>
      <c r="O138" s="506" t="n">
        <f aca="false">VLOOKUP("8.00.16",All_Data,O$1,0)</f>
        <v>0</v>
      </c>
      <c r="P138" s="507" t="n">
        <f aca="false">SUM(E138:O138)</f>
        <v>100</v>
      </c>
      <c r="Q138" s="92" t="n">
        <f aca="false">$C138*E138/$P138</f>
        <v>0.327618</v>
      </c>
      <c r="R138" s="93" t="n">
        <f aca="false">$C138*F138/$P138</f>
        <v>2.1016088</v>
      </c>
      <c r="S138" s="93" t="n">
        <f aca="false">$C138*G138/$P138</f>
        <v>189.71509</v>
      </c>
      <c r="T138" s="93" t="n">
        <f aca="false">$C138*H138/$P138</f>
        <v>27.5296192</v>
      </c>
      <c r="U138" s="93" t="n">
        <f aca="false">$C138*I138/$P138</f>
        <v>12.3087296</v>
      </c>
      <c r="V138" s="93" t="n">
        <f aca="false">$C138*J138/$P138</f>
        <v>1.8710628</v>
      </c>
      <c r="W138" s="93" t="n">
        <f aca="false">$C138*K138/$P138</f>
        <v>4.2881556</v>
      </c>
      <c r="X138" s="93" t="n">
        <f aca="false">$C138*L138/$P138</f>
        <v>1.2279608</v>
      </c>
      <c r="Y138" s="93" t="n">
        <f aca="false">$C138*M138/$P138</f>
        <v>1.3007648</v>
      </c>
      <c r="Z138" s="93" t="n">
        <f aca="false">$C138*N138/$P138</f>
        <v>2.0093904</v>
      </c>
      <c r="AA138" s="93" t="n">
        <f aca="false">$C138*O138/$P138</f>
        <v>0</v>
      </c>
      <c r="AB138" s="95" t="n">
        <f aca="false">SUM(Q138:AA138)</f>
        <v>242.68</v>
      </c>
      <c r="AC138" s="508"/>
      <c r="AD138" s="509"/>
      <c r="AE138" s="93" t="n">
        <f aca="false">S138*AE$159/$BP138/1000</f>
        <v>191.732762119896</v>
      </c>
      <c r="AF138" s="93" t="n">
        <f aca="false">T138*AF$159/$BP138/1000</f>
        <v>48.7527667917478</v>
      </c>
      <c r="AG138" s="93" t="n">
        <f aca="false">U138*AG$159/$BP138/1000</f>
        <v>30.9903613655471</v>
      </c>
      <c r="AH138" s="93" t="n">
        <f aca="false">V138*AH$159/$BP138/1000</f>
        <v>6.08852973070357</v>
      </c>
      <c r="AI138" s="93" t="n">
        <f aca="false">W138*AI$159/$BP138/1000</f>
        <v>13.9986344526479</v>
      </c>
      <c r="AJ138" s="93" t="n">
        <f aca="false">X138*AJ$159/$BP138/1000</f>
        <v>4.91625562624592</v>
      </c>
      <c r="AK138" s="93" t="n">
        <f aca="false">Y138*AK$159/$BP138/1000</f>
        <v>5.21791784773259</v>
      </c>
      <c r="AL138" s="93" t="n">
        <f aca="false">Z138*AL$159/$BP138/1000</f>
        <v>10.3135540528025</v>
      </c>
      <c r="AM138" s="93"/>
      <c r="AN138" s="93" t="n">
        <f aca="false">SUM(AC138:AM138)</f>
        <v>312.010781987324</v>
      </c>
      <c r="AO138" s="93" t="n">
        <f aca="false">D138-AN138</f>
        <v>0.0756975918749276</v>
      </c>
      <c r="AP138" s="510" t="n">
        <f aca="false">IF(D138=0,0,AO138/D138)</f>
        <v>0.000242553256318551</v>
      </c>
      <c r="AQ138" s="511" t="n">
        <f aca="false">IF(AB138=0,0,AN138/AB138)*1000</f>
        <v>1285.68807477882</v>
      </c>
      <c r="AR138" s="512" t="n">
        <f aca="false">IF(C138=0,0,D138/C138)*1000</f>
        <v>1285.99999826602</v>
      </c>
      <c r="AS138" s="513" t="n">
        <f aca="false">Q138*1000/AS$159*$AD$159/14.696/$BP138/42</f>
        <v>0.132870904234958</v>
      </c>
      <c r="AT138" s="93" t="n">
        <f aca="false">R138*1000/AT$159*$AD$159/14.696/$BP138/42</f>
        <v>0.549465559668761</v>
      </c>
      <c r="AU138" s="93" t="n">
        <f aca="false">S138*1000/AU$159*$AD$159/14.696/$BP138/42</f>
        <v>76.4320802578659</v>
      </c>
      <c r="AV138" s="93" t="n">
        <f aca="false">T138*1000/AV$159*$AD$159/14.696/$BP138/42</f>
        <v>17.4963867324022</v>
      </c>
      <c r="AW138" s="93" t="n">
        <f aca="false">U138*1000/AW$159*$AD$159/14.696/$BP138/42</f>
        <v>8.05860145702034</v>
      </c>
      <c r="AX138" s="93" t="n">
        <f aca="false">V138*1000/AX$159*$AD$159/14.696/$BP138/42</f>
        <v>1.45506556997386</v>
      </c>
      <c r="AY138" s="93" t="n">
        <f aca="false">W138*1000/AY$159*$AD$159/14.696/$BP138/42</f>
        <v>3.21270016566219</v>
      </c>
      <c r="AZ138" s="93" t="n">
        <f aca="false">X138*1000/AZ$159*$AD$159/14.696/$BP138/42</f>
        <v>1.06721650060784</v>
      </c>
      <c r="BA138" s="93" t="n">
        <f aca="false">Y138*1000/BA$159*$AD$159/14.696/$BP138/42</f>
        <v>1.12051697563632</v>
      </c>
      <c r="BB138" s="93" t="n">
        <f aca="false">Z138*1000/BB$159*$AD$159/14.696/$BP138/42</f>
        <v>2.07213279344757</v>
      </c>
      <c r="BC138" s="93" t="n">
        <f aca="false">AA138*1000/BC$159*$AD$159/14.696/$BP138/42</f>
        <v>0</v>
      </c>
      <c r="BD138" s="94" t="n">
        <f aca="false">SUM(AS138:BC138)</f>
        <v>111.59703691652</v>
      </c>
      <c r="BE138" s="508" t="n">
        <f aca="false">E138/$P138*BE$159</f>
        <v>2.6325E-005</v>
      </c>
      <c r="BF138" s="509" t="n">
        <f aca="false">F138/$P138*BF$159</f>
        <v>3.82772E-005</v>
      </c>
      <c r="BG138" s="509" t="n">
        <f aca="false">G138/$P138*BG$159</f>
        <v>0.0090683</v>
      </c>
      <c r="BH138" s="509" t="n">
        <f aca="false">H138/$P138*BH$159</f>
        <v>0.002699872</v>
      </c>
      <c r="BI138" s="509" t="n">
        <f aca="false">I138/$P138*BI$159</f>
        <v>0.001759984</v>
      </c>
      <c r="BJ138" s="509" t="n">
        <f aca="false">J138/$P138*BJ$159</f>
        <v>0.000340011</v>
      </c>
      <c r="BK138" s="509" t="n">
        <f aca="false">K138/$P138*BK$159</f>
        <v>0.00083049</v>
      </c>
      <c r="BL138" s="509" t="n">
        <f aca="false">L138/$P138*BL$159</f>
        <v>0.000291456</v>
      </c>
      <c r="BM138" s="509" t="n">
        <f aca="false">M138/$P138*BM$159</f>
        <v>0.000324816</v>
      </c>
      <c r="BN138" s="509" t="n">
        <f aca="false">N138/$P138*BN$159</f>
        <v>0.0007151436</v>
      </c>
      <c r="BO138" s="509" t="n">
        <f aca="false">O138/$P138*BO$159</f>
        <v>0</v>
      </c>
      <c r="BP138" s="507" t="n">
        <f aca="false">1-AD$159*(SUM(BE138:BO138))^2</f>
        <v>0.996205085141155</v>
      </c>
    </row>
    <row r="139" customFormat="false" ht="15" hidden="false" customHeight="false" outlineLevel="0" collapsed="false">
      <c r="A139" s="491" t="s">
        <v>110</v>
      </c>
      <c r="B139" s="492" t="s">
        <v>369</v>
      </c>
      <c r="C139" s="493" t="n">
        <v>6.86</v>
      </c>
      <c r="D139" s="92" t="n">
        <f aca="false">VLOOKUP("8.00.15",All_Data,4,0)/VLOOKUP("8.00.15",All_Data,3,0)*C139</f>
        <v>8.54069997727158</v>
      </c>
      <c r="E139" s="506" t="n">
        <f aca="false">VLOOKUP("8.00.15",All_Data,E$1,0)</f>
        <v>0.169</v>
      </c>
      <c r="F139" s="506" t="n">
        <f aca="false">VLOOKUP("8.00.15",All_Data,F$1,0)</f>
        <v>1.369</v>
      </c>
      <c r="G139" s="506" t="n">
        <f aca="false">VLOOKUP("8.00.15",All_Data,G$1,0)</f>
        <v>79.224</v>
      </c>
      <c r="H139" s="506" t="n">
        <f aca="false">VLOOKUP("8.00.15",All_Data,H$1,0)</f>
        <v>10.904</v>
      </c>
      <c r="I139" s="506" t="n">
        <f aca="false">VLOOKUP("8.00.15",All_Data,I$1,0)</f>
        <v>4.714</v>
      </c>
      <c r="J139" s="506" t="n">
        <f aca="false">VLOOKUP("8.00.15",All_Data,J$1,0)</f>
        <v>0.747</v>
      </c>
      <c r="K139" s="506" t="n">
        <f aca="false">VLOOKUP("8.00.15",All_Data,K$1,0)</f>
        <v>1.59</v>
      </c>
      <c r="L139" s="506" t="n">
        <f aca="false">VLOOKUP("8.00.15",All_Data,L$1,0)</f>
        <v>0.395</v>
      </c>
      <c r="M139" s="506" t="n">
        <f aca="false">VLOOKUP("8.00.15",All_Data,M$1,0)</f>
        <v>0.426</v>
      </c>
      <c r="N139" s="506" t="n">
        <f aca="false">VLOOKUP("8.00.15",All_Data,N$1,0)</f>
        <v>0.462</v>
      </c>
      <c r="O139" s="506" t="n">
        <f aca="false">VLOOKUP("8.00.15",All_Data,O$1,0)</f>
        <v>0</v>
      </c>
      <c r="P139" s="507" t="n">
        <f aca="false">SUM(E139:O139)</f>
        <v>100</v>
      </c>
      <c r="Q139" s="494" t="n">
        <f aca="false">$C139*E139/$P139</f>
        <v>0.0115934</v>
      </c>
      <c r="R139" s="497" t="n">
        <f aca="false">$C139*F139/$P139</f>
        <v>0.0939134</v>
      </c>
      <c r="S139" s="497" t="n">
        <f aca="false">$C139*G139/$P139</f>
        <v>5.4347664</v>
      </c>
      <c r="T139" s="497" t="n">
        <f aca="false">$C139*H139/$P139</f>
        <v>0.7480144</v>
      </c>
      <c r="U139" s="497" t="n">
        <f aca="false">$C139*I139/$P139</f>
        <v>0.3233804</v>
      </c>
      <c r="V139" s="497" t="n">
        <f aca="false">$C139*J139/$P139</f>
        <v>0.0512442</v>
      </c>
      <c r="W139" s="497" t="n">
        <f aca="false">$C139*K139/$P139</f>
        <v>0.109074</v>
      </c>
      <c r="X139" s="497" t="n">
        <f aca="false">$C139*L139/$P139</f>
        <v>0.027097</v>
      </c>
      <c r="Y139" s="497" t="n">
        <f aca="false">$C139*M139/$P139</f>
        <v>0.0292236</v>
      </c>
      <c r="Z139" s="497" t="n">
        <f aca="false">$C139*N139/$P139</f>
        <v>0.0316932</v>
      </c>
      <c r="AA139" s="497" t="n">
        <f aca="false">$C139*O139/$P139</f>
        <v>0</v>
      </c>
      <c r="AB139" s="498" t="n">
        <f aca="false">SUM(Q139:AA139)</f>
        <v>6.86</v>
      </c>
      <c r="AC139" s="499"/>
      <c r="AD139" s="500"/>
      <c r="AE139" s="497" t="n">
        <f aca="false">S139*AE$159/$BP139/1000</f>
        <v>5.49098891616689</v>
      </c>
      <c r="AF139" s="497" t="n">
        <f aca="false">T139*AF$159/$BP139/1000</f>
        <v>1.32429352225165</v>
      </c>
      <c r="AG139" s="497" t="n">
        <f aca="false">U139*AG$159/$BP139/1000</f>
        <v>0.813958636951144</v>
      </c>
      <c r="AH139" s="497" t="n">
        <f aca="false">V139*AH$159/$BP139/1000</f>
        <v>0.16670323087521</v>
      </c>
      <c r="AI139" s="497" t="n">
        <f aca="false">W139*AI$159/$BP139/1000</f>
        <v>0.355968533886309</v>
      </c>
      <c r="AJ139" s="497" t="n">
        <f aca="false">X139*AJ$159/$BP139/1000</f>
        <v>0.108454205539585</v>
      </c>
      <c r="AK139" s="497" t="n">
        <f aca="false">Y139*AK$159/$BP139/1000</f>
        <v>0.117194548095505</v>
      </c>
      <c r="AL139" s="497" t="n">
        <f aca="false">Z139*AL$159/$BP139/1000</f>
        <v>0.162624266207084</v>
      </c>
      <c r="AM139" s="497"/>
      <c r="AN139" s="497" t="n">
        <f aca="false">SUM(AC139:AM139)</f>
        <v>8.54018585997337</v>
      </c>
      <c r="AO139" s="497" t="n">
        <f aca="false">D139-AN139</f>
        <v>0.000514117298209271</v>
      </c>
      <c r="AP139" s="501" t="n">
        <f aca="false">IF(D139=0,0,AO139/D139)</f>
        <v>6.01961548324417E-005</v>
      </c>
      <c r="AQ139" s="502" t="n">
        <f aca="false">IF(AB139=0,0,AN139/AB139)*1000</f>
        <v>1244.92505247425</v>
      </c>
      <c r="AR139" s="503" t="n">
        <f aca="false">IF(C139=0,0,D139/C139)*1000</f>
        <v>1244.99999668682</v>
      </c>
      <c r="AS139" s="504" t="n">
        <f aca="false">Q139*1000/AS$159*$AD$159/14.696/$BP139/42</f>
        <v>0.00470054471976782</v>
      </c>
      <c r="AT139" s="497" t="n">
        <f aca="false">R139*1000/AT$159*$AD$159/14.696/$BP139/42</f>
        <v>0.0245466027593634</v>
      </c>
      <c r="AU139" s="497" t="n">
        <f aca="false">S139*1000/AU$159*$AD$159/14.696/$BP139/42</f>
        <v>2.18892014539005</v>
      </c>
      <c r="AV139" s="497" t="n">
        <f aca="false">T139*1000/AV$159*$AD$159/14.696/$BP139/42</f>
        <v>0.475262290476852</v>
      </c>
      <c r="AW139" s="497" t="n">
        <f aca="false">U139*1000/AW$159*$AD$159/14.696/$BP139/42</f>
        <v>0.21165833403224</v>
      </c>
      <c r="AX139" s="497" t="n">
        <f aca="false">V139*1000/AX$159*$AD$159/14.696/$BP139/42</f>
        <v>0.0398395248735842</v>
      </c>
      <c r="AY139" s="497" t="n">
        <f aca="false">W139*1000/AY$159*$AD$159/14.696/$BP139/42</f>
        <v>0.0816951233104563</v>
      </c>
      <c r="AZ139" s="497" t="n">
        <f aca="false">X139*1000/AZ$159*$AD$159/14.696/$BP139/42</f>
        <v>0.0235431447246655</v>
      </c>
      <c r="BA139" s="497" t="n">
        <f aca="false">Y139*1000/BA$159*$AD$159/14.696/$BP139/42</f>
        <v>0.0251668355894304</v>
      </c>
      <c r="BB139" s="497" t="n">
        <f aca="false">Z139*1000/BB$159*$AD$159/14.696/$BP139/42</f>
        <v>0.0326734192008699</v>
      </c>
      <c r="BC139" s="497" t="n">
        <f aca="false">AA139*1000/BC$159*$AD$159/14.696/$BP139/42</f>
        <v>0</v>
      </c>
      <c r="BD139" s="505" t="n">
        <f aca="false">SUM(AS139:BC139)</f>
        <v>3.10800596507728</v>
      </c>
      <c r="BE139" s="499" t="n">
        <f aca="false">E139/$P139*BE$159</f>
        <v>3.2955E-005</v>
      </c>
      <c r="BF139" s="500" t="n">
        <f aca="false">F139/$P139*BF$159</f>
        <v>6.05098E-005</v>
      </c>
      <c r="BG139" s="500" t="n">
        <f aca="false">G139/$P139*BG$159</f>
        <v>0.009189984</v>
      </c>
      <c r="BH139" s="500" t="n">
        <f aca="false">H139/$P139*BH$159</f>
        <v>0.002595152</v>
      </c>
      <c r="BI139" s="500" t="n">
        <f aca="false">I139/$P139*BI$159</f>
        <v>0.001635758</v>
      </c>
      <c r="BJ139" s="500" t="n">
        <f aca="false">J139/$P139*BJ$159</f>
        <v>0.000329427</v>
      </c>
      <c r="BK139" s="500" t="n">
        <f aca="false">K139/$P139*BK$159</f>
        <v>0.0007473</v>
      </c>
      <c r="BL139" s="500" t="n">
        <f aca="false">L139/$P139*BL$159</f>
        <v>0.00022752</v>
      </c>
      <c r="BM139" s="500" t="n">
        <f aca="false">M139/$P139*BM$159</f>
        <v>0.000258156</v>
      </c>
      <c r="BN139" s="500" t="n">
        <f aca="false">N139/$P139*BN$159</f>
        <v>0.0003990294</v>
      </c>
      <c r="BO139" s="500" t="n">
        <f aca="false">O139/$P139*BO$159</f>
        <v>0</v>
      </c>
      <c r="BP139" s="496" t="n">
        <f aca="false">1-AD$159*(SUM(BE139:BO139))^2</f>
        <v>0.996491323340653</v>
      </c>
    </row>
    <row r="140" customFormat="false" ht="15" hidden="false" customHeight="false" outlineLevel="0" collapsed="false">
      <c r="A140" s="89" t="s">
        <v>115</v>
      </c>
      <c r="B140" s="90" t="s">
        <v>370</v>
      </c>
      <c r="C140" s="493" t="n">
        <v>560</v>
      </c>
      <c r="D140" s="92" t="n">
        <f aca="false">VLOOKUP("8.00.15",All_Data,4,0)/VLOOKUP("8.00.15",All_Data,3,0)*C140</f>
        <v>697.199998144619</v>
      </c>
      <c r="E140" s="506" t="n">
        <f aca="false">VLOOKUP("8.00.15",All_Data,E$1,0)</f>
        <v>0.169</v>
      </c>
      <c r="F140" s="506" t="n">
        <f aca="false">VLOOKUP("8.00.15",All_Data,F$1,0)</f>
        <v>1.369</v>
      </c>
      <c r="G140" s="506" t="n">
        <f aca="false">VLOOKUP("8.00.15",All_Data,G$1,0)</f>
        <v>79.224</v>
      </c>
      <c r="H140" s="506" t="n">
        <f aca="false">VLOOKUP("8.00.15",All_Data,H$1,0)</f>
        <v>10.904</v>
      </c>
      <c r="I140" s="506" t="n">
        <f aca="false">VLOOKUP("8.00.15",All_Data,I$1,0)</f>
        <v>4.714</v>
      </c>
      <c r="J140" s="506" t="n">
        <f aca="false">VLOOKUP("8.00.15",All_Data,J$1,0)</f>
        <v>0.747</v>
      </c>
      <c r="K140" s="506" t="n">
        <f aca="false">VLOOKUP("8.00.15",All_Data,K$1,0)</f>
        <v>1.59</v>
      </c>
      <c r="L140" s="506" t="n">
        <f aca="false">VLOOKUP("8.00.15",All_Data,L$1,0)</f>
        <v>0.395</v>
      </c>
      <c r="M140" s="506" t="n">
        <f aca="false">VLOOKUP("8.00.15",All_Data,M$1,0)</f>
        <v>0.426</v>
      </c>
      <c r="N140" s="506" t="n">
        <f aca="false">VLOOKUP("8.00.15",All_Data,N$1,0)</f>
        <v>0.462</v>
      </c>
      <c r="O140" s="506"/>
      <c r="P140" s="507" t="n">
        <f aca="false">SUM(E140:O140)</f>
        <v>100</v>
      </c>
      <c r="Q140" s="92" t="n">
        <f aca="false">$C140*E140/$P140</f>
        <v>0.9464</v>
      </c>
      <c r="R140" s="93" t="n">
        <f aca="false">$C140*F140/$P140</f>
        <v>7.6664</v>
      </c>
      <c r="S140" s="93" t="n">
        <f aca="false">$C140*G140/$P140</f>
        <v>443.6544</v>
      </c>
      <c r="T140" s="93" t="n">
        <f aca="false">$C140*H140/$P140</f>
        <v>61.0624</v>
      </c>
      <c r="U140" s="93" t="n">
        <f aca="false">$C140*I140/$P140</f>
        <v>26.3984</v>
      </c>
      <c r="V140" s="93" t="n">
        <f aca="false">$C140*J140/$P140</f>
        <v>4.1832</v>
      </c>
      <c r="W140" s="93" t="n">
        <f aca="false">$C140*K140/$P140</f>
        <v>8.904</v>
      </c>
      <c r="X140" s="93" t="n">
        <f aca="false">$C140*L140/$P140</f>
        <v>2.212</v>
      </c>
      <c r="Y140" s="93" t="n">
        <f aca="false">$C140*M140/$P140</f>
        <v>2.3856</v>
      </c>
      <c r="Z140" s="93" t="n">
        <f aca="false">$C140*N140/$P140</f>
        <v>2.5872</v>
      </c>
      <c r="AA140" s="93" t="n">
        <f aca="false">$C140*O140/$P140</f>
        <v>0</v>
      </c>
      <c r="AB140" s="95" t="n">
        <f aca="false">SUM(Q140:AA140)</f>
        <v>560</v>
      </c>
      <c r="AC140" s="508"/>
      <c r="AD140" s="509"/>
      <c r="AE140" s="93" t="n">
        <f aca="false">S140*AE$159/$BP140/1000</f>
        <v>448.243993156481</v>
      </c>
      <c r="AF140" s="93" t="n">
        <f aca="false">T140*AF$159/$BP140/1000</f>
        <v>108.105593653196</v>
      </c>
      <c r="AG140" s="93" t="n">
        <f aca="false">U140*AG$159/$BP140/1000</f>
        <v>66.44560301642</v>
      </c>
      <c r="AH140" s="93" t="n">
        <f aca="false">V140*AH$159/$BP140/1000</f>
        <v>13.6084270102212</v>
      </c>
      <c r="AI140" s="93" t="n">
        <f aca="false">W140*AI$159/$BP140/1000</f>
        <v>29.0586558274538</v>
      </c>
      <c r="AJ140" s="93" t="n">
        <f aca="false">X140*AJ$159/$BP140/1000</f>
        <v>8.85340453384366</v>
      </c>
      <c r="AK140" s="93" t="n">
        <f aca="false">Y140*AK$159/$BP140/1000</f>
        <v>9.56690188534738</v>
      </c>
      <c r="AL140" s="93" t="n">
        <f aca="false">Z140*AL$159/$BP140/1000</f>
        <v>13.2754503026191</v>
      </c>
      <c r="AM140" s="93"/>
      <c r="AN140" s="93" t="n">
        <f aca="false">SUM(AC140:AM140)</f>
        <v>697.158029385581</v>
      </c>
      <c r="AO140" s="93" t="n">
        <f aca="false">D140-AN140</f>
        <v>0.0419687590376725</v>
      </c>
      <c r="AP140" s="510" t="n">
        <f aca="false">IF(D140=0,0,AO140/D140)</f>
        <v>6.01961548327012E-005</v>
      </c>
      <c r="AQ140" s="511" t="n">
        <f aca="false">IF(AB140=0,0,AN140/AB140)*1000</f>
        <v>1244.92505247425</v>
      </c>
      <c r="AR140" s="512" t="n">
        <f aca="false">IF(C140=0,0,D140/C140)*1000</f>
        <v>1244.99999668682</v>
      </c>
      <c r="AS140" s="513" t="n">
        <f aca="false">Q140*1000/AS$159*$AD$159/14.696/$BP140/42</f>
        <v>0.383717936307577</v>
      </c>
      <c r="AT140" s="93" t="n">
        <f aca="false">R140*1000/AT$159*$AD$159/14.696/$BP140/42</f>
        <v>2.00380430688681</v>
      </c>
      <c r="AU140" s="93" t="n">
        <f aca="false">S140*1000/AU$159*$AD$159/14.696/$BP140/42</f>
        <v>178.687358807351</v>
      </c>
      <c r="AV140" s="93" t="n">
        <f aca="false">T140*1000/AV$159*$AD$159/14.696/$BP140/42</f>
        <v>38.7969216715798</v>
      </c>
      <c r="AW140" s="93" t="n">
        <f aca="false">U140*1000/AW$159*$AD$159/14.696/$BP140/42</f>
        <v>17.2782313495706</v>
      </c>
      <c r="AX140" s="93" t="n">
        <f aca="false">V140*1000/AX$159*$AD$159/14.696/$BP140/42</f>
        <v>3.25220611212932</v>
      </c>
      <c r="AY140" s="93" t="n">
        <f aca="false">W140*1000/AY$159*$AD$159/14.696/$BP140/42</f>
        <v>6.66898965799643</v>
      </c>
      <c r="AZ140" s="93" t="n">
        <f aca="false">X140*1000/AZ$159*$AD$159/14.696/$BP140/42</f>
        <v>1.92188936527882</v>
      </c>
      <c r="BA140" s="93" t="n">
        <f aca="false">Y140*1000/BA$159*$AD$159/14.696/$BP140/42</f>
        <v>2.05443555832085</v>
      </c>
      <c r="BB140" s="93" t="n">
        <f aca="false">Z140*1000/BB$159*$AD$159/14.696/$BP140/42</f>
        <v>2.66721789394856</v>
      </c>
      <c r="BC140" s="93" t="n">
        <f aca="false">AA140*1000/BC$159*$AD$159/14.696/$BP140/42</f>
        <v>0</v>
      </c>
      <c r="BD140" s="94" t="n">
        <f aca="false">SUM(AS140:BC140)</f>
        <v>253.71477265937</v>
      </c>
      <c r="BE140" s="508" t="n">
        <f aca="false">E140/$P140*BE$159</f>
        <v>3.2955E-005</v>
      </c>
      <c r="BF140" s="509" t="n">
        <f aca="false">F140/$P140*BF$159</f>
        <v>6.05098E-005</v>
      </c>
      <c r="BG140" s="509" t="n">
        <f aca="false">G140/$P140*BG$159</f>
        <v>0.009189984</v>
      </c>
      <c r="BH140" s="509" t="n">
        <f aca="false">H140/$P140*BH$159</f>
        <v>0.002595152</v>
      </c>
      <c r="BI140" s="509" t="n">
        <f aca="false">I140/$P140*BI$159</f>
        <v>0.001635758</v>
      </c>
      <c r="BJ140" s="509" t="n">
        <f aca="false">J140/$P140*BJ$159</f>
        <v>0.000329427</v>
      </c>
      <c r="BK140" s="509" t="n">
        <f aca="false">K140/$P140*BK$159</f>
        <v>0.0007473</v>
      </c>
      <c r="BL140" s="509" t="n">
        <f aca="false">L140/$P140*BL$159</f>
        <v>0.00022752</v>
      </c>
      <c r="BM140" s="509" t="n">
        <f aca="false">M140/$P140*BM$159</f>
        <v>0.000258156</v>
      </c>
      <c r="BN140" s="509" t="n">
        <f aca="false">N140/$P140*BN$159</f>
        <v>0.0003990294</v>
      </c>
      <c r="BO140" s="509" t="n">
        <f aca="false">O140/$P140*BO$159</f>
        <v>0</v>
      </c>
      <c r="BP140" s="507" t="n">
        <f aca="false">1-AD$159*(SUM(BE140:BO140))^2</f>
        <v>0.996491323340653</v>
      </c>
    </row>
    <row r="141" customFormat="false" ht="15" hidden="false" customHeight="false" outlineLevel="0" collapsed="false">
      <c r="A141" s="491" t="s">
        <v>111</v>
      </c>
      <c r="B141" s="492" t="s">
        <v>371</v>
      </c>
      <c r="C141" s="493" t="n">
        <v>0</v>
      </c>
      <c r="D141" s="494" t="n">
        <f aca="false">VLOOKUP("8.00.23",All_Data,4,0)/VLOOKUP("8.00.23",All_Data,3,0)*C141</f>
        <v>0</v>
      </c>
      <c r="E141" s="495" t="n">
        <f aca="false">VLOOKUP("8.00.23",All_Data,E$1,0)</f>
        <v>0.146</v>
      </c>
      <c r="F141" s="495" t="n">
        <f aca="false">VLOOKUP("8.00.23",All_Data,F$1,0)</f>
        <v>0.927</v>
      </c>
      <c r="G141" s="495" t="n">
        <f aca="false">VLOOKUP("8.00.23",All_Data,G$1,0)</f>
        <v>77.414</v>
      </c>
      <c r="H141" s="495" t="n">
        <f aca="false">VLOOKUP("8.00.23",All_Data,H$1,0)</f>
        <v>11.691</v>
      </c>
      <c r="I141" s="495" t="n">
        <f aca="false">VLOOKUP("8.00.23",All_Data,I$1,0)</f>
        <v>5.467</v>
      </c>
      <c r="J141" s="495" t="n">
        <f aca="false">VLOOKUP("8.00.23",All_Data,J$1,0)</f>
        <v>0.797</v>
      </c>
      <c r="K141" s="495" t="n">
        <f aca="false">VLOOKUP("8.00.23",All_Data,K$1,0)</f>
        <v>1.866</v>
      </c>
      <c r="L141" s="495" t="n">
        <f aca="false">VLOOKUP("8.00.23",All_Data,L$1,0)</f>
        <v>0.491</v>
      </c>
      <c r="M141" s="495" t="n">
        <f aca="false">VLOOKUP("8.00.23",All_Data,M$1,0)</f>
        <v>0.583</v>
      </c>
      <c r="N141" s="495" t="n">
        <f aca="false">VLOOKUP("8.00.23",All_Data,N$1,0)</f>
        <v>0.618</v>
      </c>
      <c r="O141" s="495" t="n">
        <f aca="false">VLOOKUP("8.00.23",All_Data,O$1,0)</f>
        <v>0</v>
      </c>
      <c r="P141" s="496" t="n">
        <f aca="false">SUM(E141:O141)</f>
        <v>100</v>
      </c>
      <c r="Q141" s="494" t="n">
        <f aca="false">$C141*E141/$P141</f>
        <v>0</v>
      </c>
      <c r="R141" s="497" t="n">
        <f aca="false">$C141*F141/$P141</f>
        <v>0</v>
      </c>
      <c r="S141" s="497" t="n">
        <f aca="false">$C141*G141/$P141</f>
        <v>0</v>
      </c>
      <c r="T141" s="497" t="n">
        <f aca="false">$C141*H141/$P141</f>
        <v>0</v>
      </c>
      <c r="U141" s="497" t="n">
        <f aca="false">$C141*I141/$P141</f>
        <v>0</v>
      </c>
      <c r="V141" s="497" t="n">
        <f aca="false">$C141*J141/$P141</f>
        <v>0</v>
      </c>
      <c r="W141" s="497" t="n">
        <f aca="false">$C141*K141/$P141</f>
        <v>0</v>
      </c>
      <c r="X141" s="497" t="n">
        <f aca="false">$C141*L141/$P141</f>
        <v>0</v>
      </c>
      <c r="Y141" s="497" t="n">
        <f aca="false">$C141*M141/$P141</f>
        <v>0</v>
      </c>
      <c r="Z141" s="497" t="n">
        <f aca="false">$C141*N141/$P141</f>
        <v>0</v>
      </c>
      <c r="AA141" s="497" t="n">
        <f aca="false">$C141*O141/$P141</f>
        <v>0</v>
      </c>
      <c r="AB141" s="498" t="n">
        <f aca="false">SUM(Q141:AA141)</f>
        <v>0</v>
      </c>
      <c r="AC141" s="499"/>
      <c r="AD141" s="500"/>
      <c r="AE141" s="497" t="n">
        <f aca="false">S141*AE$159/$BP141/1000</f>
        <v>0</v>
      </c>
      <c r="AF141" s="497" t="n">
        <f aca="false">T141*AF$159/$BP141/1000</f>
        <v>0</v>
      </c>
      <c r="AG141" s="497" t="n">
        <f aca="false">U141*AG$159/$BP141/1000</f>
        <v>0</v>
      </c>
      <c r="AH141" s="497" t="n">
        <f aca="false">V141*AH$159/$BP141/1000</f>
        <v>0</v>
      </c>
      <c r="AI141" s="497" t="n">
        <f aca="false">W141*AI$159/$BP141/1000</f>
        <v>0</v>
      </c>
      <c r="AJ141" s="497" t="n">
        <f aca="false">X141*AJ$159/$BP141/1000</f>
        <v>0</v>
      </c>
      <c r="AK141" s="497" t="n">
        <f aca="false">Y141*AK$159/$BP141/1000</f>
        <v>0</v>
      </c>
      <c r="AL141" s="497" t="n">
        <f aca="false">Z141*AL$159/$BP141/1000</f>
        <v>0</v>
      </c>
      <c r="AM141" s="497"/>
      <c r="AN141" s="497" t="n">
        <f aca="false">SUM(AC141:AM141)</f>
        <v>0</v>
      </c>
      <c r="AO141" s="497" t="n">
        <f aca="false">D141-AN141</f>
        <v>0</v>
      </c>
      <c r="AP141" s="501" t="n">
        <f aca="false">IF(D141=0,0,AO141/D141)</f>
        <v>0</v>
      </c>
      <c r="AQ141" s="502" t="n">
        <f aca="false">IF(AB141=0,0,AN141/AB141)*1000</f>
        <v>0</v>
      </c>
      <c r="AR141" s="503" t="n">
        <f aca="false">IF(C141=0,0,D141/C141)*1000</f>
        <v>0</v>
      </c>
      <c r="AS141" s="504" t="n">
        <f aca="false">Q141*1000/AS$159*$AD$159/14.696/$BP141/42</f>
        <v>0</v>
      </c>
      <c r="AT141" s="497" t="n">
        <f aca="false">R141*1000/AT$159*$AD$159/14.696/$BP141/42</f>
        <v>0</v>
      </c>
      <c r="AU141" s="497" t="n">
        <f aca="false">S141*1000/AU$159*$AD$159/14.696/$BP141/42</f>
        <v>0</v>
      </c>
      <c r="AV141" s="497" t="n">
        <f aca="false">T141*1000/AV$159*$AD$159/14.696/$BP141/42</f>
        <v>0</v>
      </c>
      <c r="AW141" s="497" t="n">
        <f aca="false">U141*1000/AW$159*$AD$159/14.696/$BP141/42</f>
        <v>0</v>
      </c>
      <c r="AX141" s="497" t="n">
        <f aca="false">V141*1000/AX$159*$AD$159/14.696/$BP141/42</f>
        <v>0</v>
      </c>
      <c r="AY141" s="497" t="n">
        <f aca="false">W141*1000/AY$159*$AD$159/14.696/$BP141/42</f>
        <v>0</v>
      </c>
      <c r="AZ141" s="497" t="n">
        <f aca="false">X141*1000/AZ$159*$AD$159/14.696/$BP141/42</f>
        <v>0</v>
      </c>
      <c r="BA141" s="497" t="n">
        <f aca="false">Y141*1000/BA$159*$AD$159/14.696/$BP141/42</f>
        <v>0</v>
      </c>
      <c r="BB141" s="497" t="n">
        <f aca="false">Z141*1000/BB$159*$AD$159/14.696/$BP141/42</f>
        <v>0</v>
      </c>
      <c r="BC141" s="497" t="n">
        <f aca="false">AA141*1000/BC$159*$AD$159/14.696/$BP141/42</f>
        <v>0</v>
      </c>
      <c r="BD141" s="505" t="n">
        <f aca="false">SUM(AS141:BC141)</f>
        <v>0</v>
      </c>
      <c r="BE141" s="499" t="n">
        <f aca="false">E141/$P141*BE$159</f>
        <v>2.847E-005</v>
      </c>
      <c r="BF141" s="500" t="n">
        <f aca="false">F141/$P141*BF$159</f>
        <v>4.09734E-005</v>
      </c>
      <c r="BG141" s="500" t="n">
        <f aca="false">G141/$P141*BG$159</f>
        <v>0.008980024</v>
      </c>
      <c r="BH141" s="500" t="n">
        <f aca="false">H141/$P141*BH$159</f>
        <v>0.002782458</v>
      </c>
      <c r="BI141" s="500" t="n">
        <f aca="false">I141/$P141*BI$159</f>
        <v>0.001897049</v>
      </c>
      <c r="BJ141" s="500" t="n">
        <f aca="false">J141/$P141*BJ$159</f>
        <v>0.000351477</v>
      </c>
      <c r="BK141" s="500" t="n">
        <f aca="false">K141/$P141*BK$159</f>
        <v>0.00087702</v>
      </c>
      <c r="BL141" s="500" t="n">
        <f aca="false">L141/$P141*BL$159</f>
        <v>0.000282816</v>
      </c>
      <c r="BM141" s="500" t="n">
        <f aca="false">M141/$P141*BM$159</f>
        <v>0.000353298</v>
      </c>
      <c r="BN141" s="500" t="n">
        <f aca="false">N141/$P141*BN$159</f>
        <v>0.0005337666</v>
      </c>
      <c r="BO141" s="500" t="n">
        <f aca="false">O141/$P141*BO$159</f>
        <v>0</v>
      </c>
      <c r="BP141" s="496" t="n">
        <f aca="false">1-AD$159*(SUM(BE141:BO141))^2</f>
        <v>0.996189659780907</v>
      </c>
    </row>
    <row r="142" customFormat="false" ht="15" hidden="false" customHeight="false" outlineLevel="0" collapsed="false">
      <c r="A142" s="89" t="s">
        <v>112</v>
      </c>
      <c r="B142" s="90" t="s">
        <v>372</v>
      </c>
      <c r="C142" s="493" t="n">
        <v>400</v>
      </c>
      <c r="D142" s="92" t="n">
        <f aca="false">VLOOKUP("8.00.22",All_Data,4,0)/VLOOKUP("8.00.22",All_Data,3,0)*C142</f>
        <v>489.999998944759</v>
      </c>
      <c r="E142" s="506" t="n">
        <f aca="false">VLOOKUP("8.00.22",All_Data,E$1,0)</f>
        <v>0.115</v>
      </c>
      <c r="F142" s="506" t="n">
        <f aca="false">VLOOKUP("8.00.22",All_Data,F$1,0)</f>
        <v>0.897</v>
      </c>
      <c r="G142" s="506" t="n">
        <f aca="false">VLOOKUP("8.00.22",All_Data,G$1,0)</f>
        <v>81.139</v>
      </c>
      <c r="H142" s="506" t="n">
        <f aca="false">VLOOKUP("8.00.22",All_Data,H$1,0)</f>
        <v>10.651</v>
      </c>
      <c r="I142" s="506" t="n">
        <f aca="false">VLOOKUP("8.00.22",All_Data,I$1,0)</f>
        <v>4.127</v>
      </c>
      <c r="J142" s="506" t="n">
        <f aca="false">VLOOKUP("8.00.22",All_Data,J$1,0)</f>
        <v>0.689</v>
      </c>
      <c r="K142" s="506" t="n">
        <f aca="false">VLOOKUP("8.00.22",All_Data,K$1,0)</f>
        <v>1.286</v>
      </c>
      <c r="L142" s="506" t="n">
        <f aca="false">VLOOKUP("8.00.22",All_Data,L$1,0)</f>
        <v>0.334</v>
      </c>
      <c r="M142" s="506" t="n">
        <f aca="false">VLOOKUP("8.00.22",All_Data,M$1,0)</f>
        <v>0.349</v>
      </c>
      <c r="N142" s="506" t="n">
        <f aca="false">VLOOKUP("8.00.22",All_Data,N$1,0)</f>
        <v>0.413</v>
      </c>
      <c r="O142" s="506" t="n">
        <f aca="false">VLOOKUP("8.00.23",All_Data,O$1,0)</f>
        <v>0</v>
      </c>
      <c r="P142" s="507" t="n">
        <f aca="false">SUM(E142:O142)</f>
        <v>100</v>
      </c>
      <c r="Q142" s="92" t="n">
        <f aca="false">$C142*E142/$P142</f>
        <v>0.46</v>
      </c>
      <c r="R142" s="93" t="n">
        <f aca="false">$C142*F142/$P142</f>
        <v>3.588</v>
      </c>
      <c r="S142" s="93" t="n">
        <f aca="false">$C142*G142/$P142</f>
        <v>324.556</v>
      </c>
      <c r="T142" s="93" t="n">
        <f aca="false">$C142*H142/$P142</f>
        <v>42.604</v>
      </c>
      <c r="U142" s="93" t="n">
        <f aca="false">$C142*I142/$P142</f>
        <v>16.508</v>
      </c>
      <c r="V142" s="93" t="n">
        <f aca="false">$C142*J142/$P142</f>
        <v>2.756</v>
      </c>
      <c r="W142" s="93" t="n">
        <f aca="false">$C142*K142/$P142</f>
        <v>5.144</v>
      </c>
      <c r="X142" s="93" t="n">
        <f aca="false">$C142*L142/$P142</f>
        <v>1.336</v>
      </c>
      <c r="Y142" s="93" t="n">
        <f aca="false">$C142*M142/$P142</f>
        <v>1.396</v>
      </c>
      <c r="Z142" s="93" t="n">
        <f aca="false">$C142*N142/$P142</f>
        <v>1.652</v>
      </c>
      <c r="AA142" s="93" t="n">
        <f aca="false">$C142*O142/$P142</f>
        <v>0</v>
      </c>
      <c r="AB142" s="95" t="n">
        <f aca="false">SUM(Q142:AA142)</f>
        <v>400</v>
      </c>
      <c r="AC142" s="508"/>
      <c r="AD142" s="509"/>
      <c r="AE142" s="93" t="n">
        <f aca="false">S142*AE$159/$BP142/1000</f>
        <v>327.859605004984</v>
      </c>
      <c r="AF142" s="93" t="n">
        <f aca="false">T142*AF$159/$BP142/1000</f>
        <v>75.414222151819</v>
      </c>
      <c r="AG142" s="93" t="n">
        <f aca="false">U142*AG$159/$BP142/1000</f>
        <v>41.5443229752265</v>
      </c>
      <c r="AH142" s="93" t="n">
        <f aca="false">V142*AH$159/$BP142/1000</f>
        <v>8.96410833309754</v>
      </c>
      <c r="AI142" s="93" t="n">
        <f aca="false">W142*AI$159/$BP142/1000</f>
        <v>16.7849446520609</v>
      </c>
      <c r="AJ142" s="93" t="n">
        <f aca="false">X142*AJ$159/$BP142/1000</f>
        <v>5.34638497866252</v>
      </c>
      <c r="AK142" s="93" t="n">
        <f aca="false">Y142*AK$159/$BP142/1000</f>
        <v>5.59741743155013</v>
      </c>
      <c r="AL142" s="93" t="n">
        <f aca="false">Z142*AL$159/$BP142/1000</f>
        <v>8.47535475101337</v>
      </c>
      <c r="AM142" s="93"/>
      <c r="AN142" s="93" t="n">
        <f aca="false">SUM(AC142:AM142)</f>
        <v>489.986360278414</v>
      </c>
      <c r="AO142" s="93" t="n">
        <f aca="false">D142-AN142</f>
        <v>0.0136386663450594</v>
      </c>
      <c r="AP142" s="510" t="n">
        <f aca="false">IF(D142=0,0,AO142/D142)</f>
        <v>2.78340130090428E-005</v>
      </c>
      <c r="AQ142" s="511" t="n">
        <f aca="false">IF(AB142=0,0,AN142/AB142)*1000</f>
        <v>1224.96590069603</v>
      </c>
      <c r="AR142" s="512" t="n">
        <f aca="false">IF(C142=0,0,D142/C142)*1000</f>
        <v>1224.9999973619</v>
      </c>
      <c r="AS142" s="513" t="n">
        <f aca="false">Q142*1000/AS$159*$AD$159/14.696/$BP142/42</f>
        <v>0.186476360302335</v>
      </c>
      <c r="AT142" s="93" t="n">
        <f aca="false">R142*1000/AT$159*$AD$159/14.696/$BP142/42</f>
        <v>0.937658832039587</v>
      </c>
      <c r="AU142" s="93" t="n">
        <f aca="false">S142*1000/AU$159*$AD$159/14.696/$BP142/42</f>
        <v>130.697494606493</v>
      </c>
      <c r="AV142" s="93" t="n">
        <f aca="false">T142*1000/AV$159*$AD$159/14.696/$BP142/42</f>
        <v>27.0646464338688</v>
      </c>
      <c r="AW142" s="93" t="n">
        <f aca="false">U142*1000/AW$159*$AD$159/14.696/$BP142/42</f>
        <v>10.8030086422703</v>
      </c>
      <c r="AX142" s="93" t="n">
        <f aca="false">V142*1000/AX$159*$AD$159/14.696/$BP142/42</f>
        <v>2.14228491572116</v>
      </c>
      <c r="AY142" s="93" t="n">
        <f aca="false">W142*1000/AY$159*$AD$159/14.696/$BP142/42</f>
        <v>3.85216105518824</v>
      </c>
      <c r="AZ142" s="93" t="n">
        <f aca="false">X142*1000/AZ$159*$AD$159/14.696/$BP142/42</f>
        <v>1.16058860677826</v>
      </c>
      <c r="BA142" s="93" t="n">
        <f aca="false">Y142*1000/BA$159*$AD$159/14.696/$BP142/42</f>
        <v>1.20201226519885</v>
      </c>
      <c r="BB142" s="93" t="n">
        <f aca="false">Z142*1000/BB$159*$AD$159/14.696/$BP142/42</f>
        <v>1.70281363977574</v>
      </c>
      <c r="BC142" s="93" t="n">
        <f aca="false">AA142*1000/BC$159*$AD$159/14.696/$BP142/42</f>
        <v>0</v>
      </c>
      <c r="BD142" s="94" t="n">
        <f aca="false">SUM(AS142:BC142)</f>
        <v>179.749145357636</v>
      </c>
      <c r="BE142" s="508" t="n">
        <f aca="false">E142/$P142*BE$159</f>
        <v>2.2425E-005</v>
      </c>
      <c r="BF142" s="509" t="n">
        <f aca="false">F142/$P142*BF$159</f>
        <v>3.96474E-005</v>
      </c>
      <c r="BG142" s="509" t="n">
        <f aca="false">G142/$P142*BG$159</f>
        <v>0.009412124</v>
      </c>
      <c r="BH142" s="509" t="n">
        <f aca="false">H142/$P142*BH$159</f>
        <v>0.002534938</v>
      </c>
      <c r="BI142" s="509" t="n">
        <f aca="false">I142/$P142*BI$159</f>
        <v>0.001432069</v>
      </c>
      <c r="BJ142" s="509" t="n">
        <f aca="false">J142/$P142*BJ$159</f>
        <v>0.000303849</v>
      </c>
      <c r="BK142" s="509" t="n">
        <f aca="false">K142/$P142*BK$159</f>
        <v>0.00060442</v>
      </c>
      <c r="BL142" s="509" t="n">
        <f aca="false">L142/$P142*BL$159</f>
        <v>0.000192384</v>
      </c>
      <c r="BM142" s="509" t="n">
        <f aca="false">M142/$P142*BM$159</f>
        <v>0.000211494</v>
      </c>
      <c r="BN142" s="509" t="n">
        <f aca="false">N142/$P142*BN$159</f>
        <v>0.0003567081</v>
      </c>
      <c r="BO142" s="509" t="n">
        <f aca="false">O142/$P142*BO$159</f>
        <v>0</v>
      </c>
      <c r="BP142" s="507" t="n">
        <f aca="false">1-AD$159*(SUM(BE142:BO142))^2</f>
        <v>0.996655201835654</v>
      </c>
    </row>
    <row r="143" customFormat="false" ht="15" hidden="false" customHeight="false" outlineLevel="0" collapsed="false">
      <c r="A143" s="89" t="s">
        <v>116</v>
      </c>
      <c r="B143" s="90" t="s">
        <v>373</v>
      </c>
      <c r="C143" s="493" t="n">
        <v>119.64</v>
      </c>
      <c r="D143" s="92" t="n">
        <f aca="false">VLOOKUP("8.00.22",All_Data,4,0)/VLOOKUP("8.00.22",All_Data,3,0)*C143</f>
        <v>146.558999684377</v>
      </c>
      <c r="E143" s="506" t="n">
        <f aca="false">VLOOKUP("8.00.22",All_Data,E$1,0)</f>
        <v>0.115</v>
      </c>
      <c r="F143" s="506" t="n">
        <f aca="false">VLOOKUP("8.00.22",All_Data,F$1,0)</f>
        <v>0.897</v>
      </c>
      <c r="G143" s="506" t="n">
        <f aca="false">VLOOKUP("8.00.22",All_Data,G$1,0)</f>
        <v>81.139</v>
      </c>
      <c r="H143" s="506" t="n">
        <f aca="false">VLOOKUP("8.00.22",All_Data,H$1,0)</f>
        <v>10.651</v>
      </c>
      <c r="I143" s="506" t="n">
        <f aca="false">VLOOKUP("8.00.22",All_Data,I$1,0)</f>
        <v>4.127</v>
      </c>
      <c r="J143" s="506" t="n">
        <f aca="false">VLOOKUP("8.00.22",All_Data,J$1,0)</f>
        <v>0.689</v>
      </c>
      <c r="K143" s="506" t="n">
        <f aca="false">VLOOKUP("8.00.22",All_Data,K$1,0)</f>
        <v>1.286</v>
      </c>
      <c r="L143" s="506" t="n">
        <f aca="false">VLOOKUP("8.00.22",All_Data,L$1,0)</f>
        <v>0.334</v>
      </c>
      <c r="M143" s="506" t="n">
        <f aca="false">VLOOKUP("8.00.22",All_Data,M$1,0)</f>
        <v>0.349</v>
      </c>
      <c r="N143" s="506" t="n">
        <f aca="false">VLOOKUP("8.00.22",All_Data,N$1,0)</f>
        <v>0.413</v>
      </c>
      <c r="O143" s="506"/>
      <c r="P143" s="507" t="n">
        <f aca="false">SUM(E143:O143)</f>
        <v>100</v>
      </c>
      <c r="Q143" s="92" t="n">
        <f aca="false">$C143*E143/$P143</f>
        <v>0.137586</v>
      </c>
      <c r="R143" s="92" t="n">
        <f aca="false">$C143*F143/$P143</f>
        <v>1.0731708</v>
      </c>
      <c r="S143" s="92" t="n">
        <f aca="false">$C143*G143/$P143</f>
        <v>97.0746996</v>
      </c>
      <c r="T143" s="92" t="n">
        <f aca="false">$C143*H143/$P143</f>
        <v>12.7428564</v>
      </c>
      <c r="U143" s="92" t="n">
        <f aca="false">$C143*I143/$P143</f>
        <v>4.9375428</v>
      </c>
      <c r="V143" s="92" t="n">
        <f aca="false">$C143*J143/$P143</f>
        <v>0.8243196</v>
      </c>
      <c r="W143" s="92" t="n">
        <f aca="false">$C143*K143/$P143</f>
        <v>1.5385704</v>
      </c>
      <c r="X143" s="92" t="n">
        <f aca="false">$C143*L143/$P143</f>
        <v>0.3995976</v>
      </c>
      <c r="Y143" s="92" t="n">
        <f aca="false">$C143*M143/$P143</f>
        <v>0.4175436</v>
      </c>
      <c r="Z143" s="92" t="n">
        <f aca="false">$C143*N143/$P143</f>
        <v>0.4941132</v>
      </c>
      <c r="AA143" s="92" t="n">
        <f aca="false">$C143*O143/$P143</f>
        <v>0</v>
      </c>
      <c r="AB143" s="95" t="n">
        <f aca="false">SUM(Q143:AA143)</f>
        <v>119.64</v>
      </c>
      <c r="AC143" s="508"/>
      <c r="AD143" s="509"/>
      <c r="AE143" s="93" t="n">
        <f aca="false">S143*AE$159/$BP143/1000</f>
        <v>98.0628078569906</v>
      </c>
      <c r="AF143" s="93" t="n">
        <f aca="false">T143*AF$159/$BP143/1000</f>
        <v>22.5563938456091</v>
      </c>
      <c r="AG143" s="93" t="n">
        <f aca="false">U143*AG$159/$BP143/1000</f>
        <v>12.4259070018903</v>
      </c>
      <c r="AH143" s="93" t="n">
        <f aca="false">V143*AH$159/$BP143/1000</f>
        <v>2.68116480242947</v>
      </c>
      <c r="AI143" s="93" t="n">
        <f aca="false">W143*AI$159/$BP143/1000</f>
        <v>5.0203769454314</v>
      </c>
      <c r="AJ143" s="93" t="n">
        <f aca="false">X143*AJ$159/$BP143/1000</f>
        <v>1.59910374711796</v>
      </c>
      <c r="AK143" s="93" t="n">
        <f aca="false">Y143*AK$159/$BP143/1000</f>
        <v>1.67418755377664</v>
      </c>
      <c r="AL143" s="93" t="n">
        <f aca="false">Z143*AL$159/$BP143/1000</f>
        <v>2.5349786060281</v>
      </c>
      <c r="AM143" s="93" t="n">
        <f aca="false">AA143*AM$159/$BP143/1000</f>
        <v>0</v>
      </c>
      <c r="AN143" s="93" t="n">
        <f aca="false">AB143*AN$159/$BP143/1000</f>
        <v>197.541863566285</v>
      </c>
      <c r="AO143" s="93" t="n">
        <f aca="false">AC143*AO$159/$BP143/1000</f>
        <v>0</v>
      </c>
      <c r="AP143" s="93" t="n">
        <f aca="false">AD143*AP$159/$BP143/1000</f>
        <v>0</v>
      </c>
      <c r="AQ143" s="93" t="n">
        <f aca="false">AE143*AQ$159/$BP143/1000</f>
        <v>0</v>
      </c>
      <c r="AR143" s="93" t="n">
        <f aca="false">AF143*AR$159/$BP143/1000</f>
        <v>0</v>
      </c>
      <c r="AS143" s="513" t="n">
        <f aca="false">Q143*1000/AS$159*$AD$159/14.696/$BP143/42</f>
        <v>0.0557750793664283</v>
      </c>
      <c r="AT143" s="513" t="n">
        <f aca="false">R143*1000/AT$159*$AD$159/14.696/$BP143/42</f>
        <v>0.28045375666304</v>
      </c>
      <c r="AU143" s="513" t="n">
        <f aca="false">S143*1000/AU$159*$AD$159/14.696/$BP143/42</f>
        <v>39.0916206368021</v>
      </c>
      <c r="AV143" s="513" t="n">
        <f aca="false">T143*1000/AV$159*$AD$159/14.696/$BP143/42</f>
        <v>8.09503574837017</v>
      </c>
      <c r="AW143" s="513" t="n">
        <f aca="false">U143*1000/AW$159*$AD$159/14.696/$BP143/42</f>
        <v>3.23117988490304</v>
      </c>
      <c r="AX143" s="513" t="n">
        <f aca="false">V143*1000/AX$159*$AD$159/14.696/$BP143/42</f>
        <v>0.640757418292198</v>
      </c>
      <c r="AY143" s="513" t="n">
        <f aca="false">W143*1000/AY$159*$AD$159/14.696/$BP143/42</f>
        <v>1.1521813716068</v>
      </c>
      <c r="AZ143" s="513" t="n">
        <f aca="false">X143*1000/AZ$159*$AD$159/14.696/$BP143/42</f>
        <v>0.347132052287377</v>
      </c>
      <c r="BA143" s="513" t="n">
        <f aca="false">Y143*1000/BA$159*$AD$159/14.696/$BP143/42</f>
        <v>0.359521868520975</v>
      </c>
      <c r="BB143" s="513" t="n">
        <f aca="false">Z143*1000/BB$159*$AD$159/14.696/$BP143/42</f>
        <v>0.509311559656925</v>
      </c>
      <c r="BC143" s="513" t="n">
        <f aca="false">AA143*1000/BC$159*$AD$159/14.696/$BP143/42</f>
        <v>0</v>
      </c>
      <c r="BD143" s="94" t="n">
        <f aca="false">SUM(AS143:BC143)</f>
        <v>53.762969376469</v>
      </c>
      <c r="BE143" s="508" t="n">
        <f aca="false">E143/$P143*BE$159</f>
        <v>2.2425E-005</v>
      </c>
      <c r="BF143" s="508" t="n">
        <f aca="false">F143/$P143*BF$159</f>
        <v>3.96474E-005</v>
      </c>
      <c r="BG143" s="508" t="n">
        <f aca="false">G143/$P143*BG$159</f>
        <v>0.009412124</v>
      </c>
      <c r="BH143" s="508" t="n">
        <f aca="false">H143/$P143*BH$159</f>
        <v>0.002534938</v>
      </c>
      <c r="BI143" s="508" t="n">
        <f aca="false">I143/$P143*BI$159</f>
        <v>0.001432069</v>
      </c>
      <c r="BJ143" s="508" t="n">
        <f aca="false">J143/$P143*BJ$159</f>
        <v>0.000303849</v>
      </c>
      <c r="BK143" s="508" t="n">
        <f aca="false">K143/$P143*BK$159</f>
        <v>0.00060442</v>
      </c>
      <c r="BL143" s="508" t="n">
        <f aca="false">L143/$P143*BL$159</f>
        <v>0.000192384</v>
      </c>
      <c r="BM143" s="508" t="n">
        <f aca="false">M143/$P143*BM$159</f>
        <v>0.000211494</v>
      </c>
      <c r="BN143" s="508" t="n">
        <f aca="false">N143/$P143*BN$159</f>
        <v>0.0003567081</v>
      </c>
      <c r="BO143" s="508" t="n">
        <f aca="false">O143/$P143*BO$159</f>
        <v>0</v>
      </c>
      <c r="BP143" s="507" t="n">
        <f aca="false">1-AD$159*(SUM(BE143:BO143))^2</f>
        <v>0.996655201835654</v>
      </c>
    </row>
    <row r="144" customFormat="false" ht="15" hidden="false" customHeight="false" outlineLevel="0" collapsed="false">
      <c r="A144" s="491" t="s">
        <v>358</v>
      </c>
      <c r="B144" s="492" t="s">
        <v>175</v>
      </c>
      <c r="C144" s="422" t="n">
        <v>0</v>
      </c>
      <c r="D144" s="494" t="e">
        <f aca="false">#REF!/#REF!*Rollup!C144</f>
        <v>#REF!</v>
      </c>
      <c r="E144" s="495" t="n">
        <v>0.197</v>
      </c>
      <c r="F144" s="495" t="n">
        <v>0.771</v>
      </c>
      <c r="G144" s="495" t="n">
        <v>76.877</v>
      </c>
      <c r="H144" s="495" t="n">
        <v>11.853</v>
      </c>
      <c r="I144" s="495" t="n">
        <v>5.66</v>
      </c>
      <c r="J144" s="495" t="n">
        <v>0.869</v>
      </c>
      <c r="K144" s="495" t="n">
        <v>1.956</v>
      </c>
      <c r="L144" s="495" t="n">
        <v>0.504</v>
      </c>
      <c r="M144" s="495" t="n">
        <v>0.576</v>
      </c>
      <c r="N144" s="495" t="n">
        <v>0.737</v>
      </c>
      <c r="O144" s="495"/>
      <c r="P144" s="496" t="n">
        <f aca="false">SUM(E144:O144)</f>
        <v>100</v>
      </c>
      <c r="Q144" s="494" t="n">
        <f aca="false">$C144*E144/$P144</f>
        <v>0</v>
      </c>
      <c r="R144" s="497" t="n">
        <f aca="false">$C144*F144/$P144</f>
        <v>0</v>
      </c>
      <c r="S144" s="497" t="n">
        <f aca="false">$C144*G144/$P144</f>
        <v>0</v>
      </c>
      <c r="T144" s="497" t="n">
        <f aca="false">$C144*H144/$P144</f>
        <v>0</v>
      </c>
      <c r="U144" s="497" t="n">
        <f aca="false">$C144*I144/$P144</f>
        <v>0</v>
      </c>
      <c r="V144" s="497" t="n">
        <f aca="false">$C144*J144/$P144</f>
        <v>0</v>
      </c>
      <c r="W144" s="497" t="n">
        <f aca="false">$C144*K144/$P144</f>
        <v>0</v>
      </c>
      <c r="X144" s="497" t="n">
        <f aca="false">$C144*L144/$P144</f>
        <v>0</v>
      </c>
      <c r="Y144" s="497" t="n">
        <f aca="false">$C144*M144/$P144</f>
        <v>0</v>
      </c>
      <c r="Z144" s="497" t="n">
        <f aca="false">$C144*N144/$P144</f>
        <v>0</v>
      </c>
      <c r="AA144" s="497" t="n">
        <f aca="false">$C144*O144/$P144</f>
        <v>0</v>
      </c>
      <c r="AB144" s="498" t="n">
        <f aca="false">SUM(Q144:AA144)</f>
        <v>0</v>
      </c>
      <c r="AC144" s="499"/>
      <c r="AD144" s="500"/>
      <c r="AE144" s="497" t="n">
        <f aca="false">S144*AE$159/$BP144/1000</f>
        <v>0</v>
      </c>
      <c r="AF144" s="497" t="n">
        <f aca="false">T144*AF$159/$BP144/1000</f>
        <v>0</v>
      </c>
      <c r="AG144" s="497" t="n">
        <f aca="false">U144*AG$159/$BP144/1000</f>
        <v>0</v>
      </c>
      <c r="AH144" s="497" t="n">
        <f aca="false">V144*AH$159/$BP144/1000</f>
        <v>0</v>
      </c>
      <c r="AI144" s="497" t="n">
        <f aca="false">W144*AI$159/$BP144/1000</f>
        <v>0</v>
      </c>
      <c r="AJ144" s="497" t="n">
        <f aca="false">X144*AJ$159/$BP144/1000</f>
        <v>0</v>
      </c>
      <c r="AK144" s="497" t="n">
        <f aca="false">Y144*AK$159/$BP144/1000</f>
        <v>0</v>
      </c>
      <c r="AL144" s="497" t="n">
        <f aca="false">Z144*AL$159/$BP144/1000</f>
        <v>0</v>
      </c>
      <c r="AM144" s="497"/>
      <c r="AN144" s="497" t="n">
        <f aca="false">SUM(AC144:AM144)</f>
        <v>0</v>
      </c>
      <c r="AO144" s="497" t="e">
        <f aca="false">D144-AN144</f>
        <v>#REF!</v>
      </c>
      <c r="AP144" s="501" t="e">
        <f aca="false">IF(D144=0,0,AO144/D144)</f>
        <v>#REF!</v>
      </c>
      <c r="AQ144" s="502" t="n">
        <f aca="false">IF(AB144=0,0,AN144/AB144)*1000</f>
        <v>0</v>
      </c>
      <c r="AR144" s="503" t="n">
        <f aca="false">IF(C144=0,0,D144/C144)*1000</f>
        <v>0</v>
      </c>
      <c r="AS144" s="504" t="n">
        <f aca="false">Q144*1000/AS$159*$AD$159/14.696/$BP144/42</f>
        <v>0</v>
      </c>
      <c r="AT144" s="497" t="n">
        <f aca="false">R144*1000/AT$159*$AD$159/14.696/$BP144/42</f>
        <v>0</v>
      </c>
      <c r="AU144" s="497" t="n">
        <f aca="false">S144*1000/AU$159*$AD$159/14.696/$BP144/42</f>
        <v>0</v>
      </c>
      <c r="AV144" s="497" t="n">
        <f aca="false">T144*1000/AV$159*$AD$159/14.696/$BP144/42</f>
        <v>0</v>
      </c>
      <c r="AW144" s="497" t="n">
        <f aca="false">U144*1000/AW$159*$AD$159/14.696/$BP144/42</f>
        <v>0</v>
      </c>
      <c r="AX144" s="497" t="n">
        <f aca="false">V144*1000/AX$159*$AD$159/14.696/$BP144/42</f>
        <v>0</v>
      </c>
      <c r="AY144" s="497" t="n">
        <f aca="false">W144*1000/AY$159*$AD$159/14.696/$BP144/42</f>
        <v>0</v>
      </c>
      <c r="AZ144" s="497" t="n">
        <f aca="false">X144*1000/AZ$159*$AD$159/14.696/$BP144/42</f>
        <v>0</v>
      </c>
      <c r="BA144" s="497" t="n">
        <f aca="false">Y144*1000/BA$159*$AD$159/14.696/$BP144/42</f>
        <v>0</v>
      </c>
      <c r="BB144" s="497" t="n">
        <f aca="false">Z144*1000/BB$159*$AD$159/14.696/$BP144/42</f>
        <v>0</v>
      </c>
      <c r="BC144" s="497" t="n">
        <f aca="false">AA144*1000/BC$159*$AD$159/14.696/$BP144/42</f>
        <v>0</v>
      </c>
      <c r="BD144" s="505" t="n">
        <f aca="false">SUM(AS144:BC144)</f>
        <v>0</v>
      </c>
      <c r="BE144" s="499" t="n">
        <f aca="false">E144/$P144*BE$159</f>
        <v>3.8415E-005</v>
      </c>
      <c r="BF144" s="500" t="n">
        <f aca="false">F144/$P144*BF$159</f>
        <v>3.40782E-005</v>
      </c>
      <c r="BG144" s="500" t="n">
        <f aca="false">G144/$P144*BG$159</f>
        <v>0.008917732</v>
      </c>
      <c r="BH144" s="500" t="n">
        <f aca="false">H144/$P144*BH$159</f>
        <v>0.002821014</v>
      </c>
      <c r="BI144" s="500" t="n">
        <f aca="false">I144/$P144*BI$159</f>
        <v>0.00196402</v>
      </c>
      <c r="BJ144" s="500" t="n">
        <f aca="false">J144/$P144*BJ$159</f>
        <v>0.000383229</v>
      </c>
      <c r="BK144" s="500" t="n">
        <f aca="false">K144/$P144*BK$159</f>
        <v>0.00091932</v>
      </c>
      <c r="BL144" s="500" t="n">
        <f aca="false">L144/$P144*BL$159</f>
        <v>0.000290304</v>
      </c>
      <c r="BM144" s="500" t="n">
        <f aca="false">M144/$P144*BM$159</f>
        <v>0.000349056</v>
      </c>
      <c r="BN144" s="500" t="n">
        <f aca="false">N144/$P144*BN$159</f>
        <v>0.0006365469</v>
      </c>
      <c r="BO144" s="500" t="n">
        <f aca="false">O144/$P144*BO$159</f>
        <v>0</v>
      </c>
      <c r="BP144" s="496" t="n">
        <f aca="false">1-AD$159*(SUM(BE144:BO144))^2</f>
        <v>0.996081945435571</v>
      </c>
    </row>
    <row r="145" customFormat="false" ht="15" hidden="false" customHeight="false" outlineLevel="0" collapsed="false">
      <c r="A145" s="89" t="s">
        <v>374</v>
      </c>
      <c r="B145" s="90" t="s">
        <v>375</v>
      </c>
      <c r="C145" s="493" t="n">
        <v>99</v>
      </c>
      <c r="D145" s="92" t="n">
        <f aca="false">VLOOKUP("8.00.7",All_Data,4,0)/VLOOKUP("8.00.7",All_Data,3,0)*C145</f>
        <v>123.749999085452</v>
      </c>
      <c r="E145" s="506" t="n">
        <f aca="false">VLOOKUP("8.00.7",All_Data,E$1,0)</f>
        <v>0.103</v>
      </c>
      <c r="F145" s="506" t="n">
        <f aca="false">VLOOKUP("8.00.7",All_Data,F$1,0)</f>
        <v>1.094</v>
      </c>
      <c r="G145" s="506" t="n">
        <f aca="false">VLOOKUP("8.00.7",All_Data,G$1,0)</f>
        <v>79.774</v>
      </c>
      <c r="H145" s="506" t="n">
        <f aca="false">VLOOKUP("8.00.7",All_Data,H$1,0)</f>
        <v>10.653</v>
      </c>
      <c r="I145" s="506" t="n">
        <f aca="false">VLOOKUP("8.00.7",All_Data,I$1,0)</f>
        <v>4.645</v>
      </c>
      <c r="J145" s="506" t="n">
        <f aca="false">VLOOKUP("8.00.7",All_Data,J$1,0)</f>
        <v>0.751</v>
      </c>
      <c r="K145" s="506" t="n">
        <f aca="false">VLOOKUP("8.00.7",All_Data,K$1,0)</f>
        <v>1.563</v>
      </c>
      <c r="L145" s="506" t="n">
        <f aca="false">VLOOKUP("8.00.7",All_Data,L$1,0)</f>
        <v>0.445</v>
      </c>
      <c r="M145" s="506" t="n">
        <f aca="false">VLOOKUP("8.00.7",All_Data,M$1,0)</f>
        <v>0.456</v>
      </c>
      <c r="N145" s="506" t="n">
        <f aca="false">VLOOKUP("8.00.7",All_Data,N$1,0)</f>
        <v>0.516</v>
      </c>
      <c r="O145" s="506" t="n">
        <f aca="false">VLOOKUP("8.00.7",All_Data,O$1,0)</f>
        <v>0</v>
      </c>
      <c r="P145" s="507" t="n">
        <f aca="false">SUM(E145:O145)</f>
        <v>100</v>
      </c>
      <c r="Q145" s="92" t="n">
        <f aca="false">$C145*E145/$P145</f>
        <v>0.10197</v>
      </c>
      <c r="R145" s="93" t="n">
        <f aca="false">$C145*F145/$P145</f>
        <v>1.08306</v>
      </c>
      <c r="S145" s="93" t="n">
        <f aca="false">$C145*G145/$P145</f>
        <v>78.97626</v>
      </c>
      <c r="T145" s="93" t="n">
        <f aca="false">$C145*H145/$P145</f>
        <v>10.54647</v>
      </c>
      <c r="U145" s="93" t="n">
        <f aca="false">$C145*I145/$P145</f>
        <v>4.59855</v>
      </c>
      <c r="V145" s="93" t="n">
        <f aca="false">$C145*J145/$P145</f>
        <v>0.74349</v>
      </c>
      <c r="W145" s="93" t="n">
        <f aca="false">$C145*K145/$P145</f>
        <v>1.54737</v>
      </c>
      <c r="X145" s="93" t="n">
        <f aca="false">$C145*L145/$P145</f>
        <v>0.44055</v>
      </c>
      <c r="Y145" s="93" t="n">
        <f aca="false">$C145*M145/$P145</f>
        <v>0.45144</v>
      </c>
      <c r="Z145" s="93" t="n">
        <f aca="false">$C145*N145/$P145</f>
        <v>0.51084</v>
      </c>
      <c r="AA145" s="93" t="n">
        <f aca="false">$C145*O145/$P145</f>
        <v>0</v>
      </c>
      <c r="AB145" s="95" t="n">
        <f aca="false">SUM(Q145:AA145)</f>
        <v>99</v>
      </c>
      <c r="AC145" s="508"/>
      <c r="AD145" s="509"/>
      <c r="AE145" s="93" t="n">
        <f aca="false">S145*AE$159/$BP145/1000</f>
        <v>79.7946410752424</v>
      </c>
      <c r="AF145" s="93" t="n">
        <f aca="false">T145*AF$159/$BP145/1000</f>
        <v>18.6719164163468</v>
      </c>
      <c r="AG145" s="93" t="n">
        <f aca="false">U145*AG$159/$BP145/1000</f>
        <v>11.5748942437267</v>
      </c>
      <c r="AH145" s="93" t="n">
        <f aca="false">V145*AH$159/$BP145/1000</f>
        <v>2.41869946121063</v>
      </c>
      <c r="AI145" s="93" t="n">
        <f aca="false">W145*AI$159/$BP145/1000</f>
        <v>5.0500074554125</v>
      </c>
      <c r="AJ145" s="93" t="n">
        <f aca="false">X145*AJ$159/$BP145/1000</f>
        <v>1.76330674352579</v>
      </c>
      <c r="AK145" s="93" t="n">
        <f aca="false">Y145*AK$159/$BP145/1000</f>
        <v>1.81042779243281</v>
      </c>
      <c r="AL145" s="93" t="n">
        <f aca="false">Z145*AL$159/$BP145/1000</f>
        <v>2.62126924325148</v>
      </c>
      <c r="AM145" s="93"/>
      <c r="AN145" s="93" t="n">
        <f aca="false">SUM(AC145:AM145)</f>
        <v>123.705162431149</v>
      </c>
      <c r="AO145" s="93" t="n">
        <f aca="false">D145-AN145</f>
        <v>0.044836654303154</v>
      </c>
      <c r="AP145" s="510" t="n">
        <f aca="false">IF(D145=0,0,AO145/D145)</f>
        <v>0.000362316401086946</v>
      </c>
      <c r="AQ145" s="511" t="n">
        <f aca="false">IF(AB145=0,0,AN145/AB145)*1000</f>
        <v>1249.54709526413</v>
      </c>
      <c r="AR145" s="512" t="n">
        <f aca="false">IF(C145=0,0,D145/C145)*1000</f>
        <v>1249.99999076214</v>
      </c>
      <c r="AS145" s="513" t="n">
        <f aca="false">Q145*1000/AS$159*$AD$159/14.696/$BP145/42</f>
        <v>0.0413444543467779</v>
      </c>
      <c r="AT145" s="93" t="n">
        <f aca="false">R145*1000/AT$159*$AD$159/14.696/$BP145/42</f>
        <v>0.283089540826289</v>
      </c>
      <c r="AU145" s="93" t="n">
        <f aca="false">S145*1000/AU$159*$AD$159/14.696/$BP145/42</f>
        <v>31.8092241689854</v>
      </c>
      <c r="AV145" s="93" t="n">
        <f aca="false">T145*1000/AV$159*$AD$159/14.696/$BP145/42</f>
        <v>6.7009749836555</v>
      </c>
      <c r="AW145" s="93" t="n">
        <f aca="false">U145*1000/AW$159*$AD$159/14.696/$BP145/42</f>
        <v>3.00988615515312</v>
      </c>
      <c r="AX145" s="93" t="n">
        <f aca="false">V145*1000/AX$159*$AD$159/14.696/$BP145/42</f>
        <v>0.578032212337615</v>
      </c>
      <c r="AY145" s="93" t="n">
        <f aca="false">W145*1000/AY$159*$AD$159/14.696/$BP145/42</f>
        <v>1.15898160234695</v>
      </c>
      <c r="AZ145" s="93" t="n">
        <f aca="false">X145*1000/AZ$159*$AD$159/14.696/$BP145/42</f>
        <v>0.382777096104901</v>
      </c>
      <c r="BA145" s="93" t="n">
        <f aca="false">Y145*1000/BA$159*$AD$159/14.696/$BP145/42</f>
        <v>0.388778653436689</v>
      </c>
      <c r="BB145" s="93" t="n">
        <f aca="false">Z145*1000/BB$159*$AD$159/14.696/$BP145/42</f>
        <v>0.526648518210943</v>
      </c>
      <c r="BC145" s="93" t="n">
        <f aca="false">AA145*1000/BC$159*$AD$159/14.696/$BP145/42</f>
        <v>0</v>
      </c>
      <c r="BD145" s="94" t="n">
        <f aca="false">SUM(AS145:BC145)</f>
        <v>44.8797373854042</v>
      </c>
      <c r="BE145" s="508" t="n">
        <f aca="false">E145/$P145*BE$159</f>
        <v>2.0085E-005</v>
      </c>
      <c r="BF145" s="509" t="n">
        <f aca="false">F145/$P145*BF$159</f>
        <v>4.83548E-005</v>
      </c>
      <c r="BG145" s="509" t="n">
        <f aca="false">G145/$P145*BG$159</f>
        <v>0.009253784</v>
      </c>
      <c r="BH145" s="509" t="n">
        <f aca="false">H145/$P145*BH$159</f>
        <v>0.002535414</v>
      </c>
      <c r="BI145" s="509" t="n">
        <f aca="false">I145/$P145*BI$159</f>
        <v>0.001611815</v>
      </c>
      <c r="BJ145" s="509" t="n">
        <f aca="false">J145/$P145*BJ$159</f>
        <v>0.000331191</v>
      </c>
      <c r="BK145" s="509" t="n">
        <f aca="false">K145/$P145*BK$159</f>
        <v>0.00073461</v>
      </c>
      <c r="BL145" s="509" t="n">
        <f aca="false">L145/$P145*BL$159</f>
        <v>0.00025632</v>
      </c>
      <c r="BM145" s="509" t="n">
        <f aca="false">M145/$P145*BM$159</f>
        <v>0.000276336</v>
      </c>
      <c r="BN145" s="509" t="n">
        <f aca="false">N145/$P145*BN$159</f>
        <v>0.0004456692</v>
      </c>
      <c r="BO145" s="509" t="n">
        <f aca="false">O145/$P145*BO$159</f>
        <v>0</v>
      </c>
      <c r="BP145" s="507" t="n">
        <f aca="false">1-AD$159*(SUM(BE145:BO145))^2</f>
        <v>0.996474167895848</v>
      </c>
    </row>
    <row r="146" customFormat="false" ht="15" hidden="false" customHeight="false" outlineLevel="0" collapsed="false">
      <c r="A146" s="491" t="s">
        <v>376</v>
      </c>
      <c r="B146" s="492" t="s">
        <v>199</v>
      </c>
      <c r="C146" s="493" t="n">
        <v>629</v>
      </c>
      <c r="D146" s="494" t="n">
        <f aca="false">VLOOKUP("8.00.21",All_Data,4,0)/VLOOKUP("8.00.21",All_Data,3,0)*C146</f>
        <v>796.313997728088</v>
      </c>
      <c r="E146" s="495" t="n">
        <f aca="false">VLOOKUP("8.00.21",All_Data,E$1,0)</f>
        <v>0.121</v>
      </c>
      <c r="F146" s="495" t="n">
        <f aca="false">VLOOKUP("8.00.21",All_Data,F$1,0)</f>
        <v>0.839</v>
      </c>
      <c r="G146" s="495" t="n">
        <f aca="false">VLOOKUP("8.00.21",All_Data,G$1,0)</f>
        <v>79.667</v>
      </c>
      <c r="H146" s="495" t="n">
        <f aca="false">VLOOKUP("8.00.21",All_Data,H$1,0)</f>
        <v>10.619</v>
      </c>
      <c r="I146" s="495" t="n">
        <f aca="false">VLOOKUP("8.00.21",All_Data,I$1,0)</f>
        <v>4.586</v>
      </c>
      <c r="J146" s="495" t="n">
        <f aca="false">VLOOKUP("8.00.21",All_Data,J$1,0)</f>
        <v>0.744</v>
      </c>
      <c r="K146" s="495" t="n">
        <f aca="false">VLOOKUP("8.00.21",All_Data,K$1,0)</f>
        <v>1.639</v>
      </c>
      <c r="L146" s="495" t="n">
        <f aca="false">VLOOKUP("8.00.21",All_Data,L$1,0)</f>
        <v>0.501</v>
      </c>
      <c r="M146" s="495" t="n">
        <f aca="false">VLOOKUP("8.00.21",All_Data,M$1,0)</f>
        <v>0.572</v>
      </c>
      <c r="N146" s="495" t="n">
        <f aca="false">VLOOKUP("8.00.21",All_Data,N$1,0)</f>
        <v>0.712</v>
      </c>
      <c r="O146" s="495" t="n">
        <f aca="false">VLOOKUP("8.00.21",All_Data,O$1,0)</f>
        <v>0</v>
      </c>
      <c r="P146" s="496" t="n">
        <f aca="false">SUM(E146:O146)</f>
        <v>100</v>
      </c>
      <c r="Q146" s="494" t="n">
        <f aca="false">$C146*E146/$P146</f>
        <v>0.76109</v>
      </c>
      <c r="R146" s="497" t="n">
        <f aca="false">$C146*F146/$P146</f>
        <v>5.27731</v>
      </c>
      <c r="S146" s="497" t="n">
        <f aca="false">$C146*G146/$P146</f>
        <v>501.10543</v>
      </c>
      <c r="T146" s="497" t="n">
        <f aca="false">$C146*H146/$P146</f>
        <v>66.79351</v>
      </c>
      <c r="U146" s="497" t="n">
        <f aca="false">$C146*I146/$P146</f>
        <v>28.84594</v>
      </c>
      <c r="V146" s="497" t="n">
        <f aca="false">$C146*J146/$P146</f>
        <v>4.67976</v>
      </c>
      <c r="W146" s="497" t="n">
        <f aca="false">$C146*K146/$P146</f>
        <v>10.30931</v>
      </c>
      <c r="X146" s="497" t="n">
        <f aca="false">$C146*L146/$P146</f>
        <v>3.15129</v>
      </c>
      <c r="Y146" s="497" t="n">
        <f aca="false">$C146*M146/$P146</f>
        <v>3.59788</v>
      </c>
      <c r="Z146" s="497" t="n">
        <f aca="false">$C146*N146/$P146</f>
        <v>4.47848</v>
      </c>
      <c r="AA146" s="497" t="n">
        <f aca="false">$C146*O146/$P146</f>
        <v>0</v>
      </c>
      <c r="AB146" s="498" t="n">
        <f aca="false">SUM(Q146:AA146)</f>
        <v>629</v>
      </c>
      <c r="AC146" s="499"/>
      <c r="AD146" s="500"/>
      <c r="AE146" s="497" t="n">
        <f aca="false">S146*AE$159/$BP146/1000</f>
        <v>506.357624319612</v>
      </c>
      <c r="AF146" s="497" t="n">
        <f aca="false">T146*AF$159/$BP146/1000</f>
        <v>118.267964406574</v>
      </c>
      <c r="AG146" s="497" t="n">
        <f aca="false">U146*AG$159/$BP146/1000</f>
        <v>72.6159289133392</v>
      </c>
      <c r="AH146" s="497" t="n">
        <f aca="false">V146*AH$159/$BP146/1000</f>
        <v>15.2258462481376</v>
      </c>
      <c r="AI146" s="497" t="n">
        <f aca="false">W146*AI$159/$BP146/1000</f>
        <v>33.6494932560892</v>
      </c>
      <c r="AJ146" s="497" t="n">
        <f aca="false">X146*AJ$159/$BP146/1000</f>
        <v>12.6145602919466</v>
      </c>
      <c r="AK146" s="497" t="n">
        <f aca="false">Y146*AK$159/$BP146/1000</f>
        <v>14.4304185429779</v>
      </c>
      <c r="AL146" s="497" t="n">
        <f aca="false">Z146*AL$159/$BP146/1000</f>
        <v>22.9830920925997</v>
      </c>
      <c r="AM146" s="497"/>
      <c r="AN146" s="497" t="n">
        <f aca="false">SUM(AC146:AM146)</f>
        <v>796.144928071276</v>
      </c>
      <c r="AO146" s="497" t="n">
        <f aca="false">D146-AN146</f>
        <v>0.169069656812439</v>
      </c>
      <c r="AP146" s="501" t="n">
        <f aca="false">IF(D146=0,0,AO146/D146)</f>
        <v>0.000212315314429736</v>
      </c>
      <c r="AQ146" s="502" t="n">
        <f aca="false">IF(AB146=0,0,AN146/AB146)*1000</f>
        <v>1265.73120520076</v>
      </c>
      <c r="AR146" s="503" t="n">
        <f aca="false">IF(C146=0,0,D146/C146)*1000</f>
        <v>1265.99999638806</v>
      </c>
      <c r="AS146" s="504" t="n">
        <f aca="false">Q146*1000/AS$159*$AD$159/14.696/$BP146/42</f>
        <v>0.308625597505179</v>
      </c>
      <c r="AT146" s="497" t="n">
        <f aca="false">R146*1000/AT$159*$AD$159/14.696/$BP146/42</f>
        <v>1.3795422201087</v>
      </c>
      <c r="AU146" s="497" t="n">
        <f aca="false">S146*1000/AU$159*$AD$159/14.696/$BP146/42</f>
        <v>201.853695494031</v>
      </c>
      <c r="AV146" s="497" t="n">
        <f aca="false">T146*1000/AV$159*$AD$159/14.696/$BP146/42</f>
        <v>42.4439919922994</v>
      </c>
      <c r="AW146" s="497" t="n">
        <f aca="false">U146*1000/AW$159*$AD$159/14.696/$BP146/42</f>
        <v>18.8827365915935</v>
      </c>
      <c r="AX146" s="497" t="n">
        <f aca="false">V146*1000/AX$159*$AD$159/14.696/$BP146/42</f>
        <v>3.63874459504704</v>
      </c>
      <c r="AY146" s="497" t="n">
        <f aca="false">W146*1000/AY$159*$AD$159/14.696/$BP146/42</f>
        <v>7.72259129445572</v>
      </c>
      <c r="AZ146" s="497" t="n">
        <f aca="false">X146*1000/AZ$159*$AD$159/14.696/$BP146/42</f>
        <v>2.73835778994224</v>
      </c>
      <c r="BA146" s="497" t="n">
        <f aca="false">Y146*1000/BA$159*$AD$159/14.696/$BP146/42</f>
        <v>3.09884697590058</v>
      </c>
      <c r="BB146" s="497" t="n">
        <f aca="false">Z146*1000/BB$159*$AD$159/14.696/$BP146/42</f>
        <v>4.61761470159364</v>
      </c>
      <c r="BC146" s="497" t="n">
        <f aca="false">AA146*1000/BC$159*$AD$159/14.696/$BP146/42</f>
        <v>0</v>
      </c>
      <c r="BD146" s="505" t="n">
        <f aca="false">SUM(AS146:BC146)</f>
        <v>286.684747252477</v>
      </c>
      <c r="BE146" s="499" t="n">
        <f aca="false">E146/$P146*BE$159</f>
        <v>2.3595E-005</v>
      </c>
      <c r="BF146" s="500" t="n">
        <f aca="false">F146/$P146*BF$159</f>
        <v>3.70838E-005</v>
      </c>
      <c r="BG146" s="500" t="n">
        <f aca="false">G146/$P146*BG$159</f>
        <v>0.009241372</v>
      </c>
      <c r="BH146" s="500" t="n">
        <f aca="false">H146/$P146*BH$159</f>
        <v>0.002527322</v>
      </c>
      <c r="BI146" s="500" t="n">
        <f aca="false">I146/$P146*BI$159</f>
        <v>0.001591342</v>
      </c>
      <c r="BJ146" s="500" t="n">
        <f aca="false">J146/$P146*BJ$159</f>
        <v>0.000328104</v>
      </c>
      <c r="BK146" s="500" t="n">
        <f aca="false">K146/$P146*BK$159</f>
        <v>0.00077033</v>
      </c>
      <c r="BL146" s="500" t="n">
        <f aca="false">L146/$P146*BL$159</f>
        <v>0.000288576</v>
      </c>
      <c r="BM146" s="500" t="n">
        <f aca="false">M146/$P146*BM$159</f>
        <v>0.000346632</v>
      </c>
      <c r="BN146" s="500" t="n">
        <f aca="false">N146/$P146*BN$159</f>
        <v>0.0006149544</v>
      </c>
      <c r="BO146" s="500" t="n">
        <f aca="false">O146/$P146*BO$159</f>
        <v>0</v>
      </c>
      <c r="BP146" s="496" t="n">
        <f aca="false">1-AD$159*(SUM(BE146:BO146))^2</f>
        <v>0.996356967275666</v>
      </c>
    </row>
    <row r="147" customFormat="false" ht="15" hidden="false" customHeight="false" outlineLevel="0" collapsed="false">
      <c r="A147" s="89" t="s">
        <v>377</v>
      </c>
      <c r="B147" s="90" t="s">
        <v>201</v>
      </c>
      <c r="C147" s="493" t="n">
        <v>0</v>
      </c>
      <c r="D147" s="494" t="n">
        <f aca="false">VLOOKUP("8.00.21",All_Data,4,0)/VLOOKUP("8.00.21",All_Data,3,0)*C147</f>
        <v>0</v>
      </c>
      <c r="E147" s="506" t="n">
        <f aca="false">VLOOKUP("8.00.23",All_Data,E$1,0)</f>
        <v>0.146</v>
      </c>
      <c r="F147" s="506" t="n">
        <f aca="false">VLOOKUP("8.00.23",All_Data,F$1,0)</f>
        <v>0.927</v>
      </c>
      <c r="G147" s="506" t="n">
        <f aca="false">VLOOKUP("8.00.23",All_Data,G$1,0)</f>
        <v>77.414</v>
      </c>
      <c r="H147" s="506" t="n">
        <f aca="false">VLOOKUP("8.00.23",All_Data,H$1,0)</f>
        <v>11.691</v>
      </c>
      <c r="I147" s="506" t="n">
        <f aca="false">VLOOKUP("8.00.23",All_Data,I$1,0)</f>
        <v>5.467</v>
      </c>
      <c r="J147" s="506" t="n">
        <f aca="false">VLOOKUP("8.00.23",All_Data,J$1,0)</f>
        <v>0.797</v>
      </c>
      <c r="K147" s="506" t="n">
        <f aca="false">VLOOKUP("8.00.23",All_Data,K$1,0)</f>
        <v>1.866</v>
      </c>
      <c r="L147" s="506" t="n">
        <f aca="false">VLOOKUP("8.00.23",All_Data,L$1,0)</f>
        <v>0.491</v>
      </c>
      <c r="M147" s="506" t="n">
        <f aca="false">VLOOKUP("8.00.23",All_Data,M$1,0)</f>
        <v>0.583</v>
      </c>
      <c r="N147" s="506" t="n">
        <f aca="false">VLOOKUP("8.00.23",All_Data,N$1,0)</f>
        <v>0.618</v>
      </c>
      <c r="O147" s="506" t="n">
        <f aca="false">VLOOKUP("8.00.23",All_Data,O$1,0)</f>
        <v>0</v>
      </c>
      <c r="P147" s="507" t="n">
        <f aca="false">SUM(E147:O147)</f>
        <v>100</v>
      </c>
      <c r="Q147" s="92" t="n">
        <f aca="false">$C147*E147/$P147</f>
        <v>0</v>
      </c>
      <c r="R147" s="93" t="n">
        <f aca="false">$C147*F147/$P147</f>
        <v>0</v>
      </c>
      <c r="S147" s="93" t="n">
        <f aca="false">$C147*G147/$P147</f>
        <v>0</v>
      </c>
      <c r="T147" s="93" t="n">
        <f aca="false">$C147*H147/$P147</f>
        <v>0</v>
      </c>
      <c r="U147" s="93" t="n">
        <f aca="false">$C147*I147/$P147</f>
        <v>0</v>
      </c>
      <c r="V147" s="93" t="n">
        <f aca="false">$C147*J147/$P147</f>
        <v>0</v>
      </c>
      <c r="W147" s="93" t="n">
        <f aca="false">$C147*K147/$P147</f>
        <v>0</v>
      </c>
      <c r="X147" s="93" t="n">
        <f aca="false">$C147*L147/$P147</f>
        <v>0</v>
      </c>
      <c r="Y147" s="93" t="n">
        <f aca="false">$C147*M147/$P147</f>
        <v>0</v>
      </c>
      <c r="Z147" s="93" t="n">
        <f aca="false">$C147*N147/$P147</f>
        <v>0</v>
      </c>
      <c r="AA147" s="93" t="n">
        <f aca="false">$C147*O147/$P147</f>
        <v>0</v>
      </c>
      <c r="AB147" s="95" t="n">
        <f aca="false">SUM(Q147:AA147)</f>
        <v>0</v>
      </c>
      <c r="AC147" s="508"/>
      <c r="AD147" s="509"/>
      <c r="AE147" s="93" t="n">
        <f aca="false">S147*AE$159/$BP147/1000</f>
        <v>0</v>
      </c>
      <c r="AF147" s="93" t="n">
        <f aca="false">T147*AF$159/$BP147/1000</f>
        <v>0</v>
      </c>
      <c r="AG147" s="93" t="n">
        <f aca="false">U147*AG$159/$BP147/1000</f>
        <v>0</v>
      </c>
      <c r="AH147" s="93" t="n">
        <f aca="false">V147*AH$159/$BP147/1000</f>
        <v>0</v>
      </c>
      <c r="AI147" s="93" t="n">
        <f aca="false">W147*AI$159/$BP147/1000</f>
        <v>0</v>
      </c>
      <c r="AJ147" s="93" t="n">
        <f aca="false">X147*AJ$159/$BP147/1000</f>
        <v>0</v>
      </c>
      <c r="AK147" s="93" t="n">
        <f aca="false">Y147*AK$159/$BP147/1000</f>
        <v>0</v>
      </c>
      <c r="AL147" s="93" t="n">
        <f aca="false">Z147*AL$159/$BP147/1000</f>
        <v>0</v>
      </c>
      <c r="AM147" s="93"/>
      <c r="AN147" s="93" t="n">
        <f aca="false">SUM(AC147:AM147)</f>
        <v>0</v>
      </c>
      <c r="AO147" s="93" t="n">
        <f aca="false">D147-AN147</f>
        <v>0</v>
      </c>
      <c r="AP147" s="510" t="n">
        <f aca="false">IF(D147=0,0,AO147/D147)</f>
        <v>0</v>
      </c>
      <c r="AQ147" s="511" t="n">
        <f aca="false">IF(AB147=0,0,AN147/AB147)*1000</f>
        <v>0</v>
      </c>
      <c r="AR147" s="512" t="n">
        <f aca="false">IF(C147=0,0,D147/C147)*1000</f>
        <v>0</v>
      </c>
      <c r="AS147" s="513" t="n">
        <f aca="false">Q147*1000/AS$159*$AD$159/14.696/$BP147/42</f>
        <v>0</v>
      </c>
      <c r="AT147" s="93" t="n">
        <f aca="false">R147*1000/AT$159*$AD$159/14.696/$BP147/42</f>
        <v>0</v>
      </c>
      <c r="AU147" s="93" t="n">
        <f aca="false">S147*1000/AU$159*$AD$159/14.696/$BP147/42</f>
        <v>0</v>
      </c>
      <c r="AV147" s="93" t="n">
        <f aca="false">T147*1000/AV$159*$AD$159/14.696/$BP147/42</f>
        <v>0</v>
      </c>
      <c r="AW147" s="93" t="n">
        <f aca="false">U147*1000/AW$159*$AD$159/14.696/$BP147/42</f>
        <v>0</v>
      </c>
      <c r="AX147" s="93" t="n">
        <f aca="false">V147*1000/AX$159*$AD$159/14.696/$BP147/42</f>
        <v>0</v>
      </c>
      <c r="AY147" s="93" t="n">
        <f aca="false">W147*1000/AY$159*$AD$159/14.696/$BP147/42</f>
        <v>0</v>
      </c>
      <c r="AZ147" s="93" t="n">
        <f aca="false">X147*1000/AZ$159*$AD$159/14.696/$BP147/42</f>
        <v>0</v>
      </c>
      <c r="BA147" s="93" t="n">
        <f aca="false">Y147*1000/BA$159*$AD$159/14.696/$BP147/42</f>
        <v>0</v>
      </c>
      <c r="BB147" s="93" t="n">
        <f aca="false">Z147*1000/BB$159*$AD$159/14.696/$BP147/42</f>
        <v>0</v>
      </c>
      <c r="BC147" s="93" t="n">
        <f aca="false">AA147*1000/BC$159*$AD$159/14.696/$BP147/42</f>
        <v>0</v>
      </c>
      <c r="BD147" s="94" t="n">
        <f aca="false">SUM(AS147:BC147)</f>
        <v>0</v>
      </c>
      <c r="BE147" s="508" t="n">
        <f aca="false">E147/$P147*BE$159</f>
        <v>2.847E-005</v>
      </c>
      <c r="BF147" s="509" t="n">
        <f aca="false">F147/$P147*BF$159</f>
        <v>4.09734E-005</v>
      </c>
      <c r="BG147" s="509" t="n">
        <f aca="false">G147/$P147*BG$159</f>
        <v>0.008980024</v>
      </c>
      <c r="BH147" s="509" t="n">
        <f aca="false">H147/$P147*BH$159</f>
        <v>0.002782458</v>
      </c>
      <c r="BI147" s="509" t="n">
        <f aca="false">I147/$P147*BI$159</f>
        <v>0.001897049</v>
      </c>
      <c r="BJ147" s="509" t="n">
        <f aca="false">J147/$P147*BJ$159</f>
        <v>0.000351477</v>
      </c>
      <c r="BK147" s="509" t="n">
        <f aca="false">K147/$P147*BK$159</f>
        <v>0.00087702</v>
      </c>
      <c r="BL147" s="509" t="n">
        <f aca="false">L147/$P147*BL$159</f>
        <v>0.000282816</v>
      </c>
      <c r="BM147" s="509" t="n">
        <f aca="false">M147/$P147*BM$159</f>
        <v>0.000353298</v>
      </c>
      <c r="BN147" s="509" t="n">
        <f aca="false">N147/$P147*BN$159</f>
        <v>0.0005337666</v>
      </c>
      <c r="BO147" s="509" t="n">
        <f aca="false">O147/$P147*BO$159</f>
        <v>0</v>
      </c>
      <c r="BP147" s="507" t="n">
        <f aca="false">1-AD$159*(SUM(BE147:BO147))^2</f>
        <v>0.996189659780907</v>
      </c>
    </row>
    <row r="148" customFormat="false" ht="15" hidden="false" customHeight="false" outlineLevel="0" collapsed="false">
      <c r="A148" s="491" t="s">
        <v>378</v>
      </c>
      <c r="B148" s="492" t="s">
        <v>202</v>
      </c>
      <c r="C148" s="493" t="n">
        <v>633</v>
      </c>
      <c r="D148" s="494" t="n">
        <f aca="false">VLOOKUP("8.00.16",All_Data,4,0)/VLOOKUP("8.00.16",All_Data,3,0)*C148</f>
        <v>814.037998902393</v>
      </c>
      <c r="E148" s="495" t="n">
        <f aca="false">VLOOKUP("8.00.16",All_Data,E$1,0)</f>
        <v>0.135</v>
      </c>
      <c r="F148" s="495" t="n">
        <f aca="false">VLOOKUP("8.00.16",All_Data,F$1,0)</f>
        <v>0.866</v>
      </c>
      <c r="G148" s="495" t="n">
        <f aca="false">VLOOKUP("8.00.16",All_Data,G$1,0)</f>
        <v>78.175</v>
      </c>
      <c r="H148" s="495" t="n">
        <f aca="false">VLOOKUP("8.00.16",All_Data,H$1,0)</f>
        <v>11.344</v>
      </c>
      <c r="I148" s="495" t="n">
        <f aca="false">VLOOKUP("8.00.16",All_Data,I$1,0)</f>
        <v>5.072</v>
      </c>
      <c r="J148" s="495" t="n">
        <f aca="false">VLOOKUP("8.00.16",All_Data,J$1,0)</f>
        <v>0.771</v>
      </c>
      <c r="K148" s="495" t="n">
        <f aca="false">VLOOKUP("8.00.16",All_Data,K$1,0)</f>
        <v>1.767</v>
      </c>
      <c r="L148" s="495" t="n">
        <f aca="false">VLOOKUP("8.00.16",All_Data,L$1,0)</f>
        <v>0.506</v>
      </c>
      <c r="M148" s="495" t="n">
        <f aca="false">VLOOKUP("8.00.16",All_Data,M$1,0)</f>
        <v>0.536</v>
      </c>
      <c r="N148" s="495" t="n">
        <f aca="false">VLOOKUP("8.00.16",All_Data,N$1,0)</f>
        <v>0.828</v>
      </c>
      <c r="O148" s="495" t="n">
        <f aca="false">VLOOKUP("8.00.16",All_Data,O$1,0)</f>
        <v>0</v>
      </c>
      <c r="P148" s="496" t="n">
        <f aca="false">SUM(E148:O148)</f>
        <v>100</v>
      </c>
      <c r="Q148" s="494" t="n">
        <f aca="false">$C148*E148/$P148</f>
        <v>0.85455</v>
      </c>
      <c r="R148" s="497" t="n">
        <f aca="false">$C148*F148/$P148</f>
        <v>5.48178</v>
      </c>
      <c r="S148" s="497" t="n">
        <f aca="false">$C148*G148/$P148</f>
        <v>494.84775</v>
      </c>
      <c r="T148" s="497" t="n">
        <f aca="false">$C148*H148/$P148</f>
        <v>71.80752</v>
      </c>
      <c r="U148" s="497" t="n">
        <f aca="false">$C148*I148/$P148</f>
        <v>32.10576</v>
      </c>
      <c r="V148" s="497" t="n">
        <f aca="false">$C148*J148/$P148</f>
        <v>4.88043</v>
      </c>
      <c r="W148" s="497" t="n">
        <f aca="false">$C148*K148/$P148</f>
        <v>11.18511</v>
      </c>
      <c r="X148" s="497" t="n">
        <f aca="false">$C148*L148/$P148</f>
        <v>3.20298</v>
      </c>
      <c r="Y148" s="497" t="n">
        <f aca="false">$C148*M148/$P148</f>
        <v>3.39288</v>
      </c>
      <c r="Z148" s="497" t="n">
        <f aca="false">$C148*N148/$P148</f>
        <v>5.24124</v>
      </c>
      <c r="AA148" s="497" t="n">
        <f aca="false">$C148*O148/$P148</f>
        <v>0</v>
      </c>
      <c r="AB148" s="498" t="n">
        <f aca="false">SUM(Q148:AA148)</f>
        <v>633</v>
      </c>
      <c r="AC148" s="499"/>
      <c r="AD148" s="500"/>
      <c r="AE148" s="497" t="n">
        <f aca="false">S148*AE$159/$BP148/1000</f>
        <v>500.110591815948</v>
      </c>
      <c r="AF148" s="497" t="n">
        <f aca="false">T148*AF$159/$BP148/1000</f>
        <v>127.165408682942</v>
      </c>
      <c r="AG148" s="497" t="n">
        <f aca="false">U148*AG$159/$BP148/1000</f>
        <v>80.834427000129</v>
      </c>
      <c r="AH148" s="497" t="n">
        <f aca="false">V148*AH$159/$BP148/1000</f>
        <v>15.8811575718451</v>
      </c>
      <c r="AI148" s="497" t="n">
        <f aca="false">W148*AI$159/$BP148/1000</f>
        <v>36.513662471263</v>
      </c>
      <c r="AJ148" s="497" t="n">
        <f aca="false">X148*AJ$159/$BP148/1000</f>
        <v>12.8234292542182</v>
      </c>
      <c r="AK148" s="497" t="n">
        <f aca="false">Y148*AK$159/$BP148/1000</f>
        <v>13.6102768980333</v>
      </c>
      <c r="AL148" s="497" t="n">
        <f aca="false">Z148*AL$159/$BP148/1000</f>
        <v>26.901597640613</v>
      </c>
      <c r="AM148" s="497"/>
      <c r="AN148" s="497" t="n">
        <f aca="false">SUM(AC148:AM148)</f>
        <v>813.840551334992</v>
      </c>
      <c r="AO148" s="497" t="n">
        <f aca="false">D148-AN148</f>
        <v>0.197447567400673</v>
      </c>
      <c r="AP148" s="501" t="n">
        <f aca="false">IF(D148=0,0,AO148/D148)</f>
        <v>0.000242553256318379</v>
      </c>
      <c r="AQ148" s="502" t="n">
        <f aca="false">IF(AB148=0,0,AN148/AB148)*1000</f>
        <v>1285.68807477882</v>
      </c>
      <c r="AR148" s="503" t="n">
        <f aca="false">IF(C148=0,0,D148/C148)*1000</f>
        <v>1285.99999826602</v>
      </c>
      <c r="AS148" s="504" t="n">
        <f aca="false">Q148*1000/AS$159*$AD$159/14.696/$BP148/42</f>
        <v>0.34657690118975</v>
      </c>
      <c r="AT148" s="497" t="n">
        <f aca="false">R148*1000/AT$159*$AD$159/14.696/$BP148/42</f>
        <v>1.43321122165125</v>
      </c>
      <c r="AU148" s="497" t="n">
        <f aca="false">S148*1000/AU$159*$AD$159/14.696/$BP148/42</f>
        <v>199.363387189835</v>
      </c>
      <c r="AV148" s="497" t="n">
        <f aca="false">T148*1000/AV$159*$AD$159/14.696/$BP148/42</f>
        <v>45.6371056601722</v>
      </c>
      <c r="AW148" s="497" t="n">
        <f aca="false">U148*1000/AW$159*$AD$159/14.696/$BP148/42</f>
        <v>21.0198397984748</v>
      </c>
      <c r="AX148" s="497" t="n">
        <f aca="false">V148*1000/AX$159*$AD$159/14.696/$BP148/42</f>
        <v>3.79535398794073</v>
      </c>
      <c r="AY148" s="497" t="n">
        <f aca="false">W148*1000/AY$159*$AD$159/14.696/$BP148/42</f>
        <v>8.37992090351148</v>
      </c>
      <c r="AZ148" s="497" t="n">
        <f aca="false">X148*1000/AZ$159*$AD$159/14.696/$BP148/42</f>
        <v>2.78369888282826</v>
      </c>
      <c r="BA148" s="497" t="n">
        <f aca="false">Y148*1000/BA$159*$AD$159/14.696/$BP148/42</f>
        <v>2.92272641164409</v>
      </c>
      <c r="BB148" s="497" t="n">
        <f aca="false">Z148*1000/BB$159*$AD$159/14.696/$BP148/42</f>
        <v>5.40489557545867</v>
      </c>
      <c r="BC148" s="497" t="n">
        <f aca="false">AA148*1000/BC$159*$AD$159/14.696/$BP148/42</f>
        <v>0</v>
      </c>
      <c r="BD148" s="505" t="n">
        <f aca="false">SUM(AS148:BC148)</f>
        <v>291.086716532706</v>
      </c>
      <c r="BE148" s="499" t="n">
        <f aca="false">E148/$P148*BE$159</f>
        <v>2.6325E-005</v>
      </c>
      <c r="BF148" s="500" t="n">
        <f aca="false">F148/$P148*BF$159</f>
        <v>3.82772E-005</v>
      </c>
      <c r="BG148" s="500" t="n">
        <f aca="false">G148/$P148*BG$159</f>
        <v>0.0090683</v>
      </c>
      <c r="BH148" s="500" t="n">
        <f aca="false">H148/$P148*BH$159</f>
        <v>0.002699872</v>
      </c>
      <c r="BI148" s="500" t="n">
        <f aca="false">I148/$P148*BI$159</f>
        <v>0.001759984</v>
      </c>
      <c r="BJ148" s="500" t="n">
        <f aca="false">J148/$P148*BJ$159</f>
        <v>0.000340011</v>
      </c>
      <c r="BK148" s="500" t="n">
        <f aca="false">K148/$P148*BK$159</f>
        <v>0.00083049</v>
      </c>
      <c r="BL148" s="500" t="n">
        <f aca="false">L148/$P148*BL$159</f>
        <v>0.000291456</v>
      </c>
      <c r="BM148" s="500" t="n">
        <f aca="false">M148/$P148*BM$159</f>
        <v>0.000324816</v>
      </c>
      <c r="BN148" s="500" t="n">
        <f aca="false">N148/$P148*BN$159</f>
        <v>0.0007151436</v>
      </c>
      <c r="BO148" s="500" t="n">
        <f aca="false">O148/$P148*BO$159</f>
        <v>0</v>
      </c>
      <c r="BP148" s="496" t="n">
        <f aca="false">1-AD$159*(SUM(BE148:BO148))^2</f>
        <v>0.996205085141155</v>
      </c>
    </row>
    <row r="149" customFormat="false" ht="15" hidden="false" customHeight="false" outlineLevel="0" collapsed="false">
      <c r="A149" s="89" t="s">
        <v>379</v>
      </c>
      <c r="B149" s="90" t="s">
        <v>380</v>
      </c>
      <c r="C149" s="493" t="n">
        <v>1460</v>
      </c>
      <c r="D149" s="92" t="n">
        <f aca="false">VLOOKUP("8.00.15",All_Data,4,0)/VLOOKUP("8.00.15",All_Data,3,0)*C149</f>
        <v>1817.69999516276</v>
      </c>
      <c r="E149" s="506" t="n">
        <f aca="false">VLOOKUP("8.00.15",All_Data,E$1,0)</f>
        <v>0.169</v>
      </c>
      <c r="F149" s="506" t="n">
        <f aca="false">VLOOKUP("8.00.15",All_Data,F$1,0)</f>
        <v>1.369</v>
      </c>
      <c r="G149" s="506" t="n">
        <f aca="false">VLOOKUP("8.00.15",All_Data,G$1,0)</f>
        <v>79.224</v>
      </c>
      <c r="H149" s="506" t="n">
        <f aca="false">VLOOKUP("8.00.15",All_Data,H$1,0)</f>
        <v>10.904</v>
      </c>
      <c r="I149" s="506" t="n">
        <f aca="false">VLOOKUP("8.00.15",All_Data,I$1,0)</f>
        <v>4.714</v>
      </c>
      <c r="J149" s="506" t="n">
        <f aca="false">VLOOKUP("8.00.15",All_Data,J$1,0)</f>
        <v>0.747</v>
      </c>
      <c r="K149" s="506" t="n">
        <f aca="false">VLOOKUP("8.00.15",All_Data,K$1,0)</f>
        <v>1.59</v>
      </c>
      <c r="L149" s="506" t="n">
        <f aca="false">VLOOKUP("8.00.15",All_Data,L$1,0)</f>
        <v>0.395</v>
      </c>
      <c r="M149" s="506" t="n">
        <f aca="false">VLOOKUP("8.00.15",All_Data,M$1,0)</f>
        <v>0.426</v>
      </c>
      <c r="N149" s="506" t="n">
        <f aca="false">VLOOKUP("8.00.15",All_Data,N$1,0)</f>
        <v>0.462</v>
      </c>
      <c r="O149" s="506" t="n">
        <f aca="false">VLOOKUP("8.00.15",All_Data,O$1,0)</f>
        <v>0</v>
      </c>
      <c r="P149" s="507" t="n">
        <f aca="false">SUM(E149:O149)</f>
        <v>100</v>
      </c>
      <c r="Q149" s="92" t="n">
        <f aca="false">$C149*E149/$P149</f>
        <v>2.4674</v>
      </c>
      <c r="R149" s="93" t="n">
        <f aca="false">$C149*F149/$P149</f>
        <v>19.9874</v>
      </c>
      <c r="S149" s="93" t="n">
        <f aca="false">$C149*G149/$P149</f>
        <v>1156.6704</v>
      </c>
      <c r="T149" s="93" t="n">
        <f aca="false">$C149*H149/$P149</f>
        <v>159.1984</v>
      </c>
      <c r="U149" s="93" t="n">
        <f aca="false">$C149*I149/$P149</f>
        <v>68.8244</v>
      </c>
      <c r="V149" s="93" t="n">
        <f aca="false">$C149*J149/$P149</f>
        <v>10.9062</v>
      </c>
      <c r="W149" s="93" t="n">
        <f aca="false">$C149*K149/$P149</f>
        <v>23.214</v>
      </c>
      <c r="X149" s="93" t="n">
        <f aca="false">$C149*L149/$P149</f>
        <v>5.767</v>
      </c>
      <c r="Y149" s="93" t="n">
        <f aca="false">$C149*M149/$P149</f>
        <v>6.2196</v>
      </c>
      <c r="Z149" s="93" t="n">
        <f aca="false">$C149*N149/$P149</f>
        <v>6.7452</v>
      </c>
      <c r="AA149" s="93" t="n">
        <f aca="false">$C149*O149/$P149</f>
        <v>0</v>
      </c>
      <c r="AB149" s="95" t="n">
        <f aca="false">SUM(Q149:AA149)</f>
        <v>1460</v>
      </c>
      <c r="AC149" s="508"/>
      <c r="AD149" s="509"/>
      <c r="AE149" s="93" t="n">
        <f aca="false">S149*AE$159/$BP149/1000</f>
        <v>1168.63612501511</v>
      </c>
      <c r="AF149" s="93" t="n">
        <f aca="false">T149*AF$159/$BP149/1000</f>
        <v>281.846726310118</v>
      </c>
      <c r="AG149" s="93" t="n">
        <f aca="false">U149*AG$159/$BP149/1000</f>
        <v>173.233179292809</v>
      </c>
      <c r="AH149" s="93" t="n">
        <f aca="false">V149*AH$159/$BP149/1000</f>
        <v>35.4791132766481</v>
      </c>
      <c r="AI149" s="93" t="n">
        <f aca="false">W149*AI$159/$BP149/1000</f>
        <v>75.7600669787188</v>
      </c>
      <c r="AJ149" s="93" t="n">
        <f aca="false">X149*AJ$159/$BP149/1000</f>
        <v>23.0820903918067</v>
      </c>
      <c r="AK149" s="93" t="n">
        <f aca="false">Y149*AK$159/$BP149/1000</f>
        <v>24.94227991537</v>
      </c>
      <c r="AL149" s="93" t="n">
        <f aca="false">Z149*AL$159/$BP149/1000</f>
        <v>34.6109954318284</v>
      </c>
      <c r="AM149" s="93"/>
      <c r="AN149" s="93" t="n">
        <f aca="false">SUM(AC149:AM149)</f>
        <v>1817.59057661241</v>
      </c>
      <c r="AO149" s="93" t="n">
        <f aca="false">D149-AN149</f>
        <v>0.109418550348437</v>
      </c>
      <c r="AP149" s="510" t="n">
        <f aca="false">IF(D149=0,0,AO149/D149)</f>
        <v>6.01961548328219E-005</v>
      </c>
      <c r="AQ149" s="511" t="n">
        <f aca="false">IF(AB149=0,0,AN149/AB149)*1000</f>
        <v>1244.92505247425</v>
      </c>
      <c r="AR149" s="512" t="n">
        <f aca="false">IF(C149=0,0,D149/C149)*1000</f>
        <v>1244.99999668682</v>
      </c>
      <c r="AS149" s="513" t="n">
        <f aca="false">Q149*1000/AS$159*$AD$159/14.696/$BP149/42</f>
        <v>1.0004074768019</v>
      </c>
      <c r="AT149" s="93" t="n">
        <f aca="false">R149*1000/AT$159*$AD$159/14.696/$BP149/42</f>
        <v>5.22420408581204</v>
      </c>
      <c r="AU149" s="93" t="n">
        <f aca="false">S149*1000/AU$159*$AD$159/14.696/$BP149/42</f>
        <v>465.863471176309</v>
      </c>
      <c r="AV149" s="93" t="n">
        <f aca="false">T149*1000/AV$159*$AD$159/14.696/$BP149/42</f>
        <v>101.14911721519</v>
      </c>
      <c r="AW149" s="93" t="n">
        <f aca="false">U149*1000/AW$159*$AD$159/14.696/$BP149/42</f>
        <v>45.0468174470947</v>
      </c>
      <c r="AX149" s="93" t="n">
        <f aca="false">V149*1000/AX$159*$AD$159/14.696/$BP149/42</f>
        <v>8.4789659351943</v>
      </c>
      <c r="AY149" s="93" t="n">
        <f aca="false">W149*1000/AY$159*$AD$159/14.696/$BP149/42</f>
        <v>17.387008751205</v>
      </c>
      <c r="AZ149" s="93" t="n">
        <f aca="false">X149*1000/AZ$159*$AD$159/14.696/$BP149/42</f>
        <v>5.01064013090549</v>
      </c>
      <c r="BA149" s="93" t="n">
        <f aca="false">Y149*1000/BA$159*$AD$159/14.696/$BP149/42</f>
        <v>5.35620699133649</v>
      </c>
      <c r="BB149" s="93" t="n">
        <f aca="false">Z149*1000/BB$159*$AD$159/14.696/$BP149/42</f>
        <v>6.95381808065162</v>
      </c>
      <c r="BC149" s="93" t="n">
        <f aca="false">AA149*1000/BC$159*$AD$159/14.696/$BP149/42</f>
        <v>0</v>
      </c>
      <c r="BD149" s="94" t="n">
        <f aca="false">SUM(AS149:BC149)</f>
        <v>661.470657290501</v>
      </c>
      <c r="BE149" s="508" t="n">
        <f aca="false">E149/$P149*BE$159</f>
        <v>3.2955E-005</v>
      </c>
      <c r="BF149" s="509" t="n">
        <f aca="false">F149/$P149*BF$159</f>
        <v>6.05098E-005</v>
      </c>
      <c r="BG149" s="509" t="n">
        <f aca="false">G149/$P149*BG$159</f>
        <v>0.009189984</v>
      </c>
      <c r="BH149" s="509" t="n">
        <f aca="false">H149/$P149*BH$159</f>
        <v>0.002595152</v>
      </c>
      <c r="BI149" s="509" t="n">
        <f aca="false">I149/$P149*BI$159</f>
        <v>0.001635758</v>
      </c>
      <c r="BJ149" s="509" t="n">
        <f aca="false">J149/$P149*BJ$159</f>
        <v>0.000329427</v>
      </c>
      <c r="BK149" s="509" t="n">
        <f aca="false">K149/$P149*BK$159</f>
        <v>0.0007473</v>
      </c>
      <c r="BL149" s="509" t="n">
        <f aca="false">L149/$P149*BL$159</f>
        <v>0.00022752</v>
      </c>
      <c r="BM149" s="509" t="n">
        <f aca="false">M149/$P149*BM$159</f>
        <v>0.000258156</v>
      </c>
      <c r="BN149" s="509" t="n">
        <f aca="false">N149/$P149*BN$159</f>
        <v>0.0003990294</v>
      </c>
      <c r="BO149" s="509" t="n">
        <f aca="false">O149/$P149*BO$159</f>
        <v>0</v>
      </c>
      <c r="BP149" s="507" t="n">
        <f aca="false">1-AD$159*(SUM(BE149:BO149))^2</f>
        <v>0.996491323340653</v>
      </c>
    </row>
    <row r="150" customFormat="false" ht="15" hidden="false" customHeight="false" outlineLevel="0" collapsed="false">
      <c r="A150" s="491" t="s">
        <v>381</v>
      </c>
      <c r="B150" s="492" t="s">
        <v>371</v>
      </c>
      <c r="C150" s="514" t="n">
        <v>245</v>
      </c>
      <c r="D150" s="92" t="n">
        <f aca="false">VLOOKUP("8.00.15",All_Data,4,0)/VLOOKUP("8.00.15",All_Data,3,0)*C150</f>
        <v>305.024999188271</v>
      </c>
      <c r="E150" s="495" t="n">
        <f aca="false">VLOOKUP("8.00.23",All_Data,E$1,0)</f>
        <v>0.146</v>
      </c>
      <c r="F150" s="495" t="n">
        <f aca="false">VLOOKUP("8.00.23",All_Data,F$1,0)</f>
        <v>0.927</v>
      </c>
      <c r="G150" s="495" t="n">
        <f aca="false">VLOOKUP("8.00.23",All_Data,G$1,0)</f>
        <v>77.414</v>
      </c>
      <c r="H150" s="495" t="n">
        <f aca="false">VLOOKUP("8.00.23",All_Data,H$1,0)</f>
        <v>11.691</v>
      </c>
      <c r="I150" s="495" t="n">
        <f aca="false">VLOOKUP("8.00.23",All_Data,I$1,0)</f>
        <v>5.467</v>
      </c>
      <c r="J150" s="495" t="n">
        <f aca="false">VLOOKUP("8.00.23",All_Data,J$1,0)</f>
        <v>0.797</v>
      </c>
      <c r="K150" s="495" t="n">
        <f aca="false">VLOOKUP("8.00.23",All_Data,K$1,0)</f>
        <v>1.866</v>
      </c>
      <c r="L150" s="495" t="n">
        <f aca="false">VLOOKUP("8.00.23",All_Data,L$1,0)</f>
        <v>0.491</v>
      </c>
      <c r="M150" s="495" t="n">
        <f aca="false">VLOOKUP("8.00.23",All_Data,M$1,0)</f>
        <v>0.583</v>
      </c>
      <c r="N150" s="495" t="n">
        <f aca="false">VLOOKUP("8.00.23",All_Data,N$1,0)</f>
        <v>0.618</v>
      </c>
      <c r="O150" s="495" t="n">
        <f aca="false">VLOOKUP("8.00.23",All_Data,O$1,0)</f>
        <v>0</v>
      </c>
      <c r="P150" s="507" t="n">
        <f aca="false">SUM(E150:O150)</f>
        <v>100</v>
      </c>
      <c r="Q150" s="92" t="n">
        <f aca="false">$C150*E150/$P150</f>
        <v>0.3577</v>
      </c>
      <c r="R150" s="92" t="n">
        <f aca="false">$C150*F150/$P150</f>
        <v>2.27115</v>
      </c>
      <c r="S150" s="92" t="n">
        <f aca="false">$C150*G150/$P150</f>
        <v>189.6643</v>
      </c>
      <c r="T150" s="92" t="n">
        <f aca="false">$C150*H150/$P150</f>
        <v>28.64295</v>
      </c>
      <c r="U150" s="92" t="n">
        <f aca="false">$C150*I150/$P150</f>
        <v>13.39415</v>
      </c>
      <c r="V150" s="92" t="n">
        <f aca="false">$C150*J150/$P150</f>
        <v>1.95265</v>
      </c>
      <c r="W150" s="92" t="n">
        <f aca="false">$C150*K150/$P150</f>
        <v>4.5717</v>
      </c>
      <c r="X150" s="92" t="n">
        <f aca="false">$C150*L150/$P150</f>
        <v>1.20295</v>
      </c>
      <c r="Y150" s="92" t="n">
        <f aca="false">$C150*M150/$P150</f>
        <v>1.42835</v>
      </c>
      <c r="Z150" s="92" t="n">
        <f aca="false">$C150*N150/$P150</f>
        <v>1.5141</v>
      </c>
      <c r="AA150" s="92" t="n">
        <f aca="false">$C150*O150/$P150</f>
        <v>0</v>
      </c>
      <c r="AB150" s="92" t="n">
        <f aca="false">$C150*P150/$P150</f>
        <v>245</v>
      </c>
      <c r="AC150" s="499"/>
      <c r="AD150" s="500"/>
      <c r="AE150" s="93" t="n">
        <f aca="false">S150*AE$159/$BP150/1000</f>
        <v>191.684400018764</v>
      </c>
      <c r="AF150" s="93" t="n">
        <f aca="false">T150*AF$159/$BP150/1000</f>
        <v>50.7251725551071</v>
      </c>
      <c r="AG150" s="93" t="n">
        <f aca="false">U150*AG$159/$BP150/1000</f>
        <v>33.7237058226328</v>
      </c>
      <c r="AH150" s="93" t="n">
        <f aca="false">V150*AH$159/$BP150/1000</f>
        <v>6.35411685199798</v>
      </c>
      <c r="AI150" s="93" t="n">
        <f aca="false">W150*AI$159/$BP150/1000</f>
        <v>14.9244929657971</v>
      </c>
      <c r="AJ150" s="93" t="n">
        <f aca="false">X150*AJ$159/$BP150/1000</f>
        <v>4.81619712962609</v>
      </c>
      <c r="AK150" s="93" t="n">
        <f aca="false">Y150*AK$159/$BP150/1000</f>
        <v>5.72980477558395</v>
      </c>
      <c r="AL150" s="93" t="n">
        <f aca="false">Z150*AL$159/$BP150/1000</f>
        <v>7.7715082102967</v>
      </c>
      <c r="AM150" s="93" t="n">
        <f aca="false">AA150*AM$159/$BP150/1000</f>
        <v>0</v>
      </c>
      <c r="AN150" s="93" t="n">
        <f aca="false">AB150*AN$159/$BP150/1000</f>
        <v>404.717268009515</v>
      </c>
      <c r="AO150" s="93" t="n">
        <f aca="false">AC150*AO$159/$BP150/1000</f>
        <v>0</v>
      </c>
      <c r="AP150" s="93" t="n">
        <f aca="false">AD150*AP$159/$BP150/1000</f>
        <v>0</v>
      </c>
      <c r="AQ150" s="93" t="n">
        <f aca="false">AE150*AQ$159/$BP150/1000</f>
        <v>0</v>
      </c>
      <c r="AR150" s="93" t="n">
        <f aca="false">AF150*AR$159/$BP150/1000</f>
        <v>0</v>
      </c>
      <c r="AS150" s="513" t="n">
        <f aca="false">Q150*1000/AS$159*$AD$159/14.696/$BP150/42</f>
        <v>0.145073403733464</v>
      </c>
      <c r="AT150" s="513" t="n">
        <f aca="false">R150*1000/AT$159*$AD$159/14.696/$BP150/42</f>
        <v>0.593801295971619</v>
      </c>
      <c r="AU150" s="513" t="n">
        <f aca="false">S150*1000/AU$159*$AD$159/14.696/$BP150/42</f>
        <v>76.4128012574786</v>
      </c>
      <c r="AV150" s="513" t="n">
        <f aca="false">T150*1000/AV$159*$AD$159/14.696/$BP150/42</f>
        <v>18.2042434613621</v>
      </c>
      <c r="AW150" s="513" t="n">
        <f aca="false">U150*1000/AW$159*$AD$159/14.696/$BP150/42</f>
        <v>8.76936869734357</v>
      </c>
      <c r="AX150" s="513" t="n">
        <f aca="false">V150*1000/AX$159*$AD$159/14.696/$BP150/42</f>
        <v>1.51853683366421</v>
      </c>
      <c r="AY150" s="513" t="n">
        <f aca="false">W150*1000/AY$159*$AD$159/14.696/$BP150/42</f>
        <v>3.4251855911968</v>
      </c>
      <c r="AZ150" s="513" t="n">
        <f aca="false">X150*1000/AZ$159*$AD$159/14.696/$BP150/42</f>
        <v>1.04549588908214</v>
      </c>
      <c r="BA150" s="513" t="n">
        <f aca="false">Y150*1000/BA$159*$AD$159/14.696/$BP150/42</f>
        <v>1.23044166379771</v>
      </c>
      <c r="BB150" s="513" t="n">
        <f aca="false">Z150*1000/BB$159*$AD$159/14.696/$BP150/42</f>
        <v>1.56140133019684</v>
      </c>
      <c r="BC150" s="513" t="n">
        <f aca="false">AA150*1000/BC$159*$AD$159/14.696/$BP150/42</f>
        <v>0</v>
      </c>
      <c r="BD150" s="94" t="n">
        <f aca="false">SUM(AS150:BC150)</f>
        <v>112.906349423827</v>
      </c>
      <c r="BE150" s="508" t="n">
        <f aca="false">E150/$P150*BE$159</f>
        <v>2.847E-005</v>
      </c>
      <c r="BF150" s="508" t="n">
        <f aca="false">F150/$P150*BF$159</f>
        <v>4.09734E-005</v>
      </c>
      <c r="BG150" s="508" t="n">
        <f aca="false">G150/$P150*BG$159</f>
        <v>0.008980024</v>
      </c>
      <c r="BH150" s="508" t="n">
        <f aca="false">H150/$P150*BH$159</f>
        <v>0.002782458</v>
      </c>
      <c r="BI150" s="508" t="n">
        <f aca="false">I150/$P150*BI$159</f>
        <v>0.001897049</v>
      </c>
      <c r="BJ150" s="508" t="n">
        <f aca="false">J150/$P150*BJ$159</f>
        <v>0.000351477</v>
      </c>
      <c r="BK150" s="508" t="n">
        <f aca="false">K150/$P150*BK$159</f>
        <v>0.00087702</v>
      </c>
      <c r="BL150" s="508" t="n">
        <f aca="false">L150/$P150*BL$159</f>
        <v>0.000282816</v>
      </c>
      <c r="BM150" s="508" t="n">
        <f aca="false">M150/$P150*BM$159</f>
        <v>0.000353298</v>
      </c>
      <c r="BN150" s="508" t="n">
        <f aca="false">N150/$P150*BN$159</f>
        <v>0.0005337666</v>
      </c>
      <c r="BO150" s="508" t="n">
        <f aca="false">O150/$P150*BO$159</f>
        <v>0</v>
      </c>
      <c r="BP150" s="507" t="n">
        <f aca="false">1-AD$159*(SUM(BE150:BO150))^2</f>
        <v>0.996189659780907</v>
      </c>
    </row>
    <row r="151" customFormat="false" ht="15" hidden="false" customHeight="false" outlineLevel="0" collapsed="false">
      <c r="A151" s="89"/>
      <c r="B151" s="90"/>
      <c r="C151" s="89"/>
      <c r="D151" s="92"/>
      <c r="E151" s="506"/>
      <c r="F151" s="506"/>
      <c r="G151" s="506"/>
      <c r="H151" s="506"/>
      <c r="I151" s="506"/>
      <c r="J151" s="506"/>
      <c r="K151" s="506"/>
      <c r="L151" s="506"/>
      <c r="M151" s="506"/>
      <c r="N151" s="506"/>
      <c r="O151" s="506"/>
      <c r="P151" s="507"/>
      <c r="Q151" s="92"/>
      <c r="R151" s="93"/>
      <c r="S151" s="93"/>
      <c r="T151" s="93"/>
      <c r="U151" s="93"/>
      <c r="V151" s="93"/>
      <c r="W151" s="93"/>
      <c r="X151" s="93"/>
      <c r="Y151" s="93"/>
      <c r="Z151" s="93"/>
      <c r="AA151" s="93"/>
      <c r="AB151" s="95"/>
      <c r="AC151" s="508"/>
      <c r="AD151" s="509"/>
      <c r="AE151" s="93"/>
      <c r="AF151" s="93"/>
      <c r="AG151" s="93"/>
      <c r="AH151" s="93"/>
      <c r="AI151" s="93"/>
      <c r="AJ151" s="93"/>
      <c r="AK151" s="93"/>
      <c r="AL151" s="93"/>
      <c r="AM151" s="93"/>
      <c r="AN151" s="93"/>
      <c r="AO151" s="93"/>
      <c r="AP151" s="510"/>
      <c r="AQ151" s="511"/>
      <c r="AR151" s="512"/>
      <c r="AS151" s="513"/>
      <c r="AT151" s="93"/>
      <c r="AU151" s="93"/>
      <c r="AV151" s="93"/>
      <c r="AW151" s="93"/>
      <c r="AX151" s="93"/>
      <c r="AY151" s="93"/>
      <c r="AZ151" s="93"/>
      <c r="BA151" s="93"/>
      <c r="BB151" s="93"/>
      <c r="BC151" s="93"/>
      <c r="BD151" s="94"/>
      <c r="BE151" s="508"/>
      <c r="BF151" s="509"/>
      <c r="BG151" s="509"/>
      <c r="BH151" s="509"/>
      <c r="BI151" s="509"/>
      <c r="BJ151" s="509"/>
      <c r="BK151" s="509"/>
      <c r="BL151" s="509"/>
      <c r="BM151" s="509"/>
      <c r="BN151" s="509"/>
      <c r="BO151" s="509"/>
      <c r="BP151" s="507"/>
    </row>
    <row r="152" customFormat="false" ht="15" hidden="false" customHeight="false" outlineLevel="0" collapsed="false">
      <c r="A152" s="491"/>
      <c r="B152" s="492"/>
      <c r="C152" s="491"/>
      <c r="D152" s="494"/>
      <c r="E152" s="495"/>
      <c r="F152" s="495"/>
      <c r="G152" s="495"/>
      <c r="H152" s="495"/>
      <c r="I152" s="495"/>
      <c r="J152" s="495"/>
      <c r="K152" s="495"/>
      <c r="L152" s="495"/>
      <c r="M152" s="495"/>
      <c r="N152" s="495"/>
      <c r="O152" s="495"/>
      <c r="P152" s="496"/>
      <c r="Q152" s="494"/>
      <c r="R152" s="497"/>
      <c r="S152" s="497"/>
      <c r="T152" s="497"/>
      <c r="U152" s="497"/>
      <c r="V152" s="497"/>
      <c r="W152" s="497"/>
      <c r="X152" s="497"/>
      <c r="Y152" s="497"/>
      <c r="Z152" s="497"/>
      <c r="AA152" s="497"/>
      <c r="AB152" s="498"/>
      <c r="AC152" s="499"/>
      <c r="AD152" s="500"/>
      <c r="AE152" s="497"/>
      <c r="AF152" s="497"/>
      <c r="AG152" s="497"/>
      <c r="AH152" s="497"/>
      <c r="AI152" s="497"/>
      <c r="AJ152" s="497"/>
      <c r="AK152" s="497"/>
      <c r="AL152" s="497"/>
      <c r="AM152" s="497"/>
      <c r="AN152" s="497"/>
      <c r="AO152" s="497"/>
      <c r="AP152" s="501"/>
      <c r="AQ152" s="502"/>
      <c r="AR152" s="503"/>
      <c r="AS152" s="504"/>
      <c r="AT152" s="497"/>
      <c r="AU152" s="497"/>
      <c r="AV152" s="497"/>
      <c r="AW152" s="497"/>
      <c r="AX152" s="497"/>
      <c r="AY152" s="497"/>
      <c r="AZ152" s="497"/>
      <c r="BA152" s="497"/>
      <c r="BB152" s="497"/>
      <c r="BC152" s="497"/>
      <c r="BD152" s="505"/>
      <c r="BE152" s="499"/>
      <c r="BF152" s="500"/>
      <c r="BG152" s="500"/>
      <c r="BH152" s="500"/>
      <c r="BI152" s="500"/>
      <c r="BJ152" s="500"/>
      <c r="BK152" s="500"/>
      <c r="BL152" s="500"/>
      <c r="BM152" s="500"/>
      <c r="BN152" s="500"/>
      <c r="BO152" s="500"/>
      <c r="BP152" s="496"/>
    </row>
    <row r="153" customFormat="false" ht="15" hidden="false" customHeight="false" outlineLevel="0" collapsed="false">
      <c r="A153" s="89"/>
      <c r="B153" s="90"/>
      <c r="C153" s="89"/>
      <c r="D153" s="92"/>
      <c r="E153" s="506"/>
      <c r="F153" s="506"/>
      <c r="G153" s="506"/>
      <c r="H153" s="506"/>
      <c r="I153" s="506"/>
      <c r="J153" s="506"/>
      <c r="K153" s="506"/>
      <c r="L153" s="506"/>
      <c r="M153" s="506"/>
      <c r="N153" s="506"/>
      <c r="O153" s="506"/>
      <c r="P153" s="507"/>
      <c r="Q153" s="92"/>
      <c r="R153" s="93"/>
      <c r="S153" s="93"/>
      <c r="T153" s="93"/>
      <c r="U153" s="93"/>
      <c r="V153" s="93"/>
      <c r="W153" s="93"/>
      <c r="X153" s="93"/>
      <c r="Y153" s="93"/>
      <c r="Z153" s="93"/>
      <c r="AA153" s="93"/>
      <c r="AB153" s="95"/>
      <c r="AC153" s="508"/>
      <c r="AD153" s="509"/>
      <c r="AE153" s="93"/>
      <c r="AF153" s="93"/>
      <c r="AG153" s="93"/>
      <c r="AH153" s="93"/>
      <c r="AI153" s="93"/>
      <c r="AJ153" s="93"/>
      <c r="AK153" s="93"/>
      <c r="AL153" s="93"/>
      <c r="AM153" s="93"/>
      <c r="AN153" s="93"/>
      <c r="AO153" s="93"/>
      <c r="AP153" s="510"/>
      <c r="AQ153" s="511"/>
      <c r="AR153" s="512"/>
      <c r="AS153" s="513"/>
      <c r="AT153" s="93"/>
      <c r="AU153" s="93"/>
      <c r="AV153" s="93"/>
      <c r="AW153" s="93"/>
      <c r="AX153" s="93"/>
      <c r="AY153" s="93"/>
      <c r="AZ153" s="93"/>
      <c r="BA153" s="93"/>
      <c r="BB153" s="93"/>
      <c r="BC153" s="93"/>
      <c r="BD153" s="94"/>
      <c r="BE153" s="508"/>
      <c r="BF153" s="509"/>
      <c r="BG153" s="509"/>
      <c r="BH153" s="509"/>
      <c r="BI153" s="509"/>
      <c r="BJ153" s="509"/>
      <c r="BK153" s="509"/>
      <c r="BL153" s="509"/>
      <c r="BM153" s="509"/>
      <c r="BN153" s="509"/>
      <c r="BO153" s="509"/>
      <c r="BP153" s="507"/>
    </row>
    <row r="154" customFormat="false" ht="15.75" hidden="false" customHeight="false" outlineLevel="0" collapsed="false">
      <c r="A154" s="515"/>
      <c r="B154" s="516"/>
      <c r="C154" s="515"/>
      <c r="D154" s="517"/>
      <c r="E154" s="518"/>
      <c r="F154" s="518"/>
      <c r="G154" s="518"/>
      <c r="H154" s="518"/>
      <c r="I154" s="518"/>
      <c r="J154" s="518"/>
      <c r="K154" s="518"/>
      <c r="L154" s="518"/>
      <c r="M154" s="518"/>
      <c r="N154" s="518"/>
      <c r="O154" s="518"/>
      <c r="P154" s="519"/>
      <c r="Q154" s="517"/>
      <c r="R154" s="520"/>
      <c r="S154" s="520"/>
      <c r="T154" s="520"/>
      <c r="U154" s="520"/>
      <c r="V154" s="520"/>
      <c r="W154" s="520"/>
      <c r="X154" s="520"/>
      <c r="Y154" s="520"/>
      <c r="Z154" s="520"/>
      <c r="AA154" s="520"/>
      <c r="AB154" s="521"/>
      <c r="AC154" s="522"/>
      <c r="AD154" s="523"/>
      <c r="AE154" s="520"/>
      <c r="AF154" s="520"/>
      <c r="AG154" s="520"/>
      <c r="AH154" s="520"/>
      <c r="AI154" s="520"/>
      <c r="AJ154" s="520"/>
      <c r="AK154" s="520"/>
      <c r="AL154" s="520"/>
      <c r="AM154" s="520"/>
      <c r="AN154" s="520"/>
      <c r="AO154" s="520"/>
      <c r="AP154" s="524"/>
      <c r="AQ154" s="525"/>
      <c r="AR154" s="526"/>
      <c r="AS154" s="527"/>
      <c r="AT154" s="520"/>
      <c r="AU154" s="520"/>
      <c r="AV154" s="520"/>
      <c r="AW154" s="520"/>
      <c r="AX154" s="520"/>
      <c r="AY154" s="520"/>
      <c r="AZ154" s="520"/>
      <c r="BA154" s="520"/>
      <c r="BB154" s="520"/>
      <c r="BC154" s="520"/>
      <c r="BD154" s="528"/>
      <c r="BE154" s="522"/>
      <c r="BF154" s="523"/>
      <c r="BG154" s="523"/>
      <c r="BH154" s="523"/>
      <c r="BI154" s="523"/>
      <c r="BJ154" s="523"/>
      <c r="BK154" s="523"/>
      <c r="BL154" s="523"/>
      <c r="BM154" s="523"/>
      <c r="BN154" s="523"/>
      <c r="BO154" s="523"/>
      <c r="BP154" s="519"/>
    </row>
    <row r="155" customFormat="false" ht="15.75" hidden="false" customHeight="false" outlineLevel="0" collapsed="false"/>
    <row r="158" customFormat="false" ht="15" hidden="false" customHeight="false" outlineLevel="0" collapsed="false">
      <c r="C158" s="18"/>
      <c r="AM158" s="529" t="n">
        <v>0.6</v>
      </c>
      <c r="AN158" s="529" t="n">
        <v>0.3</v>
      </c>
      <c r="AO158" s="529" t="n">
        <v>0.1</v>
      </c>
    </row>
    <row r="159" customFormat="false" ht="15" hidden="false" customHeight="false" outlineLevel="0" collapsed="false">
      <c r="C159" s="18"/>
      <c r="E159" s="530" t="n">
        <v>0.113</v>
      </c>
      <c r="F159" s="530" t="n">
        <v>0.766</v>
      </c>
      <c r="G159" s="530" t="n">
        <v>79.025</v>
      </c>
      <c r="H159" s="530" t="n">
        <v>10.982</v>
      </c>
      <c r="I159" s="530" t="n">
        <v>4.635</v>
      </c>
      <c r="J159" s="530" t="n">
        <v>0.845</v>
      </c>
      <c r="K159" s="530" t="n">
        <v>1.632</v>
      </c>
      <c r="L159" s="530" t="n">
        <v>0.522</v>
      </c>
      <c r="M159" s="530" t="n">
        <v>0.529</v>
      </c>
      <c r="N159" s="530" t="n">
        <v>0.951</v>
      </c>
      <c r="AD159" s="73" t="n">
        <v>14.65</v>
      </c>
      <c r="AE159" s="388" t="n">
        <f aca="false">ROUND($AD159/14.696*AE160,1)</f>
        <v>1006.8</v>
      </c>
      <c r="AF159" s="388" t="n">
        <f aca="false">ROUND($AD159/14.696*AF160,1)</f>
        <v>1764.2</v>
      </c>
      <c r="AG159" s="388" t="n">
        <f aca="false">ROUND($AD159/14.696*AG160,1)</f>
        <v>2508.2</v>
      </c>
      <c r="AH159" s="388" t="n">
        <f aca="false">ROUND($AD159/14.696*AH160,1)</f>
        <v>3241.7</v>
      </c>
      <c r="AI159" s="388" t="n">
        <f aca="false">ROUND($AD159/14.696*AI160,1)</f>
        <v>3252.1</v>
      </c>
      <c r="AJ159" s="388" t="n">
        <f aca="false">ROUND($AD159/14.696*AJ160,1)</f>
        <v>3988.4</v>
      </c>
      <c r="AK159" s="388" t="n">
        <f aca="false">ROUND($AD159/14.696*AK160,1)</f>
        <v>3996.2</v>
      </c>
      <c r="AL159" s="388" t="n">
        <f aca="false">ROUND(SUM(AM159:AO159),1)</f>
        <v>5113.2</v>
      </c>
      <c r="AM159" s="531" t="n">
        <f aca="false">$AD159/14.696*AM160*AM158</f>
        <v>2844.60812465977</v>
      </c>
      <c r="AN159" s="531" t="n">
        <f aca="false">$AD159/14.696*AN160*AN158</f>
        <v>1645.61288786064</v>
      </c>
      <c r="AO159" s="531" t="n">
        <f aca="false">$AD159/14.696*AO160*AO158</f>
        <v>622.943998366903</v>
      </c>
      <c r="AS159" s="532" t="n">
        <v>58.746</v>
      </c>
      <c r="AT159" s="532" t="n">
        <v>91.128</v>
      </c>
      <c r="AU159" s="532" t="n">
        <v>59.138</v>
      </c>
      <c r="AV159" s="532" t="n">
        <v>37.488</v>
      </c>
      <c r="AW159" s="532" t="n">
        <v>36.391</v>
      </c>
      <c r="AX159" s="532" t="n">
        <v>30.637</v>
      </c>
      <c r="AY159" s="532" t="n">
        <v>31.801</v>
      </c>
      <c r="AZ159" s="532" t="n">
        <v>27.414</v>
      </c>
      <c r="BA159" s="532" t="n">
        <v>27.658</v>
      </c>
      <c r="BB159" s="532" t="n">
        <f aca="false">SUM(AM164:AO164)</f>
        <v>23.104</v>
      </c>
      <c r="BC159" s="532" t="n">
        <v>74.16</v>
      </c>
      <c r="BE159" s="390" t="n">
        <v>0.0195</v>
      </c>
      <c r="BF159" s="390" t="n">
        <v>0.00442</v>
      </c>
      <c r="BG159" s="390" t="n">
        <v>0.0116</v>
      </c>
      <c r="BH159" s="390" t="n">
        <v>0.0238</v>
      </c>
      <c r="BI159" s="390" t="n">
        <v>0.0347</v>
      </c>
      <c r="BJ159" s="390" t="n">
        <v>0.0441</v>
      </c>
      <c r="BK159" s="390" t="n">
        <v>0.047</v>
      </c>
      <c r="BL159" s="390" t="n">
        <v>0.0576</v>
      </c>
      <c r="BM159" s="390" t="n">
        <v>0.0606</v>
      </c>
      <c r="BN159" s="390" t="n">
        <f aca="false">SUM(AM161:AO161)</f>
        <v>0.08637</v>
      </c>
      <c r="BO159" s="390" t="n">
        <v>0.0239</v>
      </c>
    </row>
    <row r="160" customFormat="false" ht="15" hidden="false" customHeight="false" outlineLevel="0" collapsed="false">
      <c r="C160" s="18"/>
      <c r="E160" s="417" t="n">
        <v>0.087</v>
      </c>
      <c r="F160" s="417" t="n">
        <v>0.986</v>
      </c>
      <c r="G160" s="417" t="n">
        <v>79.568</v>
      </c>
      <c r="H160" s="417" t="n">
        <v>11.194</v>
      </c>
      <c r="I160" s="417" t="n">
        <v>4.827</v>
      </c>
      <c r="J160" s="417" t="n">
        <v>0.733</v>
      </c>
      <c r="K160" s="417" t="n">
        <v>1.5</v>
      </c>
      <c r="L160" s="417" t="n">
        <v>0.364</v>
      </c>
      <c r="M160" s="417" t="n">
        <v>0.367</v>
      </c>
      <c r="N160" s="417" t="n">
        <v>0.374</v>
      </c>
      <c r="AD160" s="73"/>
      <c r="AE160" s="531" t="n">
        <v>1010</v>
      </c>
      <c r="AF160" s="531" t="n">
        <v>1769.7</v>
      </c>
      <c r="AG160" s="531" t="n">
        <v>2516.1</v>
      </c>
      <c r="AH160" s="531" t="n">
        <v>3251.9</v>
      </c>
      <c r="AI160" s="531" t="n">
        <v>3262.3</v>
      </c>
      <c r="AJ160" s="531" t="n">
        <v>4000.9</v>
      </c>
      <c r="AK160" s="531" t="n">
        <v>4008.7</v>
      </c>
      <c r="AL160" s="531"/>
      <c r="AM160" s="531" t="n">
        <v>4755.9</v>
      </c>
      <c r="AN160" s="531" t="n">
        <v>5502.6</v>
      </c>
      <c r="AO160" s="531" t="n">
        <v>6249</v>
      </c>
    </row>
    <row r="161" customFormat="false" ht="15" hidden="false" customHeight="false" outlineLevel="0" collapsed="false">
      <c r="C161" s="18"/>
      <c r="AM161" s="533" t="n">
        <f aca="false">AM162*AM158</f>
        <v>0.04656</v>
      </c>
      <c r="AN161" s="533" t="n">
        <f aca="false">AN162*AN158</f>
        <v>0.02853</v>
      </c>
      <c r="AO161" s="533" t="n">
        <f aca="false">AO162*AO158</f>
        <v>0.01128</v>
      </c>
    </row>
    <row r="162" customFormat="false" ht="15" hidden="false" customHeight="false" outlineLevel="0" collapsed="false">
      <c r="C162" s="18"/>
      <c r="AM162" s="533" t="n">
        <v>0.0776</v>
      </c>
      <c r="AN162" s="533" t="n">
        <v>0.0951</v>
      </c>
      <c r="AO162" s="533" t="n">
        <v>0.1128</v>
      </c>
    </row>
    <row r="163" customFormat="false" ht="15" hidden="false" customHeight="false" outlineLevel="0" collapsed="false">
      <c r="AM163" s="533" t="n">
        <v>24.38</v>
      </c>
      <c r="AN163" s="533" t="n">
        <v>21.73</v>
      </c>
      <c r="AO163" s="533" t="n">
        <v>19.57</v>
      </c>
    </row>
    <row r="164" customFormat="false" ht="15" hidden="false" customHeight="false" outlineLevel="0" collapsed="false">
      <c r="C164" s="18"/>
      <c r="AM164" s="533" t="n">
        <f aca="false">AM158*AM163</f>
        <v>14.628</v>
      </c>
      <c r="AN164" s="533" t="n">
        <f aca="false">AN158*AN163</f>
        <v>6.519</v>
      </c>
      <c r="AO164" s="533" t="n">
        <f aca="false">AO158*AO163</f>
        <v>1.957</v>
      </c>
    </row>
    <row r="166" customFormat="false" ht="15" hidden="false" customHeight="false" outlineLevel="0" collapsed="false">
      <c r="C166" s="18"/>
    </row>
  </sheetData>
  <autoFilter ref="A1:BP150"/>
  <mergeCells count="4">
    <mergeCell ref="Q2:AB2"/>
    <mergeCell ref="AC2:AR2"/>
    <mergeCell ref="AS2:BD2"/>
    <mergeCell ref="BE2:BP2"/>
  </mergeCells>
  <conditionalFormatting sqref="N4:N128">
    <cfRule type="cellIs" priority="2" operator="greaterThan" aboveAverage="0" equalAverage="0" bottom="0" percent="0" rank="0" text="" dxfId="0">
      <formula>1</formula>
    </cfRule>
  </conditionalFormatting>
  <conditionalFormatting sqref="N160">
    <cfRule type="cellIs" priority="3" operator="greaterThan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AM3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N26" activeCellId="0" sqref="N2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0.57"/>
    <col collapsed="false" customWidth="true" hidden="false" outlineLevel="0" max="2" min="2" style="0" width="12.71"/>
    <col collapsed="false" customWidth="true" hidden="false" outlineLevel="0" max="3" min="3" style="0" width="15"/>
    <col collapsed="false" customWidth="true" hidden="false" outlineLevel="0" max="4" min="4" style="0" width="13.71"/>
    <col collapsed="false" customWidth="true" hidden="false" outlineLevel="0" max="5" min="5" style="0" width="16.57"/>
    <col collapsed="false" customWidth="true" hidden="false" outlineLevel="0" max="6" min="6" style="0" width="13.71"/>
    <col collapsed="false" customWidth="true" hidden="false" outlineLevel="0" max="7" min="7" style="0" width="14.28"/>
    <col collapsed="false" customWidth="true" hidden="false" outlineLevel="0" max="8" min="8" style="0" width="17"/>
    <col collapsed="false" customWidth="true" hidden="false" outlineLevel="0" max="39" min="39" style="0" width="15.85"/>
  </cols>
  <sheetData>
    <row r="3" customFormat="false" ht="30" hidden="false" customHeight="false" outlineLevel="0" collapsed="false">
      <c r="A3" s="534" t="s">
        <v>382</v>
      </c>
      <c r="B3" s="535"/>
      <c r="C3" s="535" t="s">
        <v>383</v>
      </c>
      <c r="D3" s="535"/>
      <c r="E3" s="536"/>
      <c r="F3" s="535"/>
      <c r="G3" s="535"/>
      <c r="H3" s="535"/>
    </row>
    <row r="4" customFormat="false" ht="15" hidden="false" customHeight="false" outlineLevel="0" collapsed="false">
      <c r="A4" s="535"/>
      <c r="B4" s="535" t="s">
        <v>384</v>
      </c>
      <c r="C4" s="535" t="s">
        <v>384</v>
      </c>
      <c r="D4" s="535" t="s">
        <v>385</v>
      </c>
      <c r="E4" s="536"/>
      <c r="F4" s="535" t="s">
        <v>385</v>
      </c>
      <c r="G4" s="535"/>
      <c r="H4" s="535" t="s">
        <v>386</v>
      </c>
    </row>
    <row r="5" customFormat="false" ht="15" hidden="false" customHeight="false" outlineLevel="0" collapsed="false">
      <c r="A5" s="535"/>
      <c r="B5" s="535" t="s">
        <v>387</v>
      </c>
      <c r="C5" s="535" t="s">
        <v>388</v>
      </c>
      <c r="D5" s="535" t="s">
        <v>389</v>
      </c>
      <c r="E5" s="535"/>
      <c r="F5" s="535" t="s">
        <v>389</v>
      </c>
      <c r="G5" s="535"/>
      <c r="H5" s="535" t="s">
        <v>390</v>
      </c>
    </row>
    <row r="6" customFormat="false" ht="15.75" hidden="false" customHeight="false" outlineLevel="0" collapsed="false">
      <c r="A6" s="535"/>
      <c r="B6" s="535"/>
      <c r="C6" s="535"/>
      <c r="D6" s="535"/>
      <c r="E6" s="535" t="s">
        <v>391</v>
      </c>
      <c r="F6" s="535"/>
      <c r="G6" s="537" t="s">
        <v>392</v>
      </c>
      <c r="H6" s="537" t="s">
        <v>392</v>
      </c>
    </row>
    <row r="7" customFormat="false" ht="15.75" hidden="false" customHeight="false" outlineLevel="0" collapsed="false">
      <c r="A7" s="537" t="s">
        <v>393</v>
      </c>
      <c r="B7" s="537" t="s">
        <v>394</v>
      </c>
      <c r="C7" s="537" t="s">
        <v>394</v>
      </c>
      <c r="D7" s="537" t="s">
        <v>394</v>
      </c>
      <c r="E7" s="535" t="s">
        <v>395</v>
      </c>
      <c r="F7" s="537" t="s">
        <v>396</v>
      </c>
      <c r="G7" s="537" t="s">
        <v>397</v>
      </c>
      <c r="H7" s="537" t="s">
        <v>398</v>
      </c>
    </row>
    <row r="8" customFormat="false" ht="15" hidden="false" customHeight="false" outlineLevel="0" collapsed="false">
      <c r="A8" s="538" t="s">
        <v>1</v>
      </c>
      <c r="B8" s="539"/>
      <c r="C8" s="540"/>
      <c r="D8" s="539"/>
      <c r="E8" s="541" t="n">
        <v>0.406290775121373</v>
      </c>
      <c r="F8" s="542" t="n">
        <f aca="false">D8*E8</f>
        <v>0</v>
      </c>
      <c r="G8" s="543" t="n">
        <v>0</v>
      </c>
      <c r="H8" s="544" t="n">
        <f aca="false">G8*F8</f>
        <v>0</v>
      </c>
    </row>
    <row r="9" customFormat="false" ht="15" hidden="false" customHeight="false" outlineLevel="0" collapsed="false">
      <c r="A9" s="538" t="s">
        <v>399</v>
      </c>
      <c r="B9" s="539"/>
      <c r="C9" s="539"/>
      <c r="D9" s="539"/>
      <c r="E9" s="541" t="n">
        <v>0.260532357064261</v>
      </c>
      <c r="F9" s="542" t="n">
        <f aca="false">D9*E9</f>
        <v>0</v>
      </c>
      <c r="G9" s="543" t="n">
        <v>0</v>
      </c>
      <c r="H9" s="544" t="n">
        <f aca="false">G9*F9</f>
        <v>0</v>
      </c>
    </row>
    <row r="10" customFormat="false" ht="15" hidden="false" customHeight="false" outlineLevel="0" collapsed="false">
      <c r="A10" s="538" t="s">
        <v>400</v>
      </c>
      <c r="B10" s="539"/>
      <c r="C10" s="540"/>
      <c r="D10" s="539"/>
      <c r="E10" s="541" t="n">
        <v>0.402142088848082</v>
      </c>
      <c r="F10" s="542" t="n">
        <f aca="false">D10*E10</f>
        <v>0</v>
      </c>
      <c r="G10" s="545"/>
      <c r="H10" s="544" t="n">
        <f aca="false">G10*F10</f>
        <v>0</v>
      </c>
    </row>
    <row r="11" customFormat="false" ht="15" hidden="false" customHeight="false" outlineLevel="0" collapsed="false">
      <c r="A11" s="538" t="s">
        <v>401</v>
      </c>
      <c r="B11" s="539"/>
      <c r="C11" s="539"/>
      <c r="D11" s="539"/>
      <c r="E11" s="541" t="n">
        <v>0.638433815844551</v>
      </c>
      <c r="F11" s="542" t="n">
        <f aca="false">D11*E11</f>
        <v>0</v>
      </c>
      <c r="G11" s="546"/>
      <c r="H11" s="544" t="n">
        <f aca="false">G11*F11</f>
        <v>0</v>
      </c>
    </row>
    <row r="12" customFormat="false" ht="15" hidden="false" customHeight="false" outlineLevel="0" collapsed="false">
      <c r="A12" s="538" t="s">
        <v>402</v>
      </c>
      <c r="B12" s="539"/>
      <c r="C12" s="539"/>
      <c r="D12" s="539"/>
      <c r="E12" s="541" t="n">
        <v>0.6639333659626</v>
      </c>
      <c r="F12" s="542" t="n">
        <f aca="false">D12*E12</f>
        <v>0</v>
      </c>
      <c r="G12" s="546"/>
      <c r="H12" s="544" t="n">
        <f aca="false">G12*F12</f>
        <v>0</v>
      </c>
    </row>
    <row r="13" customFormat="false" ht="15" hidden="false" customHeight="false" outlineLevel="0" collapsed="false">
      <c r="A13" s="538" t="s">
        <v>403</v>
      </c>
      <c r="B13" s="539"/>
      <c r="C13" s="539"/>
      <c r="D13" s="539"/>
      <c r="E13" s="541" t="n">
        <v>0.79743691233772</v>
      </c>
      <c r="F13" s="542" t="n">
        <f aca="false">D13*E13</f>
        <v>0</v>
      </c>
      <c r="G13" s="546"/>
      <c r="H13" s="544" t="n">
        <f aca="false">G13*F13</f>
        <v>0</v>
      </c>
    </row>
    <row r="14" customFormat="false" ht="15" hidden="false" customHeight="false" outlineLevel="0" collapsed="false">
      <c r="A14" s="538" t="s">
        <v>404</v>
      </c>
      <c r="B14" s="539"/>
      <c r="C14" s="539"/>
      <c r="D14" s="539"/>
      <c r="E14" s="541" t="n">
        <v>0.771321490285257</v>
      </c>
      <c r="F14" s="542" t="n">
        <f aca="false">D14*E14</f>
        <v>0</v>
      </c>
      <c r="G14" s="546"/>
      <c r="H14" s="544" t="n">
        <f aca="false">G14*F14</f>
        <v>0</v>
      </c>
    </row>
    <row r="15" customFormat="false" ht="15" hidden="false" customHeight="false" outlineLevel="0" collapsed="false">
      <c r="A15" s="538" t="s">
        <v>405</v>
      </c>
      <c r="B15" s="539"/>
      <c r="C15" s="539"/>
      <c r="D15" s="539" t="n">
        <f aca="false">Inlets!K4</f>
        <v>-5894.56534206698</v>
      </c>
      <c r="E15" s="541" t="n">
        <v>0.910030612662054</v>
      </c>
      <c r="F15" s="542" t="n">
        <f aca="false">D15*E15</f>
        <v>-5364.23490961772</v>
      </c>
      <c r="G15" s="547" t="n">
        <v>72.2</v>
      </c>
      <c r="H15" s="544" t="n">
        <f aca="false">G15*F15</f>
        <v>-387297.760474399</v>
      </c>
    </row>
    <row r="16" customFormat="false" ht="15" hidden="false" customHeight="false" outlineLevel="0" collapsed="false">
      <c r="A16" s="538" t="s">
        <v>406</v>
      </c>
      <c r="B16" s="539"/>
      <c r="C16" s="539"/>
      <c r="D16" s="539" t="n">
        <f aca="false">Inlets!L4</f>
        <v>-4475.09127775818</v>
      </c>
      <c r="E16" s="541" t="n">
        <v>0.906954518778415</v>
      </c>
      <c r="F16" s="542" t="n">
        <f aca="false">D16*E16</f>
        <v>-4058.70425630865</v>
      </c>
      <c r="G16" s="547" t="n">
        <v>72.2</v>
      </c>
      <c r="H16" s="544" t="n">
        <f aca="false">G16*F16</f>
        <v>-293038.447305485</v>
      </c>
    </row>
    <row r="17" customFormat="false" ht="15" hidden="false" customHeight="false" outlineLevel="0" collapsed="false">
      <c r="A17" s="538" t="s">
        <v>407</v>
      </c>
      <c r="B17" s="539"/>
      <c r="C17" s="539"/>
      <c r="D17" s="539" t="n">
        <f aca="false">Inlets!M4</f>
        <v>-9854.05452709348</v>
      </c>
      <c r="E17" s="541" t="n">
        <v>1.15335660147086</v>
      </c>
      <c r="F17" s="542" t="n">
        <f aca="false">D17*E17</f>
        <v>-11365.2388400771</v>
      </c>
      <c r="G17" s="547" t="n">
        <v>72.2</v>
      </c>
      <c r="H17" s="544" t="n">
        <f aca="false">G17*F17</f>
        <v>-820570.244253565</v>
      </c>
    </row>
    <row r="18" customFormat="false" ht="18" hidden="false" customHeight="false" outlineLevel="0" collapsed="false">
      <c r="A18" s="538" t="s">
        <v>408</v>
      </c>
      <c r="B18" s="548" t="n">
        <f aca="false">SUM(B8:B17)</f>
        <v>0</v>
      </c>
      <c r="C18" s="548" t="n">
        <f aca="false">SUM(C8:C17)</f>
        <v>0</v>
      </c>
      <c r="D18" s="539" t="n">
        <f aca="false">SUM(D15:D17)</f>
        <v>-20223.7111469186</v>
      </c>
      <c r="E18" s="549"/>
      <c r="F18" s="539" t="n">
        <f aca="false">SUM(F8:F17)</f>
        <v>-20788.1780060034</v>
      </c>
      <c r="G18" s="550"/>
      <c r="H18" s="551"/>
    </row>
    <row r="19" customFormat="false" ht="15.75" hidden="false" customHeight="false" outlineLevel="0" collapsed="false">
      <c r="A19" s="538"/>
      <c r="B19" s="543"/>
      <c r="C19" s="543"/>
      <c r="D19" s="543"/>
      <c r="E19" s="543"/>
      <c r="F19" s="543"/>
      <c r="G19" s="543" t="s">
        <v>409</v>
      </c>
      <c r="H19" s="552" t="n">
        <f aca="false">SUM(H10:H17)</f>
        <v>-1500906.45203345</v>
      </c>
    </row>
    <row r="22" customFormat="false" ht="15" hidden="false" customHeight="false" outlineLevel="0" collapsed="false">
      <c r="A22" s="553"/>
      <c r="B22" s="553"/>
      <c r="C22" s="553" t="s">
        <v>383</v>
      </c>
      <c r="D22" s="553"/>
      <c r="E22" s="554"/>
      <c r="F22" s="553"/>
      <c r="G22" s="553"/>
      <c r="H22" s="553"/>
    </row>
    <row r="23" customFormat="false" ht="15" hidden="false" customHeight="false" outlineLevel="0" collapsed="false">
      <c r="A23" s="553"/>
      <c r="B23" s="553" t="s">
        <v>384</v>
      </c>
      <c r="C23" s="553" t="s">
        <v>384</v>
      </c>
      <c r="D23" s="553" t="s">
        <v>385</v>
      </c>
      <c r="E23" s="554"/>
      <c r="F23" s="553" t="s">
        <v>385</v>
      </c>
      <c r="G23" s="553"/>
      <c r="H23" s="553" t="s">
        <v>386</v>
      </c>
    </row>
    <row r="24" customFormat="false" ht="15" hidden="false" customHeight="false" outlineLevel="0" collapsed="false">
      <c r="A24" s="553"/>
      <c r="B24" s="553" t="s">
        <v>387</v>
      </c>
      <c r="C24" s="553" t="s">
        <v>388</v>
      </c>
      <c r="D24" s="553" t="s">
        <v>389</v>
      </c>
      <c r="E24" s="553"/>
      <c r="F24" s="553" t="s">
        <v>389</v>
      </c>
      <c r="G24" s="553"/>
      <c r="H24" s="553" t="s">
        <v>390</v>
      </c>
    </row>
    <row r="25" customFormat="false" ht="15.75" hidden="false" customHeight="false" outlineLevel="0" collapsed="false">
      <c r="A25" s="553"/>
      <c r="B25" s="553"/>
      <c r="C25" s="553"/>
      <c r="D25" s="553"/>
      <c r="E25" s="553" t="s">
        <v>391</v>
      </c>
      <c r="F25" s="553"/>
      <c r="G25" s="555" t="s">
        <v>392</v>
      </c>
      <c r="H25" s="555" t="s">
        <v>392</v>
      </c>
    </row>
    <row r="26" customFormat="false" ht="15.75" hidden="false" customHeight="false" outlineLevel="0" collapsed="false">
      <c r="A26" s="555" t="s">
        <v>393</v>
      </c>
      <c r="B26" s="555" t="s">
        <v>394</v>
      </c>
      <c r="C26" s="555" t="s">
        <v>394</v>
      </c>
      <c r="D26" s="555" t="s">
        <v>394</v>
      </c>
      <c r="E26" s="553" t="s">
        <v>395</v>
      </c>
      <c r="F26" s="555" t="s">
        <v>396</v>
      </c>
      <c r="G26" s="555" t="s">
        <v>397</v>
      </c>
      <c r="H26" s="555" t="s">
        <v>398</v>
      </c>
      <c r="AM26" s="0" t="n">
        <v>-22930.8231526128</v>
      </c>
    </row>
    <row r="27" customFormat="false" ht="15" hidden="false" customHeight="false" outlineLevel="0" collapsed="false">
      <c r="A27" s="556" t="s">
        <v>1</v>
      </c>
      <c r="B27" s="557"/>
      <c r="C27" s="558"/>
      <c r="D27" s="557"/>
      <c r="E27" s="559" t="n">
        <v>0.406290775121373</v>
      </c>
      <c r="F27" s="560" t="n">
        <f aca="false">D27*E27</f>
        <v>0</v>
      </c>
      <c r="G27" s="561" t="n">
        <v>0</v>
      </c>
      <c r="H27" s="562" t="n">
        <f aca="false">G27*F27</f>
        <v>0</v>
      </c>
      <c r="AM27" s="39" t="n">
        <v>-1926189.14481948</v>
      </c>
    </row>
    <row r="28" customFormat="false" ht="15" hidden="false" customHeight="false" outlineLevel="0" collapsed="false">
      <c r="A28" s="556" t="s">
        <v>399</v>
      </c>
      <c r="B28" s="557"/>
      <c r="C28" s="557"/>
      <c r="D28" s="557"/>
      <c r="E28" s="559" t="n">
        <v>0.260532357064261</v>
      </c>
      <c r="F28" s="560" t="n">
        <f aca="false">D28*E28</f>
        <v>0</v>
      </c>
      <c r="G28" s="561" t="n">
        <v>0</v>
      </c>
      <c r="H28" s="562" t="n">
        <f aca="false">G28*F28</f>
        <v>0</v>
      </c>
    </row>
    <row r="29" customFormat="false" ht="15" hidden="false" customHeight="false" outlineLevel="0" collapsed="false">
      <c r="A29" s="556" t="s">
        <v>400</v>
      </c>
      <c r="B29" s="557"/>
      <c r="C29" s="558"/>
      <c r="D29" s="557"/>
      <c r="E29" s="559" t="n">
        <v>0.402142088848082</v>
      </c>
      <c r="F29" s="560" t="n">
        <f aca="false">D29*E29</f>
        <v>0</v>
      </c>
      <c r="G29" s="563"/>
      <c r="H29" s="562" t="n">
        <f aca="false">G29*F29</f>
        <v>0</v>
      </c>
    </row>
    <row r="30" customFormat="false" ht="15" hidden="false" customHeight="false" outlineLevel="0" collapsed="false">
      <c r="A30" s="556" t="s">
        <v>401</v>
      </c>
      <c r="B30" s="557"/>
      <c r="C30" s="557"/>
      <c r="D30" s="557"/>
      <c r="E30" s="559" t="n">
        <v>0.638433815844551</v>
      </c>
      <c r="F30" s="560" t="n">
        <f aca="false">D30*E30</f>
        <v>0</v>
      </c>
      <c r="G30" s="564"/>
      <c r="H30" s="562" t="n">
        <f aca="false">G30*F30</f>
        <v>0</v>
      </c>
    </row>
    <row r="31" customFormat="false" ht="15" hidden="false" customHeight="false" outlineLevel="0" collapsed="false">
      <c r="A31" s="556" t="s">
        <v>402</v>
      </c>
      <c r="B31" s="557"/>
      <c r="C31" s="557"/>
      <c r="D31" s="557"/>
      <c r="E31" s="559" t="n">
        <v>0.6639333659626</v>
      </c>
      <c r="F31" s="560" t="n">
        <f aca="false">D31*E31</f>
        <v>0</v>
      </c>
      <c r="G31" s="564"/>
      <c r="H31" s="562" t="n">
        <f aca="false">G31*F31</f>
        <v>0</v>
      </c>
    </row>
    <row r="32" customFormat="false" ht="15" hidden="false" customHeight="false" outlineLevel="0" collapsed="false">
      <c r="A32" s="556" t="s">
        <v>403</v>
      </c>
      <c r="B32" s="557"/>
      <c r="C32" s="557"/>
      <c r="D32" s="557"/>
      <c r="E32" s="559" t="n">
        <v>0.79743691233772</v>
      </c>
      <c r="F32" s="560" t="n">
        <f aca="false">D32*E32</f>
        <v>0</v>
      </c>
      <c r="G32" s="564"/>
      <c r="H32" s="562" t="n">
        <f aca="false">G32*F32</f>
        <v>0</v>
      </c>
      <c r="AM32" s="0" t="n">
        <v>-11077.7120913059</v>
      </c>
    </row>
    <row r="33" customFormat="false" ht="15" hidden="false" customHeight="false" outlineLevel="0" collapsed="false">
      <c r="A33" s="556" t="s">
        <v>404</v>
      </c>
      <c r="B33" s="557"/>
      <c r="C33" s="557"/>
      <c r="D33" s="557"/>
      <c r="E33" s="559" t="n">
        <v>0.771321490285257</v>
      </c>
      <c r="F33" s="560" t="n">
        <f aca="false">D33*E33</f>
        <v>0</v>
      </c>
      <c r="G33" s="564"/>
      <c r="H33" s="562" t="n">
        <f aca="false">G33*F33</f>
        <v>0</v>
      </c>
      <c r="AM33" s="0" t="n">
        <v>-930527.815669693</v>
      </c>
    </row>
    <row r="34" customFormat="false" ht="15" hidden="false" customHeight="false" outlineLevel="0" collapsed="false">
      <c r="A34" s="556" t="s">
        <v>405</v>
      </c>
      <c r="B34" s="557"/>
      <c r="C34" s="557"/>
      <c r="D34" s="557" t="n">
        <v>535</v>
      </c>
      <c r="E34" s="559" t="n">
        <v>0.910030612662054</v>
      </c>
      <c r="F34" s="560" t="n">
        <f aca="false">D34*E34</f>
        <v>486.866377774199</v>
      </c>
      <c r="G34" s="565" t="n">
        <v>80.64</v>
      </c>
      <c r="H34" s="562" t="n">
        <f aca="false">G34*F34</f>
        <v>39260.9047037114</v>
      </c>
      <c r="AM34" s="39" t="n">
        <f aca="false">AM27-AM33</f>
        <v>-995661.329149787</v>
      </c>
    </row>
    <row r="35" customFormat="false" ht="15" hidden="false" customHeight="false" outlineLevel="0" collapsed="false">
      <c r="A35" s="556" t="s">
        <v>406</v>
      </c>
      <c r="B35" s="557"/>
      <c r="C35" s="557"/>
      <c r="D35" s="557" t="n">
        <v>-2559</v>
      </c>
      <c r="E35" s="559" t="n">
        <v>0.906954518778415</v>
      </c>
      <c r="F35" s="560" t="n">
        <f aca="false">D35*E35</f>
        <v>-2320.89661355396</v>
      </c>
      <c r="G35" s="565" t="n">
        <v>80.64</v>
      </c>
      <c r="H35" s="562" t="n">
        <f aca="false">G35*F35</f>
        <v>-187157.102916992</v>
      </c>
    </row>
    <row r="36" customFormat="false" ht="15" hidden="false" customHeight="false" outlineLevel="0" collapsed="false">
      <c r="A36" s="556" t="s">
        <v>407</v>
      </c>
      <c r="B36" s="557"/>
      <c r="C36" s="557"/>
      <c r="D36" s="557" t="n">
        <v>-25361</v>
      </c>
      <c r="E36" s="559" t="n">
        <v>1.15335660147086</v>
      </c>
      <c r="F36" s="560" t="n">
        <f aca="false">D36*E36</f>
        <v>-29250.2767699025</v>
      </c>
      <c r="G36" s="565" t="n">
        <v>80.64</v>
      </c>
      <c r="H36" s="562" t="n">
        <f aca="false">G36*F36</f>
        <v>-2358742.31872494</v>
      </c>
    </row>
    <row r="37" customFormat="false" ht="18" hidden="false" customHeight="false" outlineLevel="0" collapsed="false">
      <c r="A37" s="556" t="s">
        <v>408</v>
      </c>
      <c r="B37" s="566" t="n">
        <f aca="false">SUM(B27:B36)</f>
        <v>0</v>
      </c>
      <c r="C37" s="566" t="n">
        <f aca="false">SUM(C27:C36)</f>
        <v>0</v>
      </c>
      <c r="D37" s="557" t="n">
        <f aca="false">SUM(D34:D36)</f>
        <v>-27385</v>
      </c>
      <c r="E37" s="567"/>
      <c r="F37" s="557" t="n">
        <f aca="false">SUM(F27:F36)</f>
        <v>-31084.3070056822</v>
      </c>
      <c r="G37" s="568"/>
      <c r="H37" s="569"/>
    </row>
    <row r="38" customFormat="false" ht="15.75" hidden="false" customHeight="false" outlineLevel="0" collapsed="false">
      <c r="A38" s="556"/>
      <c r="B38" s="561"/>
      <c r="C38" s="561"/>
      <c r="D38" s="561"/>
      <c r="E38" s="561"/>
      <c r="F38" s="561"/>
      <c r="G38" s="561" t="s">
        <v>409</v>
      </c>
      <c r="H38" s="570" t="n">
        <f aca="false">SUM(H29:H36)</f>
        <v>-2506638.51693822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N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39.57"/>
  </cols>
  <sheetData>
    <row r="1" customFormat="false" ht="15" hidden="false" customHeight="false" outlineLevel="0" collapsed="false">
      <c r="A1" s="0" t="s">
        <v>410</v>
      </c>
      <c r="B1" s="0" t="s">
        <v>411</v>
      </c>
      <c r="C1" s="0" t="s">
        <v>412</v>
      </c>
      <c r="D1" s="0" t="s">
        <v>413</v>
      </c>
      <c r="E1" s="0" t="s">
        <v>1</v>
      </c>
      <c r="F1" s="0" t="s">
        <v>2</v>
      </c>
      <c r="G1" s="0" t="s">
        <v>3</v>
      </c>
      <c r="H1" s="0" t="s">
        <v>4</v>
      </c>
      <c r="I1" s="0" t="s">
        <v>5</v>
      </c>
      <c r="J1" s="0" t="s">
        <v>6</v>
      </c>
      <c r="K1" s="0" t="s">
        <v>7</v>
      </c>
      <c r="L1" s="0" t="s">
        <v>8</v>
      </c>
      <c r="M1" s="0" t="s">
        <v>9</v>
      </c>
      <c r="N1" s="0" t="s">
        <v>414</v>
      </c>
    </row>
    <row r="2" customFormat="false" ht="15" hidden="false" customHeight="false" outlineLevel="0" collapsed="false">
      <c r="A2" s="0" t="s">
        <v>29</v>
      </c>
      <c r="B2" s="0" t="s">
        <v>415</v>
      </c>
      <c r="C2" s="0" t="n">
        <v>0</v>
      </c>
      <c r="D2" s="0" t="n">
        <v>0</v>
      </c>
      <c r="E2" s="0" t="n">
        <v>0.173</v>
      </c>
      <c r="F2" s="0" t="n">
        <v>0.583</v>
      </c>
      <c r="G2" s="0" t="n">
        <v>80.962</v>
      </c>
      <c r="H2" s="0" t="n">
        <v>10.678</v>
      </c>
      <c r="I2" s="0" t="n">
        <v>3.898</v>
      </c>
      <c r="J2" s="0" t="n">
        <v>0.62</v>
      </c>
      <c r="K2" s="0" t="n">
        <v>1.089</v>
      </c>
      <c r="L2" s="0" t="n">
        <v>0.289</v>
      </c>
      <c r="M2" s="0" t="n">
        <v>0.314</v>
      </c>
      <c r="N2" s="0" t="n">
        <v>1.394</v>
      </c>
    </row>
    <row r="3" customFormat="false" ht="15" hidden="false" customHeight="false" outlineLevel="0" collapsed="false">
      <c r="A3" s="0" t="s">
        <v>30</v>
      </c>
      <c r="B3" s="0" t="s">
        <v>213</v>
      </c>
      <c r="C3" s="0" t="n">
        <v>0</v>
      </c>
      <c r="D3" s="0" t="n">
        <v>0</v>
      </c>
      <c r="E3" s="0" t="n">
        <v>0.1581</v>
      </c>
      <c r="F3" s="0" t="n">
        <v>2.7207</v>
      </c>
      <c r="G3" s="0" t="n">
        <v>79.9315</v>
      </c>
      <c r="H3" s="0" t="n">
        <v>10.7207</v>
      </c>
      <c r="I3" s="0" t="n">
        <v>3.6801</v>
      </c>
      <c r="J3" s="0" t="n">
        <v>0.5513</v>
      </c>
      <c r="K3" s="0" t="n">
        <v>0.9395</v>
      </c>
      <c r="L3" s="0" t="n">
        <v>0.2186</v>
      </c>
      <c r="M3" s="0" t="n">
        <v>0.2183</v>
      </c>
      <c r="N3" s="0" t="n">
        <v>0.4913</v>
      </c>
    </row>
    <row r="4" customFormat="false" ht="15" hidden="false" customHeight="false" outlineLevel="0" collapsed="false">
      <c r="A4" s="0" t="s">
        <v>31</v>
      </c>
      <c r="B4" s="0" t="s">
        <v>214</v>
      </c>
      <c r="C4" s="0" t="n">
        <v>46376.34</v>
      </c>
      <c r="D4" s="0" t="n">
        <v>58016.8</v>
      </c>
      <c r="E4" s="0" t="n">
        <v>0.094</v>
      </c>
      <c r="F4" s="0" t="n">
        <v>0.589</v>
      </c>
      <c r="G4" s="0" t="n">
        <v>80.804</v>
      </c>
      <c r="H4" s="0" t="n">
        <v>10.688</v>
      </c>
      <c r="I4" s="0" t="n">
        <v>4.16</v>
      </c>
      <c r="J4" s="0" t="n">
        <v>0.697</v>
      </c>
      <c r="K4" s="0" t="n">
        <v>1.341</v>
      </c>
      <c r="L4" s="0" t="n">
        <v>0.376</v>
      </c>
      <c r="M4" s="0" t="n">
        <v>0.415</v>
      </c>
      <c r="N4" s="0" t="n">
        <v>0.836</v>
      </c>
    </row>
    <row r="5" customFormat="false" ht="15" hidden="false" customHeight="false" outlineLevel="0" collapsed="false">
      <c r="A5" s="0" t="s">
        <v>32</v>
      </c>
      <c r="B5" s="0" t="s">
        <v>215</v>
      </c>
      <c r="C5" s="0" t="n">
        <v>0</v>
      </c>
      <c r="D5" s="0" t="n">
        <v>0</v>
      </c>
      <c r="E5" s="0" t="n">
        <v>0.075</v>
      </c>
      <c r="F5" s="0" t="n">
        <v>0.598</v>
      </c>
      <c r="G5" s="0" t="n">
        <v>82.24</v>
      </c>
      <c r="H5" s="0" t="n">
        <v>10.975</v>
      </c>
      <c r="I5" s="0" t="n">
        <v>4.042</v>
      </c>
      <c r="J5" s="0" t="n">
        <v>0.592</v>
      </c>
      <c r="K5" s="0" t="n">
        <v>1</v>
      </c>
      <c r="L5" s="0" t="n">
        <v>0.176</v>
      </c>
      <c r="M5" s="0" t="n">
        <v>0.17</v>
      </c>
      <c r="N5" s="0" t="n">
        <v>0.132</v>
      </c>
    </row>
    <row r="6" customFormat="false" ht="15" hidden="false" customHeight="false" outlineLevel="0" collapsed="false">
      <c r="A6" s="0" t="s">
        <v>33</v>
      </c>
      <c r="B6" s="0" t="s">
        <v>216</v>
      </c>
      <c r="C6" s="0" t="n">
        <v>16278.35</v>
      </c>
      <c r="D6" s="0" t="n">
        <v>20543.28</v>
      </c>
      <c r="E6" s="0" t="n">
        <v>0.116</v>
      </c>
      <c r="F6" s="0" t="n">
        <v>0.607</v>
      </c>
      <c r="G6" s="0" t="n">
        <v>80.086</v>
      </c>
      <c r="H6" s="0" t="n">
        <v>10.925</v>
      </c>
      <c r="I6" s="0" t="n">
        <v>4.435</v>
      </c>
      <c r="J6" s="0" t="n">
        <v>0.702</v>
      </c>
      <c r="K6" s="0" t="n">
        <v>1.436</v>
      </c>
      <c r="L6" s="0" t="n">
        <v>0.363</v>
      </c>
      <c r="M6" s="0" t="n">
        <v>0.448</v>
      </c>
      <c r="N6" s="0" t="n">
        <v>0.882</v>
      </c>
    </row>
    <row r="7" customFormat="false" ht="15" hidden="false" customHeight="false" outlineLevel="0" collapsed="false">
      <c r="A7" s="0" t="s">
        <v>34</v>
      </c>
      <c r="B7" s="0" t="s">
        <v>217</v>
      </c>
      <c r="C7" s="0" t="n">
        <v>12576.36</v>
      </c>
      <c r="D7" s="0" t="n">
        <v>15619.84</v>
      </c>
      <c r="E7" s="0" t="n">
        <v>0.106</v>
      </c>
      <c r="F7" s="0" t="n">
        <v>0.649</v>
      </c>
      <c r="G7" s="0" t="n">
        <v>80.641</v>
      </c>
      <c r="H7" s="0" t="n">
        <v>10.992</v>
      </c>
      <c r="I7" s="0" t="n">
        <v>4.336</v>
      </c>
      <c r="J7" s="0" t="n">
        <v>0.668</v>
      </c>
      <c r="K7" s="0" t="n">
        <v>1.343</v>
      </c>
      <c r="L7" s="0" t="n">
        <v>0.308</v>
      </c>
      <c r="M7" s="0" t="n">
        <v>0.352</v>
      </c>
      <c r="N7" s="0" t="n">
        <v>0.605</v>
      </c>
    </row>
    <row r="8" customFormat="false" ht="15" hidden="false" customHeight="false" outlineLevel="0" collapsed="false">
      <c r="A8" s="0" t="s">
        <v>35</v>
      </c>
      <c r="B8" s="0" t="s">
        <v>218</v>
      </c>
      <c r="C8" s="0" t="n">
        <v>24861.69</v>
      </c>
      <c r="D8" s="0" t="n">
        <v>32195.89</v>
      </c>
      <c r="E8" s="0" t="n">
        <v>0.114</v>
      </c>
      <c r="F8" s="0" t="n">
        <v>0.576</v>
      </c>
      <c r="G8" s="0" t="n">
        <v>78.583</v>
      </c>
      <c r="H8" s="0" t="n">
        <v>11.327</v>
      </c>
      <c r="I8" s="0" t="n">
        <v>4.8</v>
      </c>
      <c r="J8" s="0" t="n">
        <v>0.858</v>
      </c>
      <c r="K8" s="0" t="n">
        <v>1.633</v>
      </c>
      <c r="L8" s="0" t="n">
        <v>0.44</v>
      </c>
      <c r="M8" s="0" t="n">
        <v>0.502</v>
      </c>
      <c r="N8" s="0" t="n">
        <v>1.167</v>
      </c>
    </row>
    <row r="9" customFormat="false" ht="15" hidden="false" customHeight="false" outlineLevel="0" collapsed="false">
      <c r="A9" s="0" t="s">
        <v>36</v>
      </c>
      <c r="B9" s="0" t="s">
        <v>219</v>
      </c>
      <c r="C9" s="0" t="n">
        <v>8689.66</v>
      </c>
      <c r="D9" s="0" t="n">
        <v>10670.91</v>
      </c>
      <c r="E9" s="0" t="n">
        <v>0.063</v>
      </c>
      <c r="F9" s="0" t="n">
        <v>1.904</v>
      </c>
      <c r="G9" s="0" t="n">
        <v>79.513</v>
      </c>
      <c r="H9" s="0" t="n">
        <v>10.982</v>
      </c>
      <c r="I9" s="0" t="n">
        <v>4.229</v>
      </c>
      <c r="J9" s="0" t="n">
        <v>0.698</v>
      </c>
      <c r="K9" s="0" t="n">
        <v>1.331</v>
      </c>
      <c r="L9" s="0" t="n">
        <v>0.336</v>
      </c>
      <c r="M9" s="0" t="n">
        <v>0.371</v>
      </c>
      <c r="N9" s="0" t="n">
        <v>0.573</v>
      </c>
    </row>
    <row r="10" customFormat="false" ht="15" hidden="false" customHeight="false" outlineLevel="0" collapsed="false">
      <c r="A10" s="0" t="s">
        <v>37</v>
      </c>
      <c r="B10" s="0" t="s">
        <v>220</v>
      </c>
      <c r="C10" s="0" t="n">
        <v>411540.2</v>
      </c>
      <c r="D10" s="0" t="n">
        <v>513190.63</v>
      </c>
      <c r="E10" s="0" t="n">
        <v>0.125</v>
      </c>
      <c r="F10" s="0" t="n">
        <v>0.582</v>
      </c>
      <c r="G10" s="0" t="n">
        <v>81.076</v>
      </c>
      <c r="H10" s="0" t="n">
        <v>10.555</v>
      </c>
      <c r="I10" s="0" t="n">
        <v>4.037</v>
      </c>
      <c r="J10" s="0" t="n">
        <v>0.705</v>
      </c>
      <c r="K10" s="0" t="n">
        <v>1.318</v>
      </c>
      <c r="L10" s="0" t="n">
        <v>0.372</v>
      </c>
      <c r="M10" s="0" t="n">
        <v>0.396</v>
      </c>
      <c r="N10" s="0" t="n">
        <v>0.834</v>
      </c>
    </row>
    <row r="11" customFormat="false" ht="15" hidden="false" customHeight="false" outlineLevel="0" collapsed="false">
      <c r="A11" s="0" t="s">
        <v>38</v>
      </c>
      <c r="B11" s="0" t="s">
        <v>221</v>
      </c>
      <c r="C11" s="0" t="n">
        <v>279240.52</v>
      </c>
      <c r="D11" s="0" t="n">
        <v>366642.81</v>
      </c>
      <c r="E11" s="0" t="n">
        <v>0.118</v>
      </c>
      <c r="F11" s="0" t="n">
        <v>1.354</v>
      </c>
      <c r="G11" s="0" t="n">
        <v>77.045</v>
      </c>
      <c r="H11" s="0" t="n">
        <v>11.071</v>
      </c>
      <c r="I11" s="0" t="n">
        <v>5.28</v>
      </c>
      <c r="J11" s="0" t="n">
        <v>0.813</v>
      </c>
      <c r="K11" s="0" t="n">
        <v>1.736</v>
      </c>
      <c r="L11" s="0" t="n">
        <v>0.458</v>
      </c>
      <c r="M11" s="0" t="n">
        <v>0.526</v>
      </c>
      <c r="N11" s="0" t="n">
        <v>1.599</v>
      </c>
    </row>
    <row r="12" customFormat="false" ht="15" hidden="false" customHeight="false" outlineLevel="0" collapsed="false">
      <c r="A12" s="0" t="s">
        <v>159</v>
      </c>
      <c r="B12" s="0" t="s">
        <v>222</v>
      </c>
      <c r="C12" s="0" t="n">
        <v>428115.53</v>
      </c>
      <c r="D12" s="0" t="n">
        <v>440602.56</v>
      </c>
      <c r="E12" s="0" t="n">
        <v>0.0285732509006481</v>
      </c>
      <c r="F12" s="0" t="n">
        <v>1.02865763118742</v>
      </c>
      <c r="G12" s="0" t="n">
        <v>95.6932924120128</v>
      </c>
      <c r="H12" s="0" t="n">
        <v>3.16200507248809</v>
      </c>
      <c r="I12" s="0" t="n">
        <v>0.08374272705963</v>
      </c>
      <c r="J12" s="0" t="n">
        <v>0.00150567037786595</v>
      </c>
      <c r="K12" s="0" t="n">
        <v>0.00212936679327564</v>
      </c>
      <c r="L12" s="571" t="n">
        <v>4.73295387984469E-005</v>
      </c>
      <c r="M12" s="571" t="n">
        <v>4.38986942305306E-005</v>
      </c>
      <c r="N12" s="571" t="n">
        <v>2.70613906720087E-006</v>
      </c>
    </row>
    <row r="13" customFormat="false" ht="15" hidden="false" customHeight="false" outlineLevel="0" collapsed="false">
      <c r="A13" s="0" t="s">
        <v>160</v>
      </c>
      <c r="B13" s="0" t="s">
        <v>223</v>
      </c>
      <c r="C13" s="0" t="n">
        <v>4239406.28</v>
      </c>
      <c r="D13" s="0" t="n">
        <v>4363011.77</v>
      </c>
      <c r="E13" s="0" t="n">
        <v>0.0282736501177807</v>
      </c>
      <c r="F13" s="0" t="n">
        <v>1.02866362817266</v>
      </c>
      <c r="G13" s="0" t="n">
        <v>95.6950640053272</v>
      </c>
      <c r="H13" s="0" t="n">
        <v>3.16065250945488</v>
      </c>
      <c r="I13" s="0" t="n">
        <v>0.0836228328705957</v>
      </c>
      <c r="J13" s="0" t="n">
        <v>0.00150355438898487</v>
      </c>
      <c r="K13" s="0" t="n">
        <v>0.00212679146879362</v>
      </c>
      <c r="L13" s="571" t="n">
        <v>4.68905800271209E-005</v>
      </c>
      <c r="M13" s="571" t="n">
        <v>4.35256016415786E-005</v>
      </c>
      <c r="N13" s="571" t="n">
        <v>2.67739865099955E-006</v>
      </c>
    </row>
    <row r="14" customFormat="false" ht="15" hidden="false" customHeight="false" outlineLevel="0" collapsed="false">
      <c r="A14" s="0" t="s">
        <v>161</v>
      </c>
      <c r="B14" s="0" t="s">
        <v>224</v>
      </c>
      <c r="C14" s="0" t="n">
        <v>1887090.82</v>
      </c>
      <c r="D14" s="0" t="n">
        <v>1945942.1</v>
      </c>
      <c r="E14" s="0" t="n">
        <v>0.0321891147071353</v>
      </c>
      <c r="F14" s="0" t="n">
        <v>0.986336652598509</v>
      </c>
      <c r="G14" s="0" t="n">
        <v>93.8495223864989</v>
      </c>
      <c r="H14" s="0" t="n">
        <v>3.33440905553148</v>
      </c>
      <c r="I14" s="0" t="n">
        <v>0.0840881397766082</v>
      </c>
      <c r="J14" s="0" t="n">
        <v>0.00142474183058214</v>
      </c>
      <c r="K14" s="0" t="n">
        <v>0.00114016648940022</v>
      </c>
      <c r="L14" s="571" t="n">
        <v>6.97184789235642E-007</v>
      </c>
      <c r="M14" s="571" t="n">
        <v>1.20083484727841E-006</v>
      </c>
      <c r="N14" s="571" t="n">
        <v>0</v>
      </c>
    </row>
    <row r="15" customFormat="false" ht="15" hidden="false" customHeight="false" outlineLevel="0" collapsed="false">
      <c r="A15" s="0" t="s">
        <v>162</v>
      </c>
      <c r="B15" s="0" t="s">
        <v>225</v>
      </c>
      <c r="C15" s="0" t="n">
        <v>669315.42</v>
      </c>
      <c r="D15" s="0" t="n">
        <v>695762.62</v>
      </c>
      <c r="E15" s="0" t="n">
        <v>0.099327001414739</v>
      </c>
      <c r="F15" s="0" t="n">
        <v>0.982501221169082</v>
      </c>
      <c r="G15" s="0" t="n">
        <v>92.6994576653776</v>
      </c>
      <c r="H15" s="0" t="n">
        <v>4.37350142624641</v>
      </c>
      <c r="I15" s="0" t="n">
        <v>0.141094531736112</v>
      </c>
      <c r="J15" s="0" t="n">
        <v>0.00243179512674213</v>
      </c>
      <c r="K15" s="0" t="n">
        <v>0.00211579443425881</v>
      </c>
      <c r="L15" s="571" t="n">
        <v>5.57557147541569E-006</v>
      </c>
      <c r="M15" s="571" t="n">
        <v>0</v>
      </c>
      <c r="N15" s="0" t="n">
        <v>0</v>
      </c>
    </row>
    <row r="16" customFormat="false" ht="15" hidden="false" customHeight="false" outlineLevel="0" collapsed="false">
      <c r="A16" s="0" t="s">
        <v>39</v>
      </c>
      <c r="B16" s="0" t="s">
        <v>226</v>
      </c>
      <c r="C16" s="0" t="n">
        <v>1151339.8</v>
      </c>
      <c r="D16" s="0" t="n">
        <v>1449805.67</v>
      </c>
      <c r="E16" s="0" t="n">
        <v>0.815046438899443</v>
      </c>
      <c r="F16" s="0" t="n">
        <v>1.09182948492832</v>
      </c>
      <c r="G16" s="0" t="n">
        <v>79.1761940127324</v>
      </c>
      <c r="H16" s="0" t="n">
        <v>9.43309602648388</v>
      </c>
      <c r="I16" s="0" t="n">
        <v>5.05057468460211</v>
      </c>
      <c r="J16" s="0" t="n">
        <v>0.949274743767535</v>
      </c>
      <c r="K16" s="0" t="n">
        <v>1.7945837994806</v>
      </c>
      <c r="L16" s="0" t="n">
        <v>0.597222247268506</v>
      </c>
      <c r="M16" s="0" t="n">
        <v>0.454581941798881</v>
      </c>
      <c r="N16" s="0" t="n">
        <v>0.63760771744079</v>
      </c>
    </row>
    <row r="17" customFormat="false" ht="15" hidden="false" customHeight="false" outlineLevel="0" collapsed="false">
      <c r="A17" s="0" t="s">
        <v>40</v>
      </c>
      <c r="B17" s="0" t="s">
        <v>227</v>
      </c>
      <c r="C17" s="0" t="n">
        <v>131184.94</v>
      </c>
      <c r="D17" s="0" t="n">
        <v>165191.8</v>
      </c>
      <c r="E17" s="0" t="n">
        <v>0.815284680039878</v>
      </c>
      <c r="F17" s="0" t="n">
        <v>1.0917341115764</v>
      </c>
      <c r="G17" s="0" t="n">
        <v>79.1767516200042</v>
      </c>
      <c r="H17" s="0" t="n">
        <v>9.43254437363945</v>
      </c>
      <c r="I17" s="0" t="n">
        <v>5.05028694260133</v>
      </c>
      <c r="J17" s="0" t="n">
        <v>0.949303908427994</v>
      </c>
      <c r="K17" s="0" t="n">
        <v>1.79456191047132</v>
      </c>
      <c r="L17" s="0" t="n">
        <v>0.597265415316484</v>
      </c>
      <c r="M17" s="0" t="n">
        <v>0.454600379547278</v>
      </c>
      <c r="N17" s="0" t="n">
        <v>0.637677767565951</v>
      </c>
    </row>
    <row r="18" customFormat="false" ht="15" hidden="false" customHeight="false" outlineLevel="0" collapsed="false">
      <c r="A18" s="0" t="s">
        <v>41</v>
      </c>
      <c r="B18" s="0" t="s">
        <v>228</v>
      </c>
      <c r="C18" s="0" t="n">
        <v>346861.43</v>
      </c>
      <c r="D18" s="0" t="n">
        <v>433604.99</v>
      </c>
      <c r="E18" s="0" t="n">
        <v>0.0159192614542988</v>
      </c>
      <c r="F18" s="0" t="n">
        <v>0.605452788952156</v>
      </c>
      <c r="G18" s="0" t="n">
        <v>80.7794008690854</v>
      </c>
      <c r="H18" s="0" t="n">
        <v>10.5911154496617</v>
      </c>
      <c r="I18" s="0" t="n">
        <v>4.41724218760527</v>
      </c>
      <c r="J18" s="0" t="n">
        <v>0.69687775287813</v>
      </c>
      <c r="K18" s="0" t="n">
        <v>1.47066420865023</v>
      </c>
      <c r="L18" s="0" t="n">
        <v>0.371587871304939</v>
      </c>
      <c r="M18" s="0" t="n">
        <v>0.43461843104407</v>
      </c>
      <c r="N18" s="0" t="n">
        <v>0.617121665503266</v>
      </c>
    </row>
    <row r="19" customFormat="false" ht="15" hidden="false" customHeight="false" outlineLevel="0" collapsed="false">
      <c r="A19" s="0" t="s">
        <v>42</v>
      </c>
      <c r="B19" s="0" t="s">
        <v>229</v>
      </c>
      <c r="C19" s="0" t="n">
        <v>0</v>
      </c>
      <c r="D19" s="0" t="n">
        <v>0</v>
      </c>
      <c r="E19" s="0" t="n">
        <v>0.0158747460440262</v>
      </c>
      <c r="F19" s="0" t="n">
        <v>0.605738110039183</v>
      </c>
      <c r="G19" s="0" t="n">
        <v>80.7971468176893</v>
      </c>
      <c r="H19" s="0" t="n">
        <v>10.5877152912078</v>
      </c>
      <c r="I19" s="0" t="n">
        <v>4.41222034282582</v>
      </c>
      <c r="J19" s="0" t="n">
        <v>0.695783665263525</v>
      </c>
      <c r="K19" s="0" t="n">
        <v>1.46754235926495</v>
      </c>
      <c r="L19" s="0" t="n">
        <v>0.370649128271047</v>
      </c>
      <c r="M19" s="0" t="n">
        <v>0.433409774535766</v>
      </c>
      <c r="N19" s="0" t="n">
        <v>0.613919309019962</v>
      </c>
    </row>
    <row r="20" customFormat="false" ht="15" hidden="false" customHeight="false" outlineLevel="0" collapsed="false">
      <c r="A20" s="0" t="s">
        <v>43</v>
      </c>
      <c r="B20" s="0" t="s">
        <v>230</v>
      </c>
      <c r="C20" s="0" t="n">
        <v>294377.62</v>
      </c>
      <c r="D20" s="0" t="n">
        <v>369069.05</v>
      </c>
      <c r="E20" s="0" t="n">
        <v>0.00978614999412378</v>
      </c>
      <c r="F20" s="0" t="n">
        <v>0.589076111622202</v>
      </c>
      <c r="G20" s="0" t="n">
        <v>80.6150901073344</v>
      </c>
      <c r="H20" s="0" t="n">
        <v>10.6346550546324</v>
      </c>
      <c r="I20" s="0" t="n">
        <v>4.4701231263416</v>
      </c>
      <c r="J20" s="0" t="n">
        <v>0.715498525388372</v>
      </c>
      <c r="K20" s="0" t="n">
        <v>1.5140556198984</v>
      </c>
      <c r="L20" s="0" t="n">
        <v>0.383944926826199</v>
      </c>
      <c r="M20" s="0" t="n">
        <v>0.451328174136267</v>
      </c>
      <c r="N20" s="0" t="n">
        <v>0.616442599128654</v>
      </c>
    </row>
    <row r="21" customFormat="false" ht="15" hidden="false" customHeight="false" outlineLevel="0" collapsed="false">
      <c r="A21" s="0" t="s">
        <v>44</v>
      </c>
      <c r="B21" s="0" t="s">
        <v>231</v>
      </c>
      <c r="C21" s="0" t="n">
        <v>0</v>
      </c>
      <c r="D21" s="0" t="n">
        <v>0</v>
      </c>
      <c r="E21" s="0" t="n">
        <v>0.11259999871254</v>
      </c>
      <c r="F21" s="0" t="n">
        <v>0.621500015258789</v>
      </c>
      <c r="G21" s="0" t="n">
        <v>79.1595001220703</v>
      </c>
      <c r="H21" s="0" t="n">
        <v>10.7407999038696</v>
      </c>
      <c r="I21" s="0" t="n">
        <v>4.7878999710083</v>
      </c>
      <c r="J21" s="0" t="n">
        <v>0.769400000572205</v>
      </c>
      <c r="K21" s="0" t="n">
        <v>1.67200005054474</v>
      </c>
      <c r="L21" s="0" t="n">
        <v>0.427799999713898</v>
      </c>
      <c r="M21" s="0" t="n">
        <v>1.05280005931854</v>
      </c>
      <c r="N21" s="0" t="n">
        <v>0.655700027942657</v>
      </c>
    </row>
    <row r="22" customFormat="false" ht="15" hidden="false" customHeight="false" outlineLevel="0" collapsed="false">
      <c r="A22" s="0" t="s">
        <v>45</v>
      </c>
      <c r="B22" s="0" t="s">
        <v>232</v>
      </c>
      <c r="C22" s="0" t="n">
        <v>0</v>
      </c>
      <c r="D22" s="0" t="n">
        <v>0</v>
      </c>
      <c r="E22" s="0" t="n">
        <v>0.359</v>
      </c>
      <c r="F22" s="0" t="n">
        <v>0.847000000000001</v>
      </c>
      <c r="G22" s="0" t="n">
        <v>80.724</v>
      </c>
      <c r="H22" s="0" t="n">
        <v>10.702</v>
      </c>
      <c r="I22" s="0" t="n">
        <v>4.31</v>
      </c>
      <c r="J22" s="0" t="n">
        <v>0.626</v>
      </c>
      <c r="K22" s="0" t="n">
        <v>1.321</v>
      </c>
      <c r="L22" s="0" t="n">
        <v>0.321</v>
      </c>
      <c r="M22" s="0" t="n">
        <v>0.359</v>
      </c>
      <c r="N22" s="0" t="n">
        <v>0.431</v>
      </c>
    </row>
    <row r="23" customFormat="false" ht="15" hidden="false" customHeight="false" outlineLevel="0" collapsed="false">
      <c r="A23" s="0" t="s">
        <v>46</v>
      </c>
      <c r="B23" s="0" t="s">
        <v>233</v>
      </c>
      <c r="C23" s="0" t="n">
        <v>45361.55</v>
      </c>
      <c r="D23" s="0" t="n">
        <v>55613.26</v>
      </c>
      <c r="E23" s="0" t="n">
        <v>0.359</v>
      </c>
      <c r="F23" s="0" t="n">
        <v>0.847</v>
      </c>
      <c r="G23" s="0" t="n">
        <v>80.724</v>
      </c>
      <c r="H23" s="0" t="n">
        <v>10.702</v>
      </c>
      <c r="I23" s="0" t="n">
        <v>4.31</v>
      </c>
      <c r="J23" s="0" t="n">
        <v>0.626</v>
      </c>
      <c r="K23" s="0" t="n">
        <v>1.321</v>
      </c>
      <c r="L23" s="0" t="n">
        <v>0.321</v>
      </c>
      <c r="M23" s="0" t="n">
        <v>0.359</v>
      </c>
      <c r="N23" s="0" t="n">
        <v>0.431</v>
      </c>
    </row>
    <row r="24" customFormat="false" ht="15" hidden="false" customHeight="false" outlineLevel="0" collapsed="false">
      <c r="A24" s="0" t="s">
        <v>47</v>
      </c>
      <c r="B24" s="0" t="s">
        <v>234</v>
      </c>
      <c r="C24" s="0" t="n">
        <v>164104.08</v>
      </c>
      <c r="D24" s="0" t="n">
        <v>203412.95</v>
      </c>
      <c r="E24" s="0" t="n">
        <v>0.00510418212034034</v>
      </c>
      <c r="F24" s="0" t="n">
        <v>0.594280508772907</v>
      </c>
      <c r="G24" s="0" t="n">
        <v>81.2786633147187</v>
      </c>
      <c r="H24" s="0" t="n">
        <v>10.5018070889406</v>
      </c>
      <c r="I24" s="0" t="n">
        <v>4.25902740437906</v>
      </c>
      <c r="J24" s="0" t="n">
        <v>0.694532701298378</v>
      </c>
      <c r="K24" s="0" t="n">
        <v>1.38931661717306</v>
      </c>
      <c r="L24" s="0" t="n">
        <v>0.361497121940463</v>
      </c>
      <c r="M24" s="0" t="n">
        <v>0.414292165717674</v>
      </c>
      <c r="N24" s="0" t="n">
        <v>0.501478798236785</v>
      </c>
    </row>
    <row r="25" customFormat="false" ht="15" hidden="false" customHeight="false" outlineLevel="0" collapsed="false">
      <c r="A25" s="0" t="s">
        <v>48</v>
      </c>
      <c r="B25" s="0" t="s">
        <v>235</v>
      </c>
      <c r="C25" s="0" t="n">
        <v>0</v>
      </c>
      <c r="D25" s="0" t="n">
        <v>0</v>
      </c>
      <c r="E25" s="0" t="n">
        <v>0.0104920869807463</v>
      </c>
      <c r="F25" s="0" t="n">
        <v>0.593050870203203</v>
      </c>
      <c r="G25" s="0" t="n">
        <v>81.2436523334954</v>
      </c>
      <c r="H25" s="0" t="n">
        <v>10.5658812522888</v>
      </c>
      <c r="I25" s="0" t="n">
        <v>4.24323085975903</v>
      </c>
      <c r="J25" s="0" t="n">
        <v>0.693949774228116</v>
      </c>
      <c r="K25" s="0" t="n">
        <v>1.3857839128343</v>
      </c>
      <c r="L25" s="0" t="n">
        <v>0.360322510523181</v>
      </c>
      <c r="M25" s="0" t="n">
        <v>0.413619444535304</v>
      </c>
      <c r="N25" s="0" t="n">
        <v>0.490016855629942</v>
      </c>
    </row>
    <row r="26" customFormat="false" ht="15" hidden="false" customHeight="false" outlineLevel="0" collapsed="false">
      <c r="A26" s="0" t="s">
        <v>49</v>
      </c>
      <c r="B26" s="0" t="s">
        <v>236</v>
      </c>
      <c r="C26" s="0" t="n">
        <v>815353.24</v>
      </c>
      <c r="D26" s="0" t="n">
        <v>1002884.54</v>
      </c>
      <c r="E26" s="0" t="n">
        <v>0.099279756712626</v>
      </c>
      <c r="F26" s="0" t="n">
        <v>0.602165263373735</v>
      </c>
      <c r="G26" s="0" t="n">
        <v>79.160326528009</v>
      </c>
      <c r="H26" s="0" t="n">
        <v>11.1755135924096</v>
      </c>
      <c r="I26" s="0" t="n">
        <v>4.99296145641652</v>
      </c>
      <c r="J26" s="0" t="n">
        <v>0.772059422793529</v>
      </c>
      <c r="K26" s="0" t="n">
        <v>1.70336529291086</v>
      </c>
      <c r="L26" s="0" t="n">
        <v>0.424818904481619</v>
      </c>
      <c r="M26" s="0" t="n">
        <v>0.502816387523273</v>
      </c>
      <c r="N26" s="0" t="n">
        <v>0.566691353321856</v>
      </c>
    </row>
    <row r="27" customFormat="false" ht="15" hidden="false" customHeight="false" outlineLevel="0" collapsed="false">
      <c r="A27" s="0" t="s">
        <v>50</v>
      </c>
      <c r="B27" s="0" t="s">
        <v>237</v>
      </c>
      <c r="C27" s="0" t="n">
        <v>126383.28</v>
      </c>
      <c r="D27" s="0" t="n">
        <v>153429.3</v>
      </c>
      <c r="E27" s="0" t="n">
        <v>2.372</v>
      </c>
      <c r="F27" s="0" t="n">
        <v>1.429</v>
      </c>
      <c r="G27" s="0" t="n">
        <v>78.31</v>
      </c>
      <c r="H27" s="0" t="n">
        <v>9.607</v>
      </c>
      <c r="I27" s="0" t="n">
        <v>4.619</v>
      </c>
      <c r="J27" s="0" t="n">
        <v>0.699</v>
      </c>
      <c r="K27" s="0" t="n">
        <v>1.528</v>
      </c>
      <c r="L27" s="0" t="n">
        <v>0.509</v>
      </c>
      <c r="M27" s="0" t="n">
        <v>0.405</v>
      </c>
      <c r="N27" s="0" t="n">
        <v>0.522</v>
      </c>
    </row>
    <row r="28" customFormat="false" ht="15" hidden="false" customHeight="false" outlineLevel="0" collapsed="false">
      <c r="A28" s="0" t="s">
        <v>51</v>
      </c>
      <c r="B28" s="0" t="s">
        <v>238</v>
      </c>
      <c r="C28" s="0" t="n">
        <v>0</v>
      </c>
      <c r="D28" s="0" t="n">
        <v>0</v>
      </c>
      <c r="E28" s="0" t="n">
        <v>0.176</v>
      </c>
      <c r="F28" s="0" t="n">
        <v>0.485</v>
      </c>
      <c r="G28" s="0" t="n">
        <v>85.8800000000001</v>
      </c>
      <c r="H28" s="0" t="n">
        <v>7.333</v>
      </c>
      <c r="I28" s="0" t="n">
        <v>3.294</v>
      </c>
      <c r="J28" s="0" t="n">
        <v>0.45</v>
      </c>
      <c r="K28" s="0" t="n">
        <v>1.099</v>
      </c>
      <c r="L28" s="0" t="n">
        <v>0.289</v>
      </c>
      <c r="M28" s="0" t="n">
        <v>0.349</v>
      </c>
      <c r="N28" s="0" t="n">
        <v>0.645</v>
      </c>
    </row>
    <row r="29" customFormat="false" ht="15" hidden="false" customHeight="false" outlineLevel="0" collapsed="false">
      <c r="A29" s="0" t="s">
        <v>52</v>
      </c>
      <c r="B29" s="0" t="s">
        <v>239</v>
      </c>
      <c r="C29" s="0" t="n">
        <v>14399.14</v>
      </c>
      <c r="D29" s="0" t="n">
        <v>20187.6</v>
      </c>
      <c r="E29" s="0" t="n">
        <v>0.243</v>
      </c>
      <c r="F29" s="0" t="n">
        <v>1.504</v>
      </c>
      <c r="G29" s="0" t="n">
        <v>71.375</v>
      </c>
      <c r="H29" s="0" t="n">
        <v>12.064</v>
      </c>
      <c r="I29" s="0" t="n">
        <v>7.833</v>
      </c>
      <c r="J29" s="0" t="n">
        <v>0.915</v>
      </c>
      <c r="K29" s="0" t="n">
        <v>2.986</v>
      </c>
      <c r="L29" s="0" t="n">
        <v>0.7</v>
      </c>
      <c r="M29" s="0" t="n">
        <v>0.774</v>
      </c>
      <c r="N29" s="0" t="n">
        <v>1.606</v>
      </c>
    </row>
    <row r="30" customFormat="false" ht="15" hidden="false" customHeight="false" outlineLevel="0" collapsed="false">
      <c r="A30" s="0" t="s">
        <v>53</v>
      </c>
      <c r="B30" s="0" t="s">
        <v>240</v>
      </c>
      <c r="C30" s="0" t="n">
        <v>29648.04</v>
      </c>
      <c r="D30" s="0" t="n">
        <v>46488.12</v>
      </c>
      <c r="E30" s="0" t="n">
        <v>0.325</v>
      </c>
      <c r="F30" s="0" t="n">
        <v>1.172</v>
      </c>
      <c r="G30" s="0" t="n">
        <v>64.336</v>
      </c>
      <c r="H30" s="0" t="n">
        <v>12.553</v>
      </c>
      <c r="I30" s="0" t="n">
        <v>9.966</v>
      </c>
      <c r="J30" s="0" t="n">
        <v>1.453</v>
      </c>
      <c r="K30" s="0" t="n">
        <v>5.08</v>
      </c>
      <c r="L30" s="0" t="n">
        <v>1.357</v>
      </c>
      <c r="M30" s="0" t="n">
        <v>1.744</v>
      </c>
      <c r="N30" s="0" t="n">
        <v>2.014</v>
      </c>
    </row>
    <row r="31" customFormat="false" ht="15" hidden="false" customHeight="false" outlineLevel="0" collapsed="false">
      <c r="A31" s="0" t="s">
        <v>54</v>
      </c>
      <c r="B31" s="0" t="s">
        <v>241</v>
      </c>
      <c r="C31" s="0" t="n">
        <v>786056.19</v>
      </c>
      <c r="D31" s="0" t="n">
        <v>1024231.22</v>
      </c>
      <c r="E31" s="0" t="n">
        <v>0.166</v>
      </c>
      <c r="F31" s="0" t="n">
        <v>0.738</v>
      </c>
      <c r="G31" s="0" t="n">
        <v>78.221</v>
      </c>
      <c r="H31" s="0" t="n">
        <v>11.027</v>
      </c>
      <c r="I31" s="0" t="n">
        <v>4.899</v>
      </c>
      <c r="J31" s="0" t="n">
        <v>0.811</v>
      </c>
      <c r="K31" s="0" t="n">
        <v>1.773</v>
      </c>
      <c r="L31" s="0" t="n">
        <v>0.5</v>
      </c>
      <c r="M31" s="0" t="n">
        <v>0.572</v>
      </c>
      <c r="N31" s="0" t="n">
        <v>1.293</v>
      </c>
    </row>
    <row r="32" customFormat="false" ht="15" hidden="false" customHeight="false" outlineLevel="0" collapsed="false">
      <c r="A32" s="0" t="s">
        <v>55</v>
      </c>
      <c r="B32" s="0" t="s">
        <v>242</v>
      </c>
      <c r="C32" s="0" t="n">
        <v>0</v>
      </c>
      <c r="D32" s="0" t="n">
        <v>0</v>
      </c>
      <c r="E32" s="0" t="n">
        <v>0.101</v>
      </c>
      <c r="F32" s="0" t="n">
        <v>0.827000000000001</v>
      </c>
      <c r="G32" s="0" t="n">
        <v>78.631</v>
      </c>
      <c r="H32" s="0" t="n">
        <v>11.052</v>
      </c>
      <c r="I32" s="0" t="n">
        <v>4.952</v>
      </c>
      <c r="J32" s="0" t="n">
        <v>0.774000000000001</v>
      </c>
      <c r="K32" s="0" t="n">
        <v>1.717</v>
      </c>
      <c r="L32" s="0" t="n">
        <v>0.462</v>
      </c>
      <c r="M32" s="0" t="n">
        <v>0.514</v>
      </c>
      <c r="N32" s="0" t="n">
        <v>0.969999999999999</v>
      </c>
    </row>
    <row r="33" customFormat="false" ht="15" hidden="false" customHeight="false" outlineLevel="0" collapsed="false">
      <c r="A33" s="0" t="s">
        <v>56</v>
      </c>
      <c r="B33" s="0" t="s">
        <v>243</v>
      </c>
      <c r="C33" s="0" t="n">
        <v>325254.55</v>
      </c>
      <c r="D33" s="0" t="n">
        <v>417952.1</v>
      </c>
      <c r="E33" s="0" t="n">
        <v>0.101</v>
      </c>
      <c r="F33" s="0" t="n">
        <v>0.827</v>
      </c>
      <c r="G33" s="0" t="n">
        <v>78.631</v>
      </c>
      <c r="H33" s="0" t="n">
        <v>11.052</v>
      </c>
      <c r="I33" s="0" t="n">
        <v>4.952</v>
      </c>
      <c r="J33" s="0" t="n">
        <v>0.774</v>
      </c>
      <c r="K33" s="0" t="n">
        <v>1.717</v>
      </c>
      <c r="L33" s="0" t="n">
        <v>0.462</v>
      </c>
      <c r="M33" s="0" t="n">
        <v>0.514</v>
      </c>
      <c r="N33" s="0" t="n">
        <v>0.97</v>
      </c>
    </row>
    <row r="34" customFormat="false" ht="15" hidden="false" customHeight="false" outlineLevel="0" collapsed="false">
      <c r="A34" s="0" t="s">
        <v>57</v>
      </c>
      <c r="B34" s="0" t="s">
        <v>244</v>
      </c>
      <c r="C34" s="0" t="n">
        <v>166498.74</v>
      </c>
      <c r="D34" s="0" t="n">
        <v>223957.45</v>
      </c>
      <c r="E34" s="0" t="n">
        <v>0.223</v>
      </c>
      <c r="F34" s="0" t="n">
        <v>1.091</v>
      </c>
      <c r="G34" s="0" t="n">
        <v>74.099</v>
      </c>
      <c r="H34" s="0" t="n">
        <v>12.49</v>
      </c>
      <c r="I34" s="0" t="n">
        <v>6.532</v>
      </c>
      <c r="J34" s="0" t="n">
        <v>0.929</v>
      </c>
      <c r="K34" s="0" t="n">
        <v>2.237</v>
      </c>
      <c r="L34" s="0" t="n">
        <v>0.568</v>
      </c>
      <c r="M34" s="0" t="n">
        <v>0.64</v>
      </c>
      <c r="N34" s="0" t="n">
        <v>1.191</v>
      </c>
    </row>
    <row r="35" customFormat="false" ht="15" hidden="false" customHeight="false" outlineLevel="0" collapsed="false">
      <c r="A35" s="0" t="s">
        <v>58</v>
      </c>
      <c r="B35" s="0" t="s">
        <v>245</v>
      </c>
      <c r="C35" s="0" t="n">
        <v>397018.39</v>
      </c>
      <c r="D35" s="0" t="n">
        <v>508977.57</v>
      </c>
      <c r="E35" s="0" t="n">
        <v>0.149</v>
      </c>
      <c r="F35" s="0" t="n">
        <v>0.795</v>
      </c>
      <c r="G35" s="0" t="n">
        <v>78.823</v>
      </c>
      <c r="H35" s="0" t="n">
        <v>11.069</v>
      </c>
      <c r="I35" s="0" t="n">
        <v>4.789</v>
      </c>
      <c r="J35" s="0" t="n">
        <v>0.759</v>
      </c>
      <c r="K35" s="0" t="n">
        <v>1.644</v>
      </c>
      <c r="L35" s="0" t="n">
        <v>0.446</v>
      </c>
      <c r="M35" s="0" t="n">
        <v>0.499</v>
      </c>
      <c r="N35" s="0" t="n">
        <v>1.027</v>
      </c>
    </row>
    <row r="36" customFormat="false" ht="15" hidden="false" customHeight="false" outlineLevel="0" collapsed="false">
      <c r="A36" s="0" t="s">
        <v>59</v>
      </c>
      <c r="B36" s="0" t="s">
        <v>246</v>
      </c>
      <c r="C36" s="0" t="n">
        <v>287535.81</v>
      </c>
      <c r="D36" s="0" t="n">
        <v>366895.69</v>
      </c>
      <c r="E36" s="0" t="n">
        <v>0.088</v>
      </c>
      <c r="F36" s="0" t="n">
        <v>0.898</v>
      </c>
      <c r="G36" s="0" t="n">
        <v>79.584</v>
      </c>
      <c r="H36" s="0" t="n">
        <v>10.505</v>
      </c>
      <c r="I36" s="0" t="n">
        <v>4.499</v>
      </c>
      <c r="J36" s="0" t="n">
        <v>0.745</v>
      </c>
      <c r="K36" s="0" t="n">
        <v>1.574</v>
      </c>
      <c r="L36" s="0" t="n">
        <v>0.486</v>
      </c>
      <c r="M36" s="0" t="n">
        <v>0.516</v>
      </c>
      <c r="N36" s="0" t="n">
        <v>1.105</v>
      </c>
    </row>
    <row r="37" customFormat="false" ht="15" hidden="false" customHeight="false" outlineLevel="0" collapsed="false">
      <c r="A37" s="0" t="s">
        <v>60</v>
      </c>
      <c r="B37" s="0" t="s">
        <v>247</v>
      </c>
      <c r="C37" s="0" t="n">
        <v>260982.1</v>
      </c>
      <c r="D37" s="0" t="n">
        <v>327271.55</v>
      </c>
      <c r="E37" s="0" t="n">
        <v>0.212</v>
      </c>
      <c r="F37" s="0" t="n">
        <v>0.924</v>
      </c>
      <c r="G37" s="0" t="n">
        <v>79.81</v>
      </c>
      <c r="H37" s="0" t="n">
        <v>10.702</v>
      </c>
      <c r="I37" s="0" t="n">
        <v>4.62</v>
      </c>
      <c r="J37" s="0" t="n">
        <v>0.685</v>
      </c>
      <c r="K37" s="0" t="n">
        <v>1.487</v>
      </c>
      <c r="L37" s="0" t="n">
        <v>0.381</v>
      </c>
      <c r="M37" s="0" t="n">
        <v>0.416</v>
      </c>
      <c r="N37" s="0" t="n">
        <v>0.763</v>
      </c>
    </row>
    <row r="38" customFormat="false" ht="15" hidden="false" customHeight="false" outlineLevel="0" collapsed="false">
      <c r="A38" s="0" t="s">
        <v>61</v>
      </c>
      <c r="B38" s="0" t="s">
        <v>248</v>
      </c>
      <c r="C38" s="0" t="n">
        <v>390995.13</v>
      </c>
      <c r="D38" s="0" t="n">
        <v>514119.49</v>
      </c>
      <c r="E38" s="0" t="n">
        <v>0.165</v>
      </c>
      <c r="F38" s="0" t="n">
        <v>0.866</v>
      </c>
      <c r="G38" s="0" t="n">
        <v>77.195</v>
      </c>
      <c r="H38" s="0" t="n">
        <v>11.392</v>
      </c>
      <c r="I38" s="0" t="n">
        <v>5.235</v>
      </c>
      <c r="J38" s="0" t="n">
        <v>0.841</v>
      </c>
      <c r="K38" s="0" t="n">
        <v>1.873</v>
      </c>
      <c r="L38" s="0" t="n">
        <v>0.515</v>
      </c>
      <c r="M38" s="0" t="n">
        <v>0.59</v>
      </c>
      <c r="N38" s="0" t="n">
        <v>1.328</v>
      </c>
    </row>
    <row r="39" customFormat="false" ht="15" hidden="false" customHeight="false" outlineLevel="0" collapsed="false">
      <c r="A39" s="0" t="s">
        <v>62</v>
      </c>
      <c r="B39" s="0" t="s">
        <v>249</v>
      </c>
      <c r="C39" s="0" t="n">
        <v>475522.56</v>
      </c>
      <c r="D39" s="0" t="n">
        <v>625264.62</v>
      </c>
      <c r="E39" s="0" t="n">
        <v>0.165</v>
      </c>
      <c r="F39" s="0" t="n">
        <v>0.866</v>
      </c>
      <c r="G39" s="0" t="n">
        <v>77.195</v>
      </c>
      <c r="H39" s="0" t="n">
        <v>11.392</v>
      </c>
      <c r="I39" s="0" t="n">
        <v>5.235</v>
      </c>
      <c r="J39" s="0" t="n">
        <v>0.841</v>
      </c>
      <c r="K39" s="0" t="n">
        <v>1.873</v>
      </c>
      <c r="L39" s="0" t="n">
        <v>0.515</v>
      </c>
      <c r="M39" s="0" t="n">
        <v>0.59</v>
      </c>
      <c r="N39" s="0" t="n">
        <v>1.328</v>
      </c>
    </row>
    <row r="40" customFormat="false" ht="15" hidden="false" customHeight="false" outlineLevel="0" collapsed="false">
      <c r="A40" s="0" t="s">
        <v>63</v>
      </c>
      <c r="B40" s="0" t="s">
        <v>250</v>
      </c>
      <c r="C40" s="0" t="n">
        <v>131921.42</v>
      </c>
      <c r="D40" s="0" t="n">
        <v>167935.97</v>
      </c>
      <c r="E40" s="0" t="n">
        <v>0.109</v>
      </c>
      <c r="F40" s="0" t="n">
        <v>1.045</v>
      </c>
      <c r="G40" s="0" t="n">
        <v>78.009</v>
      </c>
      <c r="H40" s="0" t="n">
        <v>11.578</v>
      </c>
      <c r="I40" s="0" t="n">
        <v>5.413</v>
      </c>
      <c r="J40" s="0" t="n">
        <v>0.759</v>
      </c>
      <c r="K40" s="0" t="n">
        <v>1.676</v>
      </c>
      <c r="L40" s="0" t="n">
        <v>0.371</v>
      </c>
      <c r="M40" s="0" t="n">
        <v>0.399</v>
      </c>
      <c r="N40" s="0" t="n">
        <v>0.641</v>
      </c>
    </row>
    <row r="41" customFormat="false" ht="15" hidden="false" customHeight="false" outlineLevel="0" collapsed="false">
      <c r="A41" s="0" t="s">
        <v>64</v>
      </c>
      <c r="B41" s="0" t="s">
        <v>251</v>
      </c>
      <c r="C41" s="0" t="n">
        <v>522485.52</v>
      </c>
      <c r="D41" s="0" t="n">
        <v>668258.98</v>
      </c>
      <c r="E41" s="0" t="n">
        <v>0.179</v>
      </c>
      <c r="F41" s="0" t="n">
        <v>0.802</v>
      </c>
      <c r="G41" s="0" t="n">
        <v>78.54</v>
      </c>
      <c r="H41" s="0" t="n">
        <v>11.158</v>
      </c>
      <c r="I41" s="0" t="n">
        <v>5.019</v>
      </c>
      <c r="J41" s="0" t="n">
        <v>0.807</v>
      </c>
      <c r="K41" s="0" t="n">
        <v>1.755</v>
      </c>
      <c r="L41" s="0" t="n">
        <v>0.475</v>
      </c>
      <c r="M41" s="0" t="n">
        <v>0.539</v>
      </c>
      <c r="N41" s="0" t="n">
        <v>0.726</v>
      </c>
    </row>
    <row r="42" customFormat="false" ht="15" hidden="false" customHeight="false" outlineLevel="0" collapsed="false">
      <c r="A42" s="0" t="s">
        <v>65</v>
      </c>
      <c r="B42" s="0" t="s">
        <v>252</v>
      </c>
      <c r="C42" s="0" t="n">
        <v>84015.9</v>
      </c>
      <c r="D42" s="0" t="n">
        <v>103843.65</v>
      </c>
      <c r="E42" s="0" t="n">
        <v>0.096</v>
      </c>
      <c r="F42" s="0" t="n">
        <v>0.736</v>
      </c>
      <c r="G42" s="0" t="n">
        <v>81.238</v>
      </c>
      <c r="H42" s="0" t="n">
        <v>10.675</v>
      </c>
      <c r="I42" s="0" t="n">
        <v>3.984</v>
      </c>
      <c r="J42" s="0" t="n">
        <v>0.643</v>
      </c>
      <c r="K42" s="0" t="n">
        <v>1.174</v>
      </c>
      <c r="L42" s="0" t="n">
        <v>0.34</v>
      </c>
      <c r="M42" s="0" t="n">
        <v>0.357</v>
      </c>
      <c r="N42" s="0" t="n">
        <v>0.757</v>
      </c>
    </row>
    <row r="43" customFormat="false" ht="15" hidden="false" customHeight="false" outlineLevel="0" collapsed="false">
      <c r="A43" s="0" t="s">
        <v>66</v>
      </c>
      <c r="B43" s="0" t="s">
        <v>253</v>
      </c>
      <c r="C43" s="0" t="n">
        <v>0</v>
      </c>
      <c r="D43" s="0" t="n">
        <v>0</v>
      </c>
      <c r="E43" s="0" t="n">
        <v>0.132</v>
      </c>
      <c r="F43" s="0" t="n">
        <v>0.923000000000001</v>
      </c>
      <c r="G43" s="0" t="n">
        <v>81.04</v>
      </c>
      <c r="H43" s="0" t="n">
        <v>10.067</v>
      </c>
      <c r="I43" s="0" t="n">
        <v>3.911</v>
      </c>
      <c r="J43" s="0" t="n">
        <v>0.559</v>
      </c>
      <c r="K43" s="0" t="n">
        <v>1.238</v>
      </c>
      <c r="L43" s="0" t="n">
        <v>0.338</v>
      </c>
      <c r="M43" s="0" t="n">
        <v>0.403</v>
      </c>
      <c r="N43" s="0" t="n">
        <v>1.389</v>
      </c>
    </row>
    <row r="44" customFormat="false" ht="15" hidden="false" customHeight="false" outlineLevel="0" collapsed="false">
      <c r="A44" s="0" t="s">
        <v>67</v>
      </c>
      <c r="B44" s="0" t="s">
        <v>254</v>
      </c>
      <c r="C44" s="0" t="n">
        <v>0</v>
      </c>
      <c r="D44" s="0" t="n">
        <v>0</v>
      </c>
      <c r="E44" s="0" t="n">
        <v>0.18</v>
      </c>
      <c r="F44" s="0" t="n">
        <v>0.631</v>
      </c>
      <c r="G44" s="0" t="n">
        <v>85.971</v>
      </c>
      <c r="H44" s="0" t="n">
        <v>7.221</v>
      </c>
      <c r="I44" s="0" t="n">
        <v>3.24</v>
      </c>
      <c r="J44" s="0" t="n">
        <v>0.432</v>
      </c>
      <c r="K44" s="0" t="n">
        <v>1.094</v>
      </c>
      <c r="L44" s="0" t="n">
        <v>0.289</v>
      </c>
      <c r="M44" s="0" t="n">
        <v>0.353</v>
      </c>
      <c r="N44" s="0" t="n">
        <v>0.589</v>
      </c>
    </row>
    <row r="45" customFormat="false" ht="15" hidden="false" customHeight="false" outlineLevel="0" collapsed="false">
      <c r="A45" s="0" t="s">
        <v>68</v>
      </c>
      <c r="B45" s="0" t="s">
        <v>255</v>
      </c>
      <c r="C45" s="0" t="n">
        <v>374548.34</v>
      </c>
      <c r="D45" s="0" t="n">
        <v>443090.69</v>
      </c>
      <c r="E45" s="0" t="n">
        <v>0.18</v>
      </c>
      <c r="F45" s="0" t="n">
        <v>0.631</v>
      </c>
      <c r="G45" s="0" t="n">
        <v>85.971</v>
      </c>
      <c r="H45" s="0" t="n">
        <v>7.221</v>
      </c>
      <c r="I45" s="0" t="n">
        <v>3.24</v>
      </c>
      <c r="J45" s="0" t="n">
        <v>0.432</v>
      </c>
      <c r="K45" s="0" t="n">
        <v>1.094</v>
      </c>
      <c r="L45" s="0" t="n">
        <v>0.289</v>
      </c>
      <c r="M45" s="0" t="n">
        <v>0.353</v>
      </c>
      <c r="N45" s="0" t="n">
        <v>0.589</v>
      </c>
    </row>
    <row r="46" customFormat="false" ht="15" hidden="false" customHeight="false" outlineLevel="0" collapsed="false">
      <c r="A46" s="0" t="s">
        <v>69</v>
      </c>
      <c r="B46" s="0" t="s">
        <v>256</v>
      </c>
      <c r="C46" s="0" t="n">
        <v>70367.31</v>
      </c>
      <c r="D46" s="0" t="n">
        <v>85355.54</v>
      </c>
      <c r="E46" s="0" t="n">
        <v>0.419</v>
      </c>
      <c r="F46" s="0" t="n">
        <v>0.77</v>
      </c>
      <c r="G46" s="0" t="n">
        <v>82.547</v>
      </c>
      <c r="H46" s="0" t="n">
        <v>8.933</v>
      </c>
      <c r="I46" s="0" t="n">
        <v>4.244</v>
      </c>
      <c r="J46" s="0" t="n">
        <v>0.497</v>
      </c>
      <c r="K46" s="0" t="n">
        <v>1.429</v>
      </c>
      <c r="L46" s="0" t="n">
        <v>0.306</v>
      </c>
      <c r="M46" s="0" t="n">
        <v>0.393</v>
      </c>
      <c r="N46" s="0" t="n">
        <v>0.462</v>
      </c>
    </row>
    <row r="47" customFormat="false" ht="15" hidden="false" customHeight="false" outlineLevel="0" collapsed="false">
      <c r="A47" s="0" t="s">
        <v>70</v>
      </c>
      <c r="B47" s="0" t="s">
        <v>257</v>
      </c>
      <c r="C47" s="0" t="n">
        <v>24409.81</v>
      </c>
      <c r="D47" s="0" t="n">
        <v>29755.56</v>
      </c>
      <c r="E47" s="0" t="n">
        <v>0.226</v>
      </c>
      <c r="F47" s="0" t="n">
        <v>0.596</v>
      </c>
      <c r="G47" s="0" t="n">
        <v>84.175</v>
      </c>
      <c r="H47" s="0" t="n">
        <v>7.74</v>
      </c>
      <c r="I47" s="0" t="n">
        <v>3.77</v>
      </c>
      <c r="J47" s="0" t="n">
        <v>0.51</v>
      </c>
      <c r="K47" s="0" t="n">
        <v>1.289</v>
      </c>
      <c r="L47" s="0" t="n">
        <v>0.342</v>
      </c>
      <c r="M47" s="0" t="n">
        <v>0.414</v>
      </c>
      <c r="N47" s="0" t="n">
        <v>0.938</v>
      </c>
    </row>
    <row r="48" customFormat="false" ht="15" hidden="false" customHeight="false" outlineLevel="0" collapsed="false">
      <c r="A48" s="0" t="s">
        <v>71</v>
      </c>
      <c r="B48" s="0" t="s">
        <v>258</v>
      </c>
      <c r="C48" s="0" t="n">
        <v>45054.18</v>
      </c>
      <c r="D48" s="0" t="n">
        <v>55281.48</v>
      </c>
      <c r="E48" s="0" t="n">
        <v>0.121</v>
      </c>
      <c r="F48" s="0" t="n">
        <v>0.673</v>
      </c>
      <c r="G48" s="0" t="n">
        <v>84.205</v>
      </c>
      <c r="H48" s="0" t="n">
        <v>7.615</v>
      </c>
      <c r="I48" s="0" t="n">
        <v>3.665</v>
      </c>
      <c r="J48" s="0" t="n">
        <v>0.5</v>
      </c>
      <c r="K48" s="0" t="n">
        <v>1.279</v>
      </c>
      <c r="L48" s="0" t="n">
        <v>0.353</v>
      </c>
      <c r="M48" s="0" t="n">
        <v>0.431</v>
      </c>
      <c r="N48" s="0" t="n">
        <v>1.158</v>
      </c>
    </row>
    <row r="49" customFormat="false" ht="15" hidden="false" customHeight="false" outlineLevel="0" collapsed="false">
      <c r="A49" s="0" t="s">
        <v>72</v>
      </c>
      <c r="B49" s="0" t="s">
        <v>259</v>
      </c>
      <c r="C49" s="0" t="n">
        <v>300611.73</v>
      </c>
      <c r="D49" s="0" t="n">
        <v>365543.87</v>
      </c>
      <c r="E49" s="0" t="n">
        <v>0.182</v>
      </c>
      <c r="F49" s="0" t="n">
        <v>0.667</v>
      </c>
      <c r="G49" s="0" t="n">
        <v>84.115</v>
      </c>
      <c r="H49" s="0" t="n">
        <v>7.703</v>
      </c>
      <c r="I49" s="0" t="n">
        <v>3.801</v>
      </c>
      <c r="J49" s="0" t="n">
        <v>0.53</v>
      </c>
      <c r="K49" s="0" t="n">
        <v>1.449</v>
      </c>
      <c r="L49" s="0" t="n">
        <v>0.406</v>
      </c>
      <c r="M49" s="0" t="n">
        <v>0.511</v>
      </c>
      <c r="N49" s="0" t="n">
        <v>0.636</v>
      </c>
    </row>
    <row r="50" customFormat="false" ht="15" hidden="false" customHeight="false" outlineLevel="0" collapsed="false">
      <c r="A50" s="0" t="s">
        <v>73</v>
      </c>
      <c r="B50" s="0" t="s">
        <v>260</v>
      </c>
      <c r="C50" s="0" t="n">
        <v>187564.33</v>
      </c>
      <c r="D50" s="0" t="n">
        <v>235768.36</v>
      </c>
      <c r="E50" s="0" t="n">
        <v>0.412</v>
      </c>
      <c r="F50" s="0" t="n">
        <v>1.991</v>
      </c>
      <c r="G50" s="0" t="n">
        <v>79.423</v>
      </c>
      <c r="H50" s="0" t="n">
        <v>8.872</v>
      </c>
      <c r="I50" s="0" t="n">
        <v>4.711</v>
      </c>
      <c r="J50" s="0" t="n">
        <v>0.606</v>
      </c>
      <c r="K50" s="0" t="n">
        <v>1.747</v>
      </c>
      <c r="L50" s="0" t="n">
        <v>0.53</v>
      </c>
      <c r="M50" s="0" t="n">
        <v>0.577</v>
      </c>
      <c r="N50" s="0" t="n">
        <v>1.131</v>
      </c>
    </row>
    <row r="51" customFormat="false" ht="15" hidden="false" customHeight="false" outlineLevel="0" collapsed="false">
      <c r="A51" s="0" t="s">
        <v>74</v>
      </c>
      <c r="B51" s="0" t="s">
        <v>261</v>
      </c>
      <c r="C51" s="0" t="n">
        <v>425503.15</v>
      </c>
      <c r="D51" s="0" t="n">
        <v>574003.75</v>
      </c>
      <c r="E51" s="0" t="n">
        <v>0.714</v>
      </c>
      <c r="F51" s="0" t="n">
        <v>1.323</v>
      </c>
      <c r="G51" s="0" t="n">
        <v>71.66</v>
      </c>
      <c r="H51" s="0" t="n">
        <v>12.662</v>
      </c>
      <c r="I51" s="0" t="n">
        <v>8.253</v>
      </c>
      <c r="J51" s="0" t="n">
        <v>0.986</v>
      </c>
      <c r="K51" s="0" t="n">
        <v>2.889</v>
      </c>
      <c r="L51" s="0" t="n">
        <v>0.538</v>
      </c>
      <c r="M51" s="0" t="n">
        <v>0.574</v>
      </c>
      <c r="N51" s="0" t="n">
        <v>0.401</v>
      </c>
    </row>
    <row r="52" customFormat="false" ht="15" hidden="false" customHeight="false" outlineLevel="0" collapsed="false">
      <c r="A52" s="0" t="s">
        <v>75</v>
      </c>
      <c r="B52" s="0" t="s">
        <v>262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100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</row>
    <row r="53" customFormat="false" ht="15" hidden="false" customHeight="false" outlineLevel="0" collapsed="false">
      <c r="A53" s="0" t="s">
        <v>76</v>
      </c>
      <c r="B53" s="0" t="s">
        <v>263</v>
      </c>
      <c r="C53" s="0" t="n">
        <v>226763.72</v>
      </c>
      <c r="D53" s="0" t="n">
        <v>279599.66</v>
      </c>
      <c r="E53" s="0" t="n">
        <v>1.455</v>
      </c>
      <c r="F53" s="0" t="n">
        <v>1.173</v>
      </c>
      <c r="G53" s="0" t="n">
        <v>78.171</v>
      </c>
      <c r="H53" s="0" t="n">
        <v>10.944</v>
      </c>
      <c r="I53" s="0" t="n">
        <v>4.824</v>
      </c>
      <c r="J53" s="0" t="n">
        <v>0.675</v>
      </c>
      <c r="K53" s="0" t="n">
        <v>1.477</v>
      </c>
      <c r="L53" s="0" t="n">
        <v>0.355</v>
      </c>
      <c r="M53" s="0" t="n">
        <v>0.375</v>
      </c>
      <c r="N53" s="0" t="n">
        <v>0.551</v>
      </c>
    </row>
    <row r="54" customFormat="false" ht="15" hidden="false" customHeight="false" outlineLevel="0" collapsed="false">
      <c r="A54" s="0" t="s">
        <v>77</v>
      </c>
      <c r="B54" s="0" t="s">
        <v>264</v>
      </c>
      <c r="C54" s="0" t="n">
        <v>51042.07</v>
      </c>
      <c r="D54" s="0" t="n">
        <v>72326.62</v>
      </c>
      <c r="E54" s="0" t="n">
        <v>0.35</v>
      </c>
      <c r="F54" s="0" t="n">
        <v>1.262</v>
      </c>
      <c r="G54" s="0" t="n">
        <v>69.271</v>
      </c>
      <c r="H54" s="0" t="n">
        <v>13.537</v>
      </c>
      <c r="I54" s="0" t="n">
        <v>8.904</v>
      </c>
      <c r="J54" s="0" t="n">
        <v>0.965</v>
      </c>
      <c r="K54" s="0" t="n">
        <v>3.087</v>
      </c>
      <c r="L54" s="0" t="n">
        <v>0.627</v>
      </c>
      <c r="M54" s="0" t="n">
        <v>0.732</v>
      </c>
      <c r="N54" s="0" t="n">
        <v>1.265</v>
      </c>
    </row>
    <row r="55" customFormat="false" ht="15" hidden="false" customHeight="false" outlineLevel="0" collapsed="false">
      <c r="A55" s="0" t="s">
        <v>78</v>
      </c>
      <c r="B55" s="0" t="s">
        <v>265</v>
      </c>
      <c r="C55" s="0" t="n">
        <v>23172.18</v>
      </c>
      <c r="D55" s="0" t="n">
        <v>35036.33</v>
      </c>
      <c r="E55" s="0" t="n">
        <v>0.386</v>
      </c>
      <c r="F55" s="0" t="n">
        <v>1.243</v>
      </c>
      <c r="G55" s="0" t="n">
        <v>66.996</v>
      </c>
      <c r="H55" s="0" t="n">
        <v>12.796</v>
      </c>
      <c r="I55" s="0" t="n">
        <v>9.021</v>
      </c>
      <c r="J55" s="0" t="n">
        <v>1.124</v>
      </c>
      <c r="K55" s="0" t="n">
        <v>3.668</v>
      </c>
      <c r="L55" s="0" t="n">
        <v>0.902</v>
      </c>
      <c r="M55" s="0" t="n">
        <v>1.16</v>
      </c>
      <c r="N55" s="0" t="n">
        <v>2.704</v>
      </c>
    </row>
    <row r="56" customFormat="false" ht="15" hidden="false" customHeight="false" outlineLevel="0" collapsed="false">
      <c r="A56" s="0" t="s">
        <v>79</v>
      </c>
      <c r="B56" s="0" t="s">
        <v>266</v>
      </c>
      <c r="C56" s="0" t="n">
        <v>164470.78</v>
      </c>
      <c r="D56" s="0" t="n">
        <v>231081.44</v>
      </c>
      <c r="E56" s="0" t="n">
        <v>0.452</v>
      </c>
      <c r="F56" s="0" t="n">
        <v>1.557</v>
      </c>
      <c r="G56" s="0" t="n">
        <v>68.605</v>
      </c>
      <c r="H56" s="0" t="n">
        <v>13.605</v>
      </c>
      <c r="I56" s="0" t="n">
        <v>9.30300000000001</v>
      </c>
      <c r="J56" s="0" t="n">
        <v>1.09</v>
      </c>
      <c r="K56" s="0" t="n">
        <v>3.269</v>
      </c>
      <c r="L56" s="0" t="n">
        <v>0.677</v>
      </c>
      <c r="M56" s="0" t="n">
        <v>0.726</v>
      </c>
      <c r="N56" s="0" t="n">
        <v>0.716</v>
      </c>
    </row>
    <row r="57" customFormat="false" ht="15" hidden="false" customHeight="false" outlineLevel="0" collapsed="false">
      <c r="A57" s="0" t="s">
        <v>80</v>
      </c>
      <c r="B57" s="0" t="s">
        <v>267</v>
      </c>
      <c r="C57" s="0" t="n">
        <v>17299.87</v>
      </c>
      <c r="D57" s="0" t="n">
        <v>23960.32</v>
      </c>
      <c r="E57" s="0" t="n">
        <v>0.67</v>
      </c>
      <c r="F57" s="0" t="n">
        <v>1.207</v>
      </c>
      <c r="G57" s="0" t="n">
        <v>69.703</v>
      </c>
      <c r="H57" s="0" t="n">
        <v>13.688</v>
      </c>
      <c r="I57" s="0" t="n">
        <v>8.957</v>
      </c>
      <c r="J57" s="0" t="n">
        <v>0.956</v>
      </c>
      <c r="K57" s="0" t="n">
        <v>2.885</v>
      </c>
      <c r="L57" s="0" t="n">
        <v>0.548</v>
      </c>
      <c r="M57" s="0" t="n">
        <v>0.611</v>
      </c>
      <c r="N57" s="0" t="n">
        <v>0.775</v>
      </c>
    </row>
    <row r="58" customFormat="false" ht="15" hidden="false" customHeight="false" outlineLevel="0" collapsed="false">
      <c r="A58" s="0" t="s">
        <v>81</v>
      </c>
      <c r="B58" s="0" t="s">
        <v>268</v>
      </c>
      <c r="C58" s="0" t="n">
        <v>93835.16</v>
      </c>
      <c r="D58" s="0" t="n">
        <v>137843.85</v>
      </c>
      <c r="E58" s="0" t="n">
        <v>0.674</v>
      </c>
      <c r="F58" s="0" t="n">
        <v>1.324</v>
      </c>
      <c r="G58" s="0" t="n">
        <v>67.68</v>
      </c>
      <c r="H58" s="0" t="n">
        <v>13.238</v>
      </c>
      <c r="I58" s="0" t="n">
        <v>8.748</v>
      </c>
      <c r="J58" s="0" t="n">
        <v>1.033</v>
      </c>
      <c r="K58" s="0" t="n">
        <v>3.276</v>
      </c>
      <c r="L58" s="0" t="n">
        <v>0.778</v>
      </c>
      <c r="M58" s="0" t="n">
        <v>0.912</v>
      </c>
      <c r="N58" s="0" t="n">
        <v>2.337</v>
      </c>
    </row>
    <row r="59" customFormat="false" ht="15" hidden="false" customHeight="false" outlineLevel="0" collapsed="false">
      <c r="A59" s="0" t="s">
        <v>82</v>
      </c>
      <c r="B59" s="0" t="s">
        <v>269</v>
      </c>
      <c r="C59" s="0" t="n">
        <v>135025.2</v>
      </c>
      <c r="D59" s="0" t="n">
        <v>181203.81</v>
      </c>
      <c r="E59" s="0" t="n">
        <v>0.231</v>
      </c>
      <c r="F59" s="0" t="n">
        <v>0.898</v>
      </c>
      <c r="G59" s="0" t="n">
        <v>77.321</v>
      </c>
      <c r="H59" s="0" t="n">
        <v>9.42</v>
      </c>
      <c r="I59" s="0" t="n">
        <v>6.01</v>
      </c>
      <c r="J59" s="0" t="n">
        <v>0.761</v>
      </c>
      <c r="K59" s="0" t="n">
        <v>2.32</v>
      </c>
      <c r="L59" s="0" t="n">
        <v>0.588</v>
      </c>
      <c r="M59" s="0" t="n">
        <v>0.705</v>
      </c>
      <c r="N59" s="0" t="n">
        <v>1.746</v>
      </c>
    </row>
    <row r="60" customFormat="false" ht="15" hidden="false" customHeight="false" outlineLevel="0" collapsed="false">
      <c r="A60" s="0" t="s">
        <v>83</v>
      </c>
      <c r="B60" s="0" t="s">
        <v>270</v>
      </c>
      <c r="C60" s="0" t="n">
        <v>62525.86</v>
      </c>
      <c r="D60" s="0" t="n">
        <v>81971.41</v>
      </c>
      <c r="E60" s="0" t="n">
        <v>0.117</v>
      </c>
      <c r="F60" s="0" t="n">
        <v>1.02</v>
      </c>
      <c r="G60" s="0" t="n">
        <v>75.73</v>
      </c>
      <c r="H60" s="0" t="n">
        <v>12.299</v>
      </c>
      <c r="I60" s="0" t="n">
        <v>6.199</v>
      </c>
      <c r="J60" s="0" t="n">
        <v>0.854</v>
      </c>
      <c r="K60" s="0" t="n">
        <v>2.076</v>
      </c>
      <c r="L60" s="0" t="n">
        <v>0.475</v>
      </c>
      <c r="M60" s="0" t="n">
        <v>0.54</v>
      </c>
      <c r="N60" s="0" t="n">
        <v>0.69</v>
      </c>
    </row>
    <row r="61" customFormat="false" ht="15" hidden="false" customHeight="false" outlineLevel="0" collapsed="false">
      <c r="A61" s="0" t="s">
        <v>84</v>
      </c>
      <c r="B61" s="0" t="s">
        <v>271</v>
      </c>
      <c r="C61" s="0" t="n">
        <v>66780.48</v>
      </c>
      <c r="D61" s="0" t="n">
        <v>93559.45</v>
      </c>
      <c r="E61" s="0" t="n">
        <v>0.534</v>
      </c>
      <c r="F61" s="0" t="n">
        <v>0.769</v>
      </c>
      <c r="G61" s="0" t="n">
        <v>70.478</v>
      </c>
      <c r="H61" s="0" t="n">
        <v>14.337</v>
      </c>
      <c r="I61" s="0" t="n">
        <v>7.781</v>
      </c>
      <c r="J61" s="0" t="n">
        <v>0.784</v>
      </c>
      <c r="K61" s="0" t="n">
        <v>2.504</v>
      </c>
      <c r="L61" s="0" t="n">
        <v>0.516</v>
      </c>
      <c r="M61" s="0" t="n">
        <v>0.772</v>
      </c>
      <c r="N61" s="0" t="n">
        <v>1.525</v>
      </c>
    </row>
    <row r="62" customFormat="false" ht="15" hidden="false" customHeight="false" outlineLevel="0" collapsed="false">
      <c r="A62" s="0" t="s">
        <v>85</v>
      </c>
      <c r="B62" s="0" t="s">
        <v>272</v>
      </c>
      <c r="C62" s="0" t="n">
        <v>399850.83</v>
      </c>
      <c r="D62" s="0" t="n">
        <v>554593.09</v>
      </c>
      <c r="E62" s="0" t="n">
        <v>0.092</v>
      </c>
      <c r="F62" s="0" t="n">
        <v>0.82</v>
      </c>
      <c r="G62" s="0" t="n">
        <v>73.125</v>
      </c>
      <c r="H62" s="0" t="n">
        <v>12.76</v>
      </c>
      <c r="I62" s="0" t="n">
        <v>6.744</v>
      </c>
      <c r="J62" s="0" t="n">
        <v>0.988</v>
      </c>
      <c r="K62" s="0" t="n">
        <v>2.458</v>
      </c>
      <c r="L62" s="0" t="n">
        <v>0.618</v>
      </c>
      <c r="M62" s="0" t="n">
        <v>0.766</v>
      </c>
      <c r="N62" s="0" t="n">
        <v>1.629</v>
      </c>
    </row>
    <row r="63" customFormat="false" ht="15" hidden="false" customHeight="false" outlineLevel="0" collapsed="false">
      <c r="A63" s="0" t="s">
        <v>273</v>
      </c>
      <c r="B63" s="0" t="s">
        <v>274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100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</row>
    <row r="64" customFormat="false" ht="15" hidden="false" customHeight="false" outlineLevel="0" collapsed="false">
      <c r="A64" s="0" t="s">
        <v>94</v>
      </c>
      <c r="B64" s="0" t="s">
        <v>275</v>
      </c>
      <c r="C64" s="0" t="n">
        <v>0</v>
      </c>
      <c r="D64" s="0" t="n">
        <v>0</v>
      </c>
      <c r="E64" s="0" t="n">
        <v>0.121</v>
      </c>
      <c r="F64" s="0" t="n">
        <v>0.673000000000001</v>
      </c>
      <c r="G64" s="0" t="n">
        <v>84.2049999999999</v>
      </c>
      <c r="H64" s="0" t="n">
        <v>7.61500000000001</v>
      </c>
      <c r="I64" s="0" t="n">
        <v>3.665</v>
      </c>
      <c r="J64" s="0" t="n">
        <v>0.5</v>
      </c>
      <c r="K64" s="0" t="n">
        <v>1.279</v>
      </c>
      <c r="L64" s="0" t="n">
        <v>0.353</v>
      </c>
      <c r="M64" s="0" t="n">
        <v>0.431</v>
      </c>
      <c r="N64" s="0" t="n">
        <v>1.158</v>
      </c>
    </row>
    <row r="65" customFormat="false" ht="15" hidden="false" customHeight="false" outlineLevel="0" collapsed="false">
      <c r="A65" s="0" t="s">
        <v>95</v>
      </c>
      <c r="B65" s="0" t="s">
        <v>276</v>
      </c>
      <c r="C65" s="0" t="n">
        <v>262167.15</v>
      </c>
      <c r="D65" s="0" t="n">
        <v>326398.1</v>
      </c>
      <c r="E65" s="0" t="n">
        <v>0.169</v>
      </c>
      <c r="F65" s="0" t="n">
        <v>1.369</v>
      </c>
      <c r="G65" s="0" t="n">
        <v>79.224</v>
      </c>
      <c r="H65" s="0" t="n">
        <v>10.904</v>
      </c>
      <c r="I65" s="0" t="n">
        <v>4.714</v>
      </c>
      <c r="J65" s="0" t="n">
        <v>0.747</v>
      </c>
      <c r="K65" s="0" t="n">
        <v>1.59</v>
      </c>
      <c r="L65" s="0" t="n">
        <v>0.395</v>
      </c>
      <c r="M65" s="0" t="n">
        <v>0.426</v>
      </c>
      <c r="N65" s="0" t="n">
        <v>0.462</v>
      </c>
    </row>
    <row r="66" customFormat="false" ht="15" hidden="false" customHeight="false" outlineLevel="0" collapsed="false">
      <c r="A66" s="0" t="s">
        <v>277</v>
      </c>
      <c r="B66" s="0" t="s">
        <v>278</v>
      </c>
      <c r="C66" s="0" t="n">
        <v>0</v>
      </c>
      <c r="D66" s="0" t="n">
        <v>0</v>
      </c>
      <c r="E66" s="0" t="n">
        <v>0.231</v>
      </c>
      <c r="F66" s="0" t="n">
        <v>0.898</v>
      </c>
      <c r="G66" s="0" t="n">
        <v>77.3209999999999</v>
      </c>
      <c r="H66" s="0" t="n">
        <v>9.41999999999999</v>
      </c>
      <c r="I66" s="0" t="n">
        <v>6.01</v>
      </c>
      <c r="J66" s="0" t="n">
        <v>0.760999999999999</v>
      </c>
      <c r="K66" s="0" t="n">
        <v>2.32</v>
      </c>
      <c r="L66" s="0" t="n">
        <v>0.588000000000001</v>
      </c>
      <c r="M66" s="0" t="n">
        <v>0.705</v>
      </c>
      <c r="N66" s="0" t="n">
        <v>1.746</v>
      </c>
    </row>
    <row r="67" customFormat="false" ht="15" hidden="false" customHeight="false" outlineLevel="0" collapsed="false">
      <c r="A67" s="0" t="s">
        <v>279</v>
      </c>
      <c r="B67" s="0" t="s">
        <v>280</v>
      </c>
      <c r="C67" s="0" t="n">
        <v>0</v>
      </c>
      <c r="D67" s="0" t="n">
        <v>0</v>
      </c>
      <c r="E67" s="0" t="n">
        <v>0.101</v>
      </c>
      <c r="F67" s="0" t="n">
        <v>0.827000000000001</v>
      </c>
      <c r="G67" s="0" t="n">
        <v>78.631</v>
      </c>
      <c r="H67" s="0" t="n">
        <v>11.052</v>
      </c>
      <c r="I67" s="0" t="n">
        <v>4.952</v>
      </c>
      <c r="J67" s="0" t="n">
        <v>0.774000000000001</v>
      </c>
      <c r="K67" s="0" t="n">
        <v>1.717</v>
      </c>
      <c r="L67" s="0" t="n">
        <v>0.462</v>
      </c>
      <c r="M67" s="0" t="n">
        <v>0.514</v>
      </c>
      <c r="N67" s="0" t="n">
        <v>0.969999999999999</v>
      </c>
    </row>
    <row r="68" customFormat="false" ht="15" hidden="false" customHeight="false" outlineLevel="0" collapsed="false">
      <c r="A68" s="0" t="s">
        <v>96</v>
      </c>
      <c r="B68" s="0" t="s">
        <v>281</v>
      </c>
      <c r="C68" s="0" t="n">
        <v>0</v>
      </c>
      <c r="D68" s="0" t="n">
        <v>0</v>
      </c>
      <c r="E68" s="0" t="n">
        <v>0.452</v>
      </c>
      <c r="F68" s="0" t="n">
        <v>1.557</v>
      </c>
      <c r="G68" s="0" t="n">
        <v>68.605</v>
      </c>
      <c r="H68" s="0" t="n">
        <v>13.605</v>
      </c>
      <c r="I68" s="0" t="n">
        <v>9.303</v>
      </c>
      <c r="J68" s="0" t="n">
        <v>1.09</v>
      </c>
      <c r="K68" s="0" t="n">
        <v>3.269</v>
      </c>
      <c r="L68" s="0" t="n">
        <v>0.677</v>
      </c>
      <c r="M68" s="0" t="n">
        <v>0.726</v>
      </c>
      <c r="N68" s="0" t="n">
        <v>0.716</v>
      </c>
    </row>
    <row r="69" customFormat="false" ht="15" hidden="false" customHeight="false" outlineLevel="0" collapsed="false">
      <c r="A69" s="0" t="s">
        <v>97</v>
      </c>
      <c r="B69" s="0" t="s">
        <v>282</v>
      </c>
      <c r="C69" s="0" t="n">
        <v>0</v>
      </c>
      <c r="D69" s="0" t="n">
        <v>0</v>
      </c>
      <c r="E69" s="0" t="n">
        <v>0.386</v>
      </c>
      <c r="F69" s="0" t="n">
        <v>1.243</v>
      </c>
      <c r="G69" s="0" t="n">
        <v>66.9960000000001</v>
      </c>
      <c r="H69" s="0" t="n">
        <v>12.796</v>
      </c>
      <c r="I69" s="0" t="n">
        <v>9.02100000000001</v>
      </c>
      <c r="J69" s="0" t="n">
        <v>1.124</v>
      </c>
      <c r="K69" s="0" t="n">
        <v>3.668</v>
      </c>
      <c r="L69" s="0" t="n">
        <v>0.902</v>
      </c>
      <c r="M69" s="0" t="n">
        <v>1.16</v>
      </c>
      <c r="N69" s="0" t="n">
        <v>2.704</v>
      </c>
    </row>
    <row r="70" customFormat="false" ht="15" hidden="false" customHeight="false" outlineLevel="0" collapsed="false">
      <c r="A70" s="0" t="s">
        <v>101</v>
      </c>
      <c r="B70" s="0" t="s">
        <v>283</v>
      </c>
      <c r="C70" s="0" t="n">
        <v>0</v>
      </c>
      <c r="D70" s="0" t="n">
        <v>0</v>
      </c>
      <c r="E70" s="0" t="n">
        <v>0.67</v>
      </c>
      <c r="F70" s="0" t="n">
        <v>1.207</v>
      </c>
      <c r="G70" s="0" t="n">
        <v>69.703</v>
      </c>
      <c r="H70" s="0" t="n">
        <v>13.688</v>
      </c>
      <c r="I70" s="0" t="n">
        <v>8.957</v>
      </c>
      <c r="J70" s="0" t="n">
        <v>0.956</v>
      </c>
      <c r="K70" s="0" t="n">
        <v>2.885</v>
      </c>
      <c r="L70" s="0" t="n">
        <v>0.548</v>
      </c>
      <c r="M70" s="0" t="n">
        <v>0.611000000000001</v>
      </c>
      <c r="N70" s="0" t="n">
        <v>0.775</v>
      </c>
    </row>
    <row r="71" customFormat="false" ht="15" hidden="false" customHeight="false" outlineLevel="0" collapsed="false">
      <c r="A71" s="0" t="s">
        <v>99</v>
      </c>
      <c r="B71" s="0" t="s">
        <v>284</v>
      </c>
      <c r="C71" s="0" t="n">
        <v>0</v>
      </c>
      <c r="D71" s="0" t="n">
        <v>0</v>
      </c>
      <c r="E71" s="0" t="n">
        <v>0.674</v>
      </c>
      <c r="F71" s="0" t="n">
        <v>1.324</v>
      </c>
      <c r="G71" s="0" t="n">
        <v>67.68</v>
      </c>
      <c r="H71" s="0" t="n">
        <v>13.238</v>
      </c>
      <c r="I71" s="0" t="n">
        <v>8.748</v>
      </c>
      <c r="J71" s="0" t="n">
        <v>1.033</v>
      </c>
      <c r="K71" s="0" t="n">
        <v>3.276</v>
      </c>
      <c r="L71" s="0" t="n">
        <v>0.778</v>
      </c>
      <c r="M71" s="0" t="n">
        <v>0.912</v>
      </c>
      <c r="N71" s="0" t="n">
        <v>2.337</v>
      </c>
    </row>
    <row r="72" customFormat="false" ht="15" hidden="false" customHeight="false" outlineLevel="0" collapsed="false">
      <c r="A72" s="0" t="s">
        <v>88</v>
      </c>
      <c r="B72" s="0" t="s">
        <v>285</v>
      </c>
      <c r="C72" s="0" t="n">
        <v>243134.31</v>
      </c>
      <c r="D72" s="0" t="n">
        <v>312670.72</v>
      </c>
      <c r="E72" s="0" t="n">
        <v>0.135</v>
      </c>
      <c r="F72" s="0" t="n">
        <v>0.866</v>
      </c>
      <c r="G72" s="0" t="n">
        <v>78.175</v>
      </c>
      <c r="H72" s="0" t="n">
        <v>11.344</v>
      </c>
      <c r="I72" s="0" t="n">
        <v>5.072</v>
      </c>
      <c r="J72" s="0" t="n">
        <v>0.771</v>
      </c>
      <c r="K72" s="0" t="n">
        <v>1.767</v>
      </c>
      <c r="L72" s="0" t="n">
        <v>0.506</v>
      </c>
      <c r="M72" s="0" t="n">
        <v>0.536</v>
      </c>
      <c r="N72" s="0" t="n">
        <v>0.828</v>
      </c>
    </row>
    <row r="73" customFormat="false" ht="15" hidden="false" customHeight="false" outlineLevel="0" collapsed="false">
      <c r="A73" s="0" t="s">
        <v>286</v>
      </c>
      <c r="B73" s="0" t="s">
        <v>287</v>
      </c>
      <c r="C73" s="0" t="n">
        <v>0</v>
      </c>
      <c r="D73" s="0" t="n">
        <v>0</v>
      </c>
      <c r="E73" s="0" t="n">
        <v>0.0920000000000001</v>
      </c>
      <c r="F73" s="0" t="n">
        <v>0.82</v>
      </c>
      <c r="G73" s="0" t="n">
        <v>73.125</v>
      </c>
      <c r="H73" s="0" t="n">
        <v>12.76</v>
      </c>
      <c r="I73" s="0" t="n">
        <v>6.744</v>
      </c>
      <c r="J73" s="0" t="n">
        <v>0.988</v>
      </c>
      <c r="K73" s="0" t="n">
        <v>2.458</v>
      </c>
      <c r="L73" s="0" t="n">
        <v>0.618</v>
      </c>
      <c r="M73" s="0" t="n">
        <v>0.765999999999999</v>
      </c>
      <c r="N73" s="0" t="n">
        <v>1.629</v>
      </c>
    </row>
    <row r="74" customFormat="false" ht="15" hidden="false" customHeight="false" outlineLevel="0" collapsed="false">
      <c r="A74" s="0" t="s">
        <v>98</v>
      </c>
      <c r="B74" s="0" t="s">
        <v>288</v>
      </c>
      <c r="C74" s="0" t="n">
        <v>4616.41</v>
      </c>
      <c r="D74" s="0" t="n">
        <v>5756.66</v>
      </c>
      <c r="E74" s="0" t="n">
        <v>0.125</v>
      </c>
      <c r="F74" s="0" t="n">
        <v>0.582</v>
      </c>
      <c r="G74" s="0" t="n">
        <v>81.076</v>
      </c>
      <c r="H74" s="0" t="n">
        <v>10.555</v>
      </c>
      <c r="I74" s="0" t="n">
        <v>4.037</v>
      </c>
      <c r="J74" s="0" t="n">
        <v>0.705</v>
      </c>
      <c r="K74" s="0" t="n">
        <v>1.318</v>
      </c>
      <c r="L74" s="0" t="n">
        <v>0.372</v>
      </c>
      <c r="M74" s="0" t="n">
        <v>0.396</v>
      </c>
      <c r="N74" s="0" t="n">
        <v>0.834</v>
      </c>
    </row>
    <row r="75" customFormat="false" ht="15" hidden="false" customHeight="false" outlineLevel="0" collapsed="false">
      <c r="A75" s="0" t="s">
        <v>89</v>
      </c>
      <c r="B75" s="0" t="s">
        <v>289</v>
      </c>
      <c r="C75" s="0" t="n">
        <v>76284.56</v>
      </c>
      <c r="D75" s="0" t="n">
        <v>98178.22</v>
      </c>
      <c r="E75" s="0" t="n">
        <v>0.112</v>
      </c>
      <c r="F75" s="0" t="n">
        <v>0.9</v>
      </c>
      <c r="G75" s="0" t="n">
        <v>77.819</v>
      </c>
      <c r="H75" s="0" t="n">
        <v>11.063</v>
      </c>
      <c r="I75" s="0" t="n">
        <v>5.419</v>
      </c>
      <c r="J75" s="0" t="n">
        <v>0.984</v>
      </c>
      <c r="K75" s="0" t="n">
        <v>2.135</v>
      </c>
      <c r="L75" s="0" t="n">
        <v>0.61</v>
      </c>
      <c r="M75" s="0" t="n">
        <v>0.603</v>
      </c>
      <c r="N75" s="0" t="n">
        <v>0.355</v>
      </c>
    </row>
    <row r="76" customFormat="false" ht="15" hidden="false" customHeight="false" outlineLevel="0" collapsed="false">
      <c r="A76" s="0" t="s">
        <v>90</v>
      </c>
      <c r="B76" s="0" t="s">
        <v>290</v>
      </c>
      <c r="C76" s="0" t="n">
        <v>198846.02</v>
      </c>
      <c r="D76" s="0" t="n">
        <v>247563.3</v>
      </c>
      <c r="E76" s="0" t="n">
        <v>0.169</v>
      </c>
      <c r="F76" s="0" t="n">
        <v>1.369</v>
      </c>
      <c r="G76" s="0" t="n">
        <v>79.224</v>
      </c>
      <c r="H76" s="0" t="n">
        <v>10.904</v>
      </c>
      <c r="I76" s="0" t="n">
        <v>4.714</v>
      </c>
      <c r="J76" s="0" t="n">
        <v>0.747</v>
      </c>
      <c r="K76" s="0" t="n">
        <v>1.59</v>
      </c>
      <c r="L76" s="0" t="n">
        <v>0.395</v>
      </c>
      <c r="M76" s="0" t="n">
        <v>0.426</v>
      </c>
      <c r="N76" s="0" t="n">
        <v>0.462</v>
      </c>
    </row>
    <row r="77" customFormat="false" ht="15" hidden="false" customHeight="false" outlineLevel="0" collapsed="false">
      <c r="A77" s="0" t="s">
        <v>91</v>
      </c>
      <c r="B77" s="0" t="s">
        <v>291</v>
      </c>
      <c r="C77" s="0" t="n">
        <v>172222.81</v>
      </c>
      <c r="D77" s="0" t="n">
        <v>221478.54</v>
      </c>
      <c r="E77" s="0" t="n">
        <v>0.165</v>
      </c>
      <c r="F77" s="0" t="n">
        <v>0.914</v>
      </c>
      <c r="G77" s="0" t="n">
        <v>77.476</v>
      </c>
      <c r="H77" s="0" t="n">
        <v>11.587</v>
      </c>
      <c r="I77" s="0" t="n">
        <v>5.416</v>
      </c>
      <c r="J77" s="0" t="n">
        <v>0.908</v>
      </c>
      <c r="K77" s="0" t="n">
        <v>2.013</v>
      </c>
      <c r="L77" s="0" t="n">
        <v>0.514</v>
      </c>
      <c r="M77" s="0" t="n">
        <v>0.569</v>
      </c>
      <c r="N77" s="0" t="n">
        <v>0.438</v>
      </c>
    </row>
    <row r="78" customFormat="false" ht="15" hidden="false" customHeight="false" outlineLevel="0" collapsed="false">
      <c r="A78" s="0" t="s">
        <v>92</v>
      </c>
      <c r="B78" s="0" t="s">
        <v>292</v>
      </c>
      <c r="C78" s="0" t="n">
        <v>152794.15</v>
      </c>
      <c r="D78" s="0" t="n">
        <v>197868.43</v>
      </c>
      <c r="E78" s="0" t="n">
        <v>0.176</v>
      </c>
      <c r="F78" s="0" t="n">
        <v>1.239</v>
      </c>
      <c r="G78" s="0" t="n">
        <v>77.009</v>
      </c>
      <c r="H78" s="0" t="n">
        <v>11.315</v>
      </c>
      <c r="I78" s="0" t="n">
        <v>5.509</v>
      </c>
      <c r="J78" s="0" t="n">
        <v>0.852</v>
      </c>
      <c r="K78" s="0" t="n">
        <v>1.99</v>
      </c>
      <c r="L78" s="0" t="n">
        <v>0.53</v>
      </c>
      <c r="M78" s="0" t="n">
        <v>0.602</v>
      </c>
      <c r="N78" s="0" t="n">
        <v>0.778</v>
      </c>
    </row>
    <row r="79" customFormat="false" ht="15" hidden="false" customHeight="false" outlineLevel="0" collapsed="false">
      <c r="A79" s="0" t="s">
        <v>93</v>
      </c>
      <c r="B79" s="0" t="s">
        <v>293</v>
      </c>
      <c r="C79" s="0" t="n">
        <v>0</v>
      </c>
      <c r="D79" s="0" t="n">
        <v>0</v>
      </c>
      <c r="E79" s="0" t="n">
        <v>0.714</v>
      </c>
      <c r="F79" s="0" t="n">
        <v>1.323</v>
      </c>
      <c r="G79" s="0" t="n">
        <v>71.66</v>
      </c>
      <c r="H79" s="0" t="n">
        <v>12.662</v>
      </c>
      <c r="I79" s="0" t="n">
        <v>8.25299999999999</v>
      </c>
      <c r="J79" s="0" t="n">
        <v>0.986000000000001</v>
      </c>
      <c r="K79" s="0" t="n">
        <v>2.889</v>
      </c>
      <c r="L79" s="0" t="n">
        <v>0.538</v>
      </c>
      <c r="M79" s="0" t="n">
        <v>0.574</v>
      </c>
      <c r="N79" s="0" t="n">
        <v>0.401</v>
      </c>
    </row>
    <row r="80" customFormat="false" ht="15" hidden="false" customHeight="false" outlineLevel="0" collapsed="false">
      <c r="A80" s="0" t="s">
        <v>100</v>
      </c>
      <c r="B80" s="0" t="s">
        <v>294</v>
      </c>
      <c r="C80" s="0" t="n">
        <v>19998.06</v>
      </c>
      <c r="D80" s="0" t="n">
        <v>24537.62</v>
      </c>
      <c r="E80" s="0" t="n">
        <v>0.052</v>
      </c>
      <c r="F80" s="0" t="n">
        <v>0.586</v>
      </c>
      <c r="G80" s="0" t="n">
        <v>80.843</v>
      </c>
      <c r="H80" s="0" t="n">
        <v>11.222</v>
      </c>
      <c r="I80" s="0" t="n">
        <v>4.513</v>
      </c>
      <c r="J80" s="0" t="n">
        <v>0.709</v>
      </c>
      <c r="K80" s="0" t="n">
        <v>1.339</v>
      </c>
      <c r="L80" s="0" t="n">
        <v>0.285</v>
      </c>
      <c r="M80" s="0" t="n">
        <v>0.286</v>
      </c>
      <c r="N80" s="0" t="n">
        <v>0.165</v>
      </c>
    </row>
    <row r="81" customFormat="false" ht="15" hidden="false" customHeight="false" outlineLevel="0" collapsed="false">
      <c r="A81" s="0" t="s">
        <v>163</v>
      </c>
      <c r="B81" s="0" t="s">
        <v>295</v>
      </c>
      <c r="C81" s="0" t="n">
        <v>0</v>
      </c>
      <c r="D81" s="0" t="n">
        <v>0</v>
      </c>
      <c r="E81" s="0" t="n">
        <v>0</v>
      </c>
      <c r="F81" s="0" t="n">
        <v>1</v>
      </c>
      <c r="G81" s="0" t="n">
        <v>96</v>
      </c>
      <c r="H81" s="0" t="n">
        <v>3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</row>
    <row r="82" customFormat="false" ht="15" hidden="false" customHeight="false" outlineLevel="0" collapsed="false">
      <c r="A82" s="0" t="s">
        <v>134</v>
      </c>
      <c r="B82" s="0" t="s">
        <v>296</v>
      </c>
      <c r="C82" s="0" t="n">
        <v>11319.04</v>
      </c>
      <c r="D82" s="0" t="n">
        <v>11851.04</v>
      </c>
      <c r="E82" s="0" t="n">
        <v>0.173</v>
      </c>
      <c r="F82" s="0" t="n">
        <v>1.672</v>
      </c>
      <c r="G82" s="0" t="n">
        <v>90.977</v>
      </c>
      <c r="H82" s="0" t="n">
        <v>6.867</v>
      </c>
      <c r="I82" s="0" t="n">
        <v>0.311</v>
      </c>
      <c r="N82" s="0" t="n">
        <v>0</v>
      </c>
    </row>
    <row r="83" customFormat="false" ht="15" hidden="false" customHeight="false" outlineLevel="0" collapsed="false">
      <c r="A83" s="0" t="s">
        <v>118</v>
      </c>
      <c r="B83" s="0" t="s">
        <v>297</v>
      </c>
      <c r="C83" s="0" t="n">
        <v>8457.51</v>
      </c>
      <c r="D83" s="0" t="n">
        <v>10757.95</v>
      </c>
      <c r="E83" s="0" t="n">
        <v>0.098</v>
      </c>
      <c r="F83" s="0" t="n">
        <v>1.188</v>
      </c>
      <c r="G83" s="0" t="n">
        <v>78.317</v>
      </c>
      <c r="H83" s="0" t="n">
        <v>10.966</v>
      </c>
      <c r="I83" s="0" t="n">
        <v>5.032</v>
      </c>
      <c r="J83" s="0" t="n">
        <v>0.888</v>
      </c>
      <c r="K83" s="0" t="n">
        <v>1.936</v>
      </c>
      <c r="L83" s="0" t="n">
        <v>0.561</v>
      </c>
      <c r="M83" s="0" t="n">
        <v>0.58</v>
      </c>
      <c r="N83" s="0" t="n">
        <v>0.434</v>
      </c>
    </row>
    <row r="84" customFormat="false" ht="15" hidden="false" customHeight="false" outlineLevel="0" collapsed="false">
      <c r="A84" s="0" t="s">
        <v>135</v>
      </c>
      <c r="B84" s="0" t="s">
        <v>298</v>
      </c>
      <c r="C84" s="0" t="n">
        <v>216704.95</v>
      </c>
      <c r="D84" s="0" t="n">
        <v>218005.18</v>
      </c>
      <c r="F84" s="0" t="n">
        <v>1.262</v>
      </c>
      <c r="G84" s="0" t="n">
        <v>97.633</v>
      </c>
      <c r="H84" s="0" t="n">
        <v>0.961</v>
      </c>
      <c r="I84" s="0" t="n">
        <v>0.122</v>
      </c>
      <c r="J84" s="0" t="n">
        <v>0.009</v>
      </c>
      <c r="K84" s="0" t="n">
        <v>0.013</v>
      </c>
      <c r="N84" s="0" t="n">
        <v>0</v>
      </c>
    </row>
    <row r="85" customFormat="false" ht="15" hidden="false" customHeight="false" outlineLevel="0" collapsed="false">
      <c r="A85" s="0" t="s">
        <v>136</v>
      </c>
      <c r="B85" s="0" t="s">
        <v>299</v>
      </c>
      <c r="C85" s="0" t="n">
        <v>42390.88</v>
      </c>
      <c r="D85" s="0" t="n">
        <v>44425.64</v>
      </c>
      <c r="E85" s="0" t="n">
        <v>0.17</v>
      </c>
      <c r="F85" s="0" t="n">
        <v>1.625</v>
      </c>
      <c r="G85" s="0" t="n">
        <v>91.001</v>
      </c>
      <c r="H85" s="0" t="n">
        <v>6.877</v>
      </c>
      <c r="I85" s="0" t="n">
        <v>0.327</v>
      </c>
      <c r="N85" s="0" t="n">
        <v>0</v>
      </c>
    </row>
    <row r="86" customFormat="false" ht="15" hidden="false" customHeight="false" outlineLevel="0" collapsed="false">
      <c r="A86" s="0" t="s">
        <v>129</v>
      </c>
      <c r="B86" s="0" t="s">
        <v>300</v>
      </c>
      <c r="C86" s="0" t="n">
        <v>28805.14</v>
      </c>
      <c r="D86" s="0" t="n">
        <v>36006.43</v>
      </c>
      <c r="E86" s="0" t="n">
        <v>0.125</v>
      </c>
      <c r="F86" s="0" t="n">
        <v>0.594</v>
      </c>
      <c r="G86" s="0" t="n">
        <v>80.708</v>
      </c>
      <c r="H86" s="0" t="n">
        <v>10.699</v>
      </c>
      <c r="I86" s="0" t="n">
        <v>4.223</v>
      </c>
      <c r="J86" s="0" t="n">
        <v>0.728</v>
      </c>
      <c r="K86" s="0" t="n">
        <v>1.381</v>
      </c>
      <c r="L86" s="0" t="n">
        <v>0.387</v>
      </c>
      <c r="M86" s="0" t="n">
        <v>0.416</v>
      </c>
      <c r="N86" s="0" t="n">
        <v>0.739</v>
      </c>
    </row>
    <row r="87" customFormat="false" ht="15" hidden="false" customHeight="false" outlineLevel="0" collapsed="false">
      <c r="A87" s="0" t="s">
        <v>119</v>
      </c>
      <c r="B87" s="0" t="s">
        <v>301</v>
      </c>
      <c r="C87" s="0" t="n">
        <v>19006.73</v>
      </c>
      <c r="D87" s="0" t="n">
        <v>24062.52</v>
      </c>
      <c r="E87" s="0" t="n">
        <v>0.172</v>
      </c>
      <c r="F87" s="0" t="n">
        <v>0.803</v>
      </c>
      <c r="G87" s="0" t="n">
        <v>78.701</v>
      </c>
      <c r="H87" s="0" t="n">
        <v>11.447</v>
      </c>
      <c r="I87" s="0" t="n">
        <v>5.059</v>
      </c>
      <c r="J87" s="0" t="n">
        <v>0.769</v>
      </c>
      <c r="K87" s="0" t="n">
        <v>1.687</v>
      </c>
      <c r="L87" s="0" t="n">
        <v>0.402</v>
      </c>
      <c r="M87" s="0" t="n">
        <v>0.452</v>
      </c>
      <c r="N87" s="0" t="n">
        <v>0.508</v>
      </c>
    </row>
    <row r="88" customFormat="false" ht="15" hidden="false" customHeight="false" outlineLevel="0" collapsed="false">
      <c r="A88" s="0" t="s">
        <v>120</v>
      </c>
      <c r="B88" s="0" t="s">
        <v>302</v>
      </c>
      <c r="C88" s="0" t="n">
        <v>0</v>
      </c>
      <c r="D88" s="0" t="n">
        <v>0</v>
      </c>
      <c r="E88" s="0" t="n">
        <v>0.089</v>
      </c>
      <c r="F88" s="0" t="n">
        <v>0.754</v>
      </c>
      <c r="G88" s="0" t="n">
        <v>81.445</v>
      </c>
      <c r="H88" s="0" t="n">
        <v>10.582</v>
      </c>
      <c r="I88" s="0" t="n">
        <v>3.952</v>
      </c>
      <c r="J88" s="0" t="n">
        <v>0.612</v>
      </c>
      <c r="K88" s="0" t="n">
        <v>1.202</v>
      </c>
      <c r="L88" s="0" t="n">
        <v>0.318</v>
      </c>
      <c r="M88" s="0" t="n">
        <v>0.355</v>
      </c>
      <c r="N88" s="0" t="n">
        <v>0.691</v>
      </c>
    </row>
    <row r="89" customFormat="false" ht="15" hidden="false" customHeight="false" outlineLevel="0" collapsed="false">
      <c r="A89" s="0" t="s">
        <v>121</v>
      </c>
      <c r="B89" s="0" t="s">
        <v>303</v>
      </c>
      <c r="C89" s="0" t="n">
        <v>4687.64</v>
      </c>
      <c r="D89" s="0" t="n">
        <v>5770.49</v>
      </c>
      <c r="E89" s="0" t="n">
        <v>0.089</v>
      </c>
      <c r="F89" s="0" t="n">
        <v>0.754</v>
      </c>
      <c r="G89" s="0" t="n">
        <v>81.445</v>
      </c>
      <c r="H89" s="0" t="n">
        <v>10.582</v>
      </c>
      <c r="I89" s="0" t="n">
        <v>3.952</v>
      </c>
      <c r="J89" s="0" t="n">
        <v>0.612</v>
      </c>
      <c r="K89" s="0" t="n">
        <v>1.202</v>
      </c>
      <c r="L89" s="0" t="n">
        <v>0.318</v>
      </c>
      <c r="M89" s="0" t="n">
        <v>0.355</v>
      </c>
      <c r="N89" s="0" t="n">
        <v>0.691</v>
      </c>
    </row>
    <row r="90" customFormat="false" ht="15" hidden="false" customHeight="false" outlineLevel="0" collapsed="false">
      <c r="A90" s="0" t="s">
        <v>122</v>
      </c>
      <c r="B90" s="0" t="s">
        <v>304</v>
      </c>
      <c r="C90" s="0" t="n">
        <v>17944.11</v>
      </c>
      <c r="D90" s="0" t="n">
        <v>23165.84</v>
      </c>
      <c r="E90" s="0" t="n">
        <v>0.239</v>
      </c>
      <c r="F90" s="0" t="n">
        <v>1.021</v>
      </c>
      <c r="G90" s="0" t="n">
        <v>77.21</v>
      </c>
      <c r="H90" s="0" t="n">
        <v>11.301</v>
      </c>
      <c r="I90" s="0" t="n">
        <v>5.667</v>
      </c>
      <c r="J90" s="0" t="n">
        <v>0.891</v>
      </c>
      <c r="K90" s="0" t="n">
        <v>2.046</v>
      </c>
      <c r="L90" s="0" t="n">
        <v>0.493</v>
      </c>
      <c r="M90" s="0" t="n">
        <v>0.537</v>
      </c>
      <c r="N90" s="0" t="n">
        <v>0.595</v>
      </c>
    </row>
    <row r="91" customFormat="false" ht="15" hidden="false" customHeight="false" outlineLevel="0" collapsed="false">
      <c r="A91" s="0" t="s">
        <v>123</v>
      </c>
      <c r="B91" s="0" t="s">
        <v>305</v>
      </c>
      <c r="C91" s="0" t="n">
        <v>24688.41</v>
      </c>
      <c r="D91" s="0" t="n">
        <v>31132.08</v>
      </c>
      <c r="E91" s="0" t="n">
        <v>0.164</v>
      </c>
      <c r="F91" s="0" t="n">
        <v>0.839</v>
      </c>
      <c r="G91" s="0" t="n">
        <v>78.305</v>
      </c>
      <c r="H91" s="0" t="n">
        <v>11.796</v>
      </c>
      <c r="I91" s="0" t="n">
        <v>5.3</v>
      </c>
      <c r="J91" s="0" t="n">
        <v>0.812</v>
      </c>
      <c r="K91" s="0" t="n">
        <v>1.743</v>
      </c>
      <c r="L91" s="0" t="n">
        <v>0.386</v>
      </c>
      <c r="M91" s="0" t="n">
        <v>0.4</v>
      </c>
      <c r="N91" s="0" t="n">
        <v>0.255</v>
      </c>
    </row>
    <row r="92" customFormat="false" ht="15" hidden="false" customHeight="false" outlineLevel="0" collapsed="false">
      <c r="A92" s="0" t="s">
        <v>124</v>
      </c>
      <c r="B92" s="0" t="s">
        <v>306</v>
      </c>
      <c r="C92" s="0" t="n">
        <v>19289.82</v>
      </c>
      <c r="D92" s="0" t="n">
        <v>25694.05</v>
      </c>
      <c r="E92" s="0" t="n">
        <v>0.435</v>
      </c>
      <c r="F92" s="0" t="n">
        <v>1.102</v>
      </c>
      <c r="G92" s="0" t="n">
        <v>72.548</v>
      </c>
      <c r="H92" s="0" t="n">
        <v>12.995</v>
      </c>
      <c r="I92" s="0" t="n">
        <v>8.37</v>
      </c>
      <c r="J92" s="0" t="n">
        <v>0.903</v>
      </c>
      <c r="K92" s="0" t="n">
        <v>2.665</v>
      </c>
      <c r="L92" s="0" t="n">
        <v>0.423</v>
      </c>
      <c r="M92" s="0" t="n">
        <v>0.408</v>
      </c>
      <c r="N92" s="0" t="n">
        <v>0.151</v>
      </c>
    </row>
    <row r="93" customFormat="false" ht="15" hidden="false" customHeight="false" outlineLevel="0" collapsed="false">
      <c r="A93" s="0" t="s">
        <v>125</v>
      </c>
      <c r="B93" s="0" t="s">
        <v>307</v>
      </c>
      <c r="C93" s="0" t="n">
        <v>0</v>
      </c>
      <c r="D93" s="0" t="n">
        <v>0</v>
      </c>
      <c r="E93" s="0" t="n">
        <v>0.216999992728233</v>
      </c>
      <c r="F93" s="0" t="n">
        <v>0.533999979496002</v>
      </c>
      <c r="G93" s="0" t="n">
        <v>85.2399978637695</v>
      </c>
      <c r="H93" s="0" t="n">
        <v>7.75600004196167</v>
      </c>
      <c r="I93" s="0" t="n">
        <v>3.75300002098083</v>
      </c>
      <c r="J93" s="0" t="n">
        <v>0.503000020980835</v>
      </c>
      <c r="K93" s="0" t="n">
        <v>1.21899998188019</v>
      </c>
      <c r="L93" s="0" t="n">
        <v>0.275999993085861</v>
      </c>
      <c r="M93" s="0" t="n">
        <v>0.296000003814697</v>
      </c>
      <c r="N93" s="0" t="n">
        <v>0.206000000238419</v>
      </c>
    </row>
    <row r="94" customFormat="false" ht="15" hidden="false" customHeight="false" outlineLevel="0" collapsed="false">
      <c r="A94" s="0" t="s">
        <v>126</v>
      </c>
      <c r="B94" s="0" t="s">
        <v>308</v>
      </c>
      <c r="C94" s="0" t="n">
        <v>3684.48</v>
      </c>
      <c r="D94" s="0" t="n">
        <v>4454.54</v>
      </c>
      <c r="E94" s="0" t="n">
        <v>0.318</v>
      </c>
      <c r="F94" s="0" t="n">
        <v>0.55</v>
      </c>
      <c r="G94" s="0" t="n">
        <v>84.27</v>
      </c>
      <c r="H94" s="0" t="n">
        <v>7.86</v>
      </c>
      <c r="I94" s="0" t="n">
        <v>3.738</v>
      </c>
      <c r="J94" s="0" t="n">
        <v>0.516</v>
      </c>
      <c r="K94" s="0" t="n">
        <v>1.299</v>
      </c>
      <c r="L94" s="0" t="n">
        <v>0.349</v>
      </c>
      <c r="M94" s="0" t="n">
        <v>0.422</v>
      </c>
      <c r="N94" s="0" t="n">
        <v>0.678</v>
      </c>
    </row>
    <row r="95" customFormat="false" ht="15" hidden="false" customHeight="false" outlineLevel="0" collapsed="false">
      <c r="A95" s="0" t="s">
        <v>127</v>
      </c>
      <c r="B95" s="0" t="s">
        <v>309</v>
      </c>
      <c r="C95" s="0" t="n">
        <v>25831.73</v>
      </c>
      <c r="D95" s="0" t="n">
        <v>29964.8</v>
      </c>
      <c r="E95" s="0" t="n">
        <v>0.168</v>
      </c>
      <c r="F95" s="0" t="n">
        <v>2.117</v>
      </c>
      <c r="G95" s="0" t="n">
        <v>81.79</v>
      </c>
      <c r="H95" s="0" t="n">
        <v>10.687</v>
      </c>
      <c r="I95" s="0" t="n">
        <v>3.797</v>
      </c>
      <c r="J95" s="0" t="n">
        <v>0.438</v>
      </c>
      <c r="K95" s="0" t="n">
        <v>0.766</v>
      </c>
      <c r="L95" s="0" t="n">
        <v>0.103</v>
      </c>
      <c r="M95" s="0" t="n">
        <v>0.09</v>
      </c>
      <c r="N95" s="0" t="n">
        <v>0.044</v>
      </c>
    </row>
    <row r="96" customFormat="false" ht="15" hidden="false" customHeight="false" outlineLevel="0" collapsed="false">
      <c r="A96" s="0" t="s">
        <v>117</v>
      </c>
      <c r="B96" s="0" t="s">
        <v>310</v>
      </c>
      <c r="C96" s="0" t="n">
        <v>15274.83</v>
      </c>
      <c r="D96" s="0" t="n">
        <v>19337.93</v>
      </c>
      <c r="E96" s="0" t="n">
        <v>0.121</v>
      </c>
      <c r="F96" s="0" t="n">
        <v>0.839</v>
      </c>
      <c r="G96" s="0" t="n">
        <v>79.667</v>
      </c>
      <c r="H96" s="0" t="n">
        <v>10.619</v>
      </c>
      <c r="I96" s="0" t="n">
        <v>4.586</v>
      </c>
      <c r="J96" s="0" t="n">
        <v>0.744</v>
      </c>
      <c r="K96" s="0" t="n">
        <v>1.639</v>
      </c>
      <c r="L96" s="0" t="n">
        <v>0.501</v>
      </c>
      <c r="M96" s="0" t="n">
        <v>0.572</v>
      </c>
      <c r="N96" s="0" t="n">
        <v>0.712</v>
      </c>
    </row>
    <row r="97" customFormat="false" ht="15" hidden="false" customHeight="false" outlineLevel="0" collapsed="false">
      <c r="A97" s="0" t="s">
        <v>130</v>
      </c>
      <c r="B97" s="0" t="s">
        <v>311</v>
      </c>
      <c r="C97" s="0" t="n">
        <v>31266.74</v>
      </c>
      <c r="D97" s="0" t="n">
        <v>39396.09</v>
      </c>
      <c r="E97" s="0" t="n">
        <v>0.157</v>
      </c>
      <c r="F97" s="0" t="n">
        <v>0.886</v>
      </c>
      <c r="G97" s="0" t="n">
        <v>78.052</v>
      </c>
      <c r="H97" s="0" t="n">
        <v>12.031</v>
      </c>
      <c r="I97" s="0" t="n">
        <v>5.447</v>
      </c>
      <c r="J97" s="0" t="n">
        <v>0.791</v>
      </c>
      <c r="K97" s="0" t="n">
        <v>1.704</v>
      </c>
      <c r="L97" s="0" t="n">
        <v>0.35</v>
      </c>
      <c r="M97" s="0" t="n">
        <v>0.356</v>
      </c>
      <c r="N97" s="0" t="n">
        <v>0.226</v>
      </c>
    </row>
    <row r="98" customFormat="false" ht="15" hidden="false" customHeight="false" outlineLevel="0" collapsed="false">
      <c r="A98" s="0" t="s">
        <v>138</v>
      </c>
      <c r="B98" s="0" t="s">
        <v>312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100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</row>
    <row r="99" customFormat="false" ht="15" hidden="false" customHeight="false" outlineLevel="0" collapsed="false">
      <c r="A99" s="0" t="s">
        <v>132</v>
      </c>
      <c r="B99" s="0" t="s">
        <v>313</v>
      </c>
      <c r="C99" s="0" t="n">
        <v>14056.53</v>
      </c>
      <c r="D99" s="0" t="n">
        <v>14112.76</v>
      </c>
      <c r="F99" s="0" t="n">
        <v>1.099</v>
      </c>
      <c r="G99" s="0" t="n">
        <v>98.081</v>
      </c>
      <c r="H99" s="0" t="n">
        <v>0.775</v>
      </c>
      <c r="I99" s="0" t="n">
        <v>0.045</v>
      </c>
      <c r="N99" s="0" t="n">
        <v>0</v>
      </c>
    </row>
    <row r="100" customFormat="false" ht="15" hidden="false" customHeight="false" outlineLevel="0" collapsed="false">
      <c r="A100" s="0" t="s">
        <v>133</v>
      </c>
      <c r="B100" s="0" t="s">
        <v>314</v>
      </c>
      <c r="C100" s="0" t="n">
        <v>9614.86</v>
      </c>
      <c r="D100" s="0" t="n">
        <v>9720.62</v>
      </c>
      <c r="F100" s="0" t="n">
        <v>1.095</v>
      </c>
      <c r="G100" s="0" t="n">
        <v>97.438</v>
      </c>
      <c r="H100" s="0" t="n">
        <v>1.242</v>
      </c>
      <c r="I100" s="0" t="n">
        <v>0.189</v>
      </c>
      <c r="J100" s="0" t="n">
        <v>0.014</v>
      </c>
      <c r="K100" s="0" t="n">
        <v>0.022</v>
      </c>
      <c r="N100" s="0" t="n">
        <v>0</v>
      </c>
    </row>
    <row r="101" customFormat="false" ht="15" hidden="false" customHeight="false" outlineLevel="0" collapsed="false">
      <c r="A101" s="0" t="s">
        <v>128</v>
      </c>
      <c r="B101" s="0" t="s">
        <v>315</v>
      </c>
      <c r="C101" s="0" t="n">
        <v>4752.29</v>
      </c>
      <c r="D101" s="0" t="n">
        <v>6406.08</v>
      </c>
      <c r="E101" s="0" t="n">
        <v>0.268</v>
      </c>
      <c r="F101" s="0" t="n">
        <v>1.416</v>
      </c>
      <c r="G101" s="0" t="n">
        <v>71.766</v>
      </c>
      <c r="H101" s="0" t="n">
        <v>12.868</v>
      </c>
      <c r="I101" s="0" t="n">
        <v>8.665</v>
      </c>
      <c r="J101" s="0" t="n">
        <v>0.95</v>
      </c>
      <c r="K101" s="0" t="n">
        <v>2.81</v>
      </c>
      <c r="L101" s="0" t="n">
        <v>0.469</v>
      </c>
      <c r="M101" s="0" t="n">
        <v>0.513</v>
      </c>
      <c r="N101" s="0" t="n">
        <v>0.275</v>
      </c>
    </row>
    <row r="102" customFormat="false" ht="15" hidden="false" customHeight="false" outlineLevel="0" collapsed="false">
      <c r="A102" s="0" t="s">
        <v>316</v>
      </c>
      <c r="B102" s="0" t="s">
        <v>317</v>
      </c>
      <c r="C102" s="0" t="n">
        <v>508596.82</v>
      </c>
      <c r="D102" s="0" t="n">
        <v>635746.02</v>
      </c>
      <c r="E102" s="0" t="n">
        <v>0.125</v>
      </c>
      <c r="F102" s="0" t="n">
        <v>0.594</v>
      </c>
      <c r="G102" s="0" t="n">
        <v>80.708</v>
      </c>
      <c r="H102" s="0" t="n">
        <v>10.699</v>
      </c>
      <c r="I102" s="0" t="n">
        <v>4.223</v>
      </c>
      <c r="J102" s="0" t="n">
        <v>0.728</v>
      </c>
      <c r="K102" s="0" t="n">
        <v>1.381</v>
      </c>
      <c r="L102" s="0" t="n">
        <v>0.387</v>
      </c>
      <c r="M102" s="0" t="n">
        <v>0.416</v>
      </c>
      <c r="N102" s="0" t="n">
        <v>0.739</v>
      </c>
    </row>
    <row r="103" customFormat="false" ht="15" hidden="false" customHeight="false" outlineLevel="0" collapsed="false">
      <c r="A103" s="0" t="s">
        <v>318</v>
      </c>
      <c r="B103" s="0" t="s">
        <v>319</v>
      </c>
      <c r="C103" s="0" t="n">
        <v>4432232.3</v>
      </c>
      <c r="D103" s="0" t="n">
        <v>5543868.05</v>
      </c>
      <c r="E103" s="0" t="n">
        <v>0.329638958154139</v>
      </c>
      <c r="F103" s="0" t="n">
        <v>0.841558039433176</v>
      </c>
      <c r="G103" s="0" t="n">
        <v>79.5929339418582</v>
      </c>
      <c r="H103" s="0" t="n">
        <v>10.750317162005</v>
      </c>
      <c r="I103" s="0" t="n">
        <v>5.14618593314819</v>
      </c>
      <c r="J103" s="0" t="n">
        <v>0.728508519339993</v>
      </c>
      <c r="K103" s="0" t="n">
        <v>1.59334016987004</v>
      </c>
      <c r="L103" s="0" t="n">
        <v>0.36395880375585</v>
      </c>
      <c r="M103" s="0" t="n">
        <v>0.363610980329868</v>
      </c>
      <c r="N103" s="0" t="n">
        <v>0.289947742830589</v>
      </c>
    </row>
    <row r="104" customFormat="false" ht="15" hidden="false" customHeight="false" outlineLevel="0" collapsed="false">
      <c r="A104" s="0" t="s">
        <v>320</v>
      </c>
      <c r="B104" s="0" t="s">
        <v>321</v>
      </c>
      <c r="C104" s="0" t="n">
        <v>4628199.94</v>
      </c>
      <c r="D104" s="0" t="n">
        <v>5788022.33</v>
      </c>
      <c r="E104" s="0" t="n">
        <v>0.326322250540276</v>
      </c>
      <c r="F104" s="0" t="n">
        <v>0.842299317490597</v>
      </c>
      <c r="G104" s="0" t="n">
        <v>79.5521447705737</v>
      </c>
      <c r="H104" s="0" t="n">
        <v>10.8407623589501</v>
      </c>
      <c r="I104" s="0" t="n">
        <v>5.10902262659626</v>
      </c>
      <c r="J104" s="0" t="n">
        <v>0.728704163415184</v>
      </c>
      <c r="K104" s="0" t="n">
        <v>1.59857756877488</v>
      </c>
      <c r="L104" s="0" t="n">
        <v>0.361830392854062</v>
      </c>
      <c r="M104" s="0" t="n">
        <v>0.354905976255753</v>
      </c>
      <c r="N104" s="0" t="n">
        <v>0.285430471164863</v>
      </c>
    </row>
    <row r="105" customFormat="false" ht="15" hidden="false" customHeight="false" outlineLevel="0" collapsed="false">
      <c r="A105" s="0" t="s">
        <v>322</v>
      </c>
      <c r="B105" s="0" t="s">
        <v>323</v>
      </c>
      <c r="C105" s="0" t="n">
        <v>0</v>
      </c>
      <c r="D105" s="0" t="n">
        <v>0</v>
      </c>
      <c r="E105" s="0" t="n">
        <v>0</v>
      </c>
      <c r="F105" s="0" t="n">
        <v>0</v>
      </c>
      <c r="G105" s="0" t="n">
        <v>100</v>
      </c>
      <c r="H105" s="0" t="n">
        <v>0</v>
      </c>
      <c r="I105" s="0" t="n">
        <v>0</v>
      </c>
      <c r="J105" s="0" t="n">
        <v>0</v>
      </c>
      <c r="K105" s="0" t="n">
        <v>0</v>
      </c>
      <c r="L105" s="0" t="n">
        <v>0</v>
      </c>
      <c r="M105" s="0" t="n">
        <v>0</v>
      </c>
      <c r="N105" s="0" t="n">
        <v>0</v>
      </c>
    </row>
    <row r="106" customFormat="false" ht="15" hidden="false" customHeight="false" outlineLevel="0" collapsed="false">
      <c r="A106" s="0" t="s">
        <v>324</v>
      </c>
      <c r="B106" s="0" t="s">
        <v>325</v>
      </c>
      <c r="C106" s="0" t="n">
        <v>126287.86</v>
      </c>
      <c r="D106" s="0" t="n">
        <v>185516.87</v>
      </c>
      <c r="E106" s="0" t="n">
        <v>0.105</v>
      </c>
      <c r="F106" s="0" t="n">
        <v>0.712</v>
      </c>
      <c r="G106" s="0" t="n">
        <v>66.654</v>
      </c>
      <c r="H106" s="0" t="n">
        <v>13.38</v>
      </c>
      <c r="I106" s="0" t="n">
        <v>11.984</v>
      </c>
      <c r="J106" s="0" t="n">
        <v>1.662</v>
      </c>
      <c r="K106" s="0" t="n">
        <v>3.55</v>
      </c>
      <c r="L106" s="0" t="n">
        <v>0.715</v>
      </c>
      <c r="M106" s="0" t="n">
        <v>0.703</v>
      </c>
      <c r="N106" s="0" t="n">
        <v>0.535</v>
      </c>
    </row>
    <row r="107" customFormat="false" ht="15" hidden="false" customHeight="false" outlineLevel="0" collapsed="false">
      <c r="A107" s="0" t="s">
        <v>326</v>
      </c>
      <c r="B107" s="0" t="s">
        <v>327</v>
      </c>
      <c r="C107" s="0" t="n">
        <v>77194.55</v>
      </c>
      <c r="D107" s="0" t="n">
        <v>94100.16</v>
      </c>
      <c r="E107" s="0" t="n">
        <v>0.097</v>
      </c>
      <c r="F107" s="0" t="n">
        <v>0.852</v>
      </c>
      <c r="G107" s="0" t="n">
        <v>81.583</v>
      </c>
      <c r="H107" s="0" t="n">
        <v>10.665</v>
      </c>
      <c r="I107" s="0" t="n">
        <v>3.944</v>
      </c>
      <c r="J107" s="0" t="n">
        <v>0.632</v>
      </c>
      <c r="K107" s="0" t="n">
        <v>1.129</v>
      </c>
      <c r="L107" s="0" t="n">
        <v>0.308</v>
      </c>
      <c r="M107" s="0" t="n">
        <v>0.317</v>
      </c>
      <c r="N107" s="0" t="n">
        <v>0.473</v>
      </c>
    </row>
    <row r="108" customFormat="false" ht="15" hidden="false" customHeight="false" outlineLevel="0" collapsed="false">
      <c r="A108" s="0" t="s">
        <v>328</v>
      </c>
      <c r="B108" s="0" t="s">
        <v>329</v>
      </c>
      <c r="C108" s="0" t="n">
        <v>699206.19</v>
      </c>
      <c r="D108" s="0" t="n">
        <v>869113.29</v>
      </c>
      <c r="E108" s="0" t="n">
        <v>0.33</v>
      </c>
      <c r="F108" s="0" t="n">
        <v>0.995</v>
      </c>
      <c r="G108" s="0" t="n">
        <v>79.627</v>
      </c>
      <c r="H108" s="0" t="n">
        <v>10.917</v>
      </c>
      <c r="I108" s="0" t="n">
        <v>4.757</v>
      </c>
      <c r="J108" s="0" t="n">
        <v>0.662</v>
      </c>
      <c r="K108" s="0" t="n">
        <v>1.447</v>
      </c>
      <c r="L108" s="0" t="n">
        <v>0.339</v>
      </c>
      <c r="M108" s="0" t="n">
        <v>0.365</v>
      </c>
      <c r="N108" s="0" t="n">
        <v>0.561</v>
      </c>
    </row>
    <row r="109" customFormat="false" ht="15" hidden="false" customHeight="false" outlineLevel="0" collapsed="false">
      <c r="A109" s="0" t="s">
        <v>330</v>
      </c>
      <c r="B109" s="0" t="s">
        <v>331</v>
      </c>
      <c r="C109" s="0" t="n">
        <v>0</v>
      </c>
      <c r="D109" s="0" t="n">
        <v>0</v>
      </c>
      <c r="E109" s="0" t="n">
        <v>0.263</v>
      </c>
      <c r="F109" s="0" t="n">
        <v>0.657</v>
      </c>
      <c r="G109" s="0" t="n">
        <v>84.248</v>
      </c>
      <c r="H109" s="0" t="n">
        <v>8.16999999999999</v>
      </c>
      <c r="I109" s="0" t="n">
        <v>4.034</v>
      </c>
      <c r="J109" s="0" t="n">
        <v>0.485</v>
      </c>
      <c r="K109" s="0" t="n">
        <v>1.223</v>
      </c>
      <c r="L109" s="0" t="n">
        <v>0.293</v>
      </c>
      <c r="M109" s="0" t="n">
        <v>0.334</v>
      </c>
      <c r="N109" s="0" t="n">
        <v>0.293</v>
      </c>
    </row>
    <row r="110" customFormat="false" ht="15" hidden="false" customHeight="false" outlineLevel="0" collapsed="false">
      <c r="A110" s="0" t="s">
        <v>332</v>
      </c>
      <c r="B110" s="0" t="s">
        <v>333</v>
      </c>
      <c r="C110" s="0" t="n">
        <v>482919.68</v>
      </c>
      <c r="D110" s="0" t="n">
        <v>601235</v>
      </c>
      <c r="E110" s="0" t="n">
        <v>0.169</v>
      </c>
      <c r="F110" s="0" t="n">
        <v>1.369</v>
      </c>
      <c r="G110" s="0" t="n">
        <v>79.224</v>
      </c>
      <c r="H110" s="0" t="n">
        <v>10.904</v>
      </c>
      <c r="I110" s="0" t="n">
        <v>4.714</v>
      </c>
      <c r="J110" s="0" t="n">
        <v>0.747</v>
      </c>
      <c r="K110" s="0" t="n">
        <v>1.59</v>
      </c>
      <c r="L110" s="0" t="n">
        <v>0.395</v>
      </c>
      <c r="M110" s="0" t="n">
        <v>0.426</v>
      </c>
      <c r="N110" s="0" t="n">
        <v>0.462</v>
      </c>
    </row>
    <row r="111" customFormat="false" ht="15" hidden="false" customHeight="false" outlineLevel="0" collapsed="false">
      <c r="A111" s="0" t="s">
        <v>334</v>
      </c>
      <c r="B111" s="0" t="s">
        <v>335</v>
      </c>
      <c r="C111" s="0" t="n">
        <v>841995.11</v>
      </c>
      <c r="D111" s="0" t="n">
        <v>1082805.71</v>
      </c>
      <c r="E111" s="0" t="n">
        <v>0.135</v>
      </c>
      <c r="F111" s="0" t="n">
        <v>0.866</v>
      </c>
      <c r="G111" s="0" t="n">
        <v>78.175</v>
      </c>
      <c r="H111" s="0" t="n">
        <v>11.344</v>
      </c>
      <c r="I111" s="0" t="n">
        <v>5.072</v>
      </c>
      <c r="J111" s="0" t="n">
        <v>0.771</v>
      </c>
      <c r="K111" s="0" t="n">
        <v>1.767</v>
      </c>
      <c r="L111" s="0" t="n">
        <v>0.506</v>
      </c>
      <c r="M111" s="0" t="n">
        <v>0.536</v>
      </c>
      <c r="N111" s="0" t="n">
        <v>0.828</v>
      </c>
    </row>
    <row r="112" customFormat="false" ht="15" hidden="false" customHeight="false" outlineLevel="0" collapsed="false">
      <c r="A112" s="0" t="s">
        <v>336</v>
      </c>
      <c r="B112" s="0" t="s">
        <v>337</v>
      </c>
      <c r="C112" s="0" t="n">
        <v>59928.46</v>
      </c>
      <c r="D112" s="0" t="n">
        <v>71374.8</v>
      </c>
      <c r="E112" s="0" t="n">
        <v>0.201</v>
      </c>
      <c r="F112" s="0" t="n">
        <v>0.621</v>
      </c>
      <c r="G112" s="0" t="n">
        <v>85.197</v>
      </c>
      <c r="H112" s="0" t="n">
        <v>7.579</v>
      </c>
      <c r="I112" s="0" t="n">
        <v>3.581</v>
      </c>
      <c r="J112" s="0" t="n">
        <v>0.474</v>
      </c>
      <c r="K112" s="0" t="n">
        <v>1.188</v>
      </c>
      <c r="L112" s="0" t="n">
        <v>0.297</v>
      </c>
      <c r="M112" s="0" t="n">
        <v>0.35</v>
      </c>
      <c r="N112" s="0" t="n">
        <v>0.512</v>
      </c>
    </row>
    <row r="113" customFormat="false" ht="15" hidden="false" customHeight="false" outlineLevel="0" collapsed="false">
      <c r="A113" s="0" t="s">
        <v>338</v>
      </c>
      <c r="B113" s="0" t="s">
        <v>339</v>
      </c>
      <c r="C113" s="0" t="n">
        <v>513413.14</v>
      </c>
      <c r="D113" s="0" t="n">
        <v>677191.93</v>
      </c>
      <c r="E113" s="0" t="n">
        <v>0.431</v>
      </c>
      <c r="F113" s="0" t="n">
        <v>1.382</v>
      </c>
      <c r="G113" s="0" t="n">
        <v>73.796</v>
      </c>
      <c r="H113" s="0" t="n">
        <v>11.963</v>
      </c>
      <c r="I113" s="0" t="n">
        <v>7.671</v>
      </c>
      <c r="J113" s="0" t="n">
        <v>0.864</v>
      </c>
      <c r="K113" s="0" t="n">
        <v>2.603</v>
      </c>
      <c r="L113" s="571" t="n">
        <v>0.483</v>
      </c>
      <c r="M113" s="571" t="n">
        <v>0.509</v>
      </c>
      <c r="N113" s="571" t="n">
        <v>0.298</v>
      </c>
    </row>
    <row r="114" customFormat="false" ht="15" hidden="false" customHeight="false" outlineLevel="0" collapsed="false">
      <c r="A114" s="0" t="s">
        <v>180</v>
      </c>
      <c r="B114" s="0" t="s">
        <v>340</v>
      </c>
      <c r="C114" s="0" t="n">
        <v>3465332.31</v>
      </c>
      <c r="D114" s="0" t="n">
        <v>3565243.69</v>
      </c>
      <c r="E114" s="0" t="n">
        <v>0.0272778527518202</v>
      </c>
      <c r="F114" s="0" t="n">
        <v>1.02086752714395</v>
      </c>
      <c r="G114" s="0" t="n">
        <v>95.7473787792474</v>
      </c>
      <c r="H114" s="0" t="n">
        <v>3.1264529322299</v>
      </c>
      <c r="I114" s="0" t="n">
        <v>0.0772557662189315</v>
      </c>
      <c r="J114" s="0" t="n">
        <v>0.000436208878247077</v>
      </c>
      <c r="K114" s="0" t="n">
        <v>0.000429226524226098</v>
      </c>
      <c r="L114" s="0" t="n">
        <v>0</v>
      </c>
      <c r="M114" s="0" t="n">
        <v>0</v>
      </c>
      <c r="N114" s="571" t="n">
        <v>6.39666306380367E-007</v>
      </c>
    </row>
    <row r="115" customFormat="false" ht="15" hidden="false" customHeight="false" outlineLevel="0" collapsed="false">
      <c r="A115" s="0" t="s">
        <v>341</v>
      </c>
      <c r="B115" s="0" t="s">
        <v>342</v>
      </c>
      <c r="C115" s="0" t="n">
        <v>459586.51</v>
      </c>
      <c r="D115" s="0" t="n">
        <v>581836.52</v>
      </c>
      <c r="E115" s="0" t="n">
        <v>0.121</v>
      </c>
      <c r="F115" s="0" t="n">
        <v>0.839</v>
      </c>
      <c r="G115" s="0" t="n">
        <v>79.667</v>
      </c>
      <c r="H115" s="0" t="n">
        <v>10.619</v>
      </c>
      <c r="I115" s="0" t="n">
        <v>4.586</v>
      </c>
      <c r="J115" s="0" t="n">
        <v>0.744</v>
      </c>
      <c r="K115" s="0" t="n">
        <v>1.639</v>
      </c>
      <c r="L115" s="0" t="n">
        <v>0.501</v>
      </c>
      <c r="M115" s="0" t="n">
        <v>0.572</v>
      </c>
      <c r="N115" s="0" t="n">
        <v>0.712</v>
      </c>
    </row>
    <row r="116" customFormat="false" ht="15" hidden="false" customHeight="false" outlineLevel="0" collapsed="false">
      <c r="A116" s="0" t="s">
        <v>343</v>
      </c>
      <c r="B116" s="0" t="s">
        <v>344</v>
      </c>
      <c r="C116" s="0" t="n">
        <v>473825.25</v>
      </c>
      <c r="D116" s="0" t="n">
        <v>580435.93</v>
      </c>
      <c r="E116" s="0" t="n">
        <v>0.115</v>
      </c>
      <c r="F116" s="0" t="n">
        <v>0.897</v>
      </c>
      <c r="G116" s="0" t="n">
        <v>81.139</v>
      </c>
      <c r="H116" s="0" t="n">
        <v>10.651</v>
      </c>
      <c r="I116" s="0" t="n">
        <v>4.127</v>
      </c>
      <c r="J116" s="0" t="n">
        <v>0.689</v>
      </c>
      <c r="K116" s="0" t="n">
        <v>1.286</v>
      </c>
      <c r="L116" s="0" t="n">
        <v>0.334</v>
      </c>
      <c r="M116" s="0" t="n">
        <v>0.349</v>
      </c>
      <c r="N116" s="0" t="n">
        <v>0.413</v>
      </c>
    </row>
    <row r="117" customFormat="false" ht="15" hidden="false" customHeight="false" outlineLevel="0" collapsed="false">
      <c r="A117" s="0" t="s">
        <v>345</v>
      </c>
      <c r="B117" s="0" t="s">
        <v>346</v>
      </c>
      <c r="C117" s="0" t="n">
        <v>984114.18</v>
      </c>
      <c r="D117" s="0" t="n">
        <v>1268523.17</v>
      </c>
      <c r="E117" s="0" t="n">
        <v>0.146</v>
      </c>
      <c r="F117" s="0" t="n">
        <v>0.927</v>
      </c>
      <c r="G117" s="0" t="n">
        <v>77.414</v>
      </c>
      <c r="H117" s="0" t="n">
        <v>11.691</v>
      </c>
      <c r="I117" s="0" t="n">
        <v>5.467</v>
      </c>
      <c r="J117" s="0" t="n">
        <v>0.797</v>
      </c>
      <c r="K117" s="0" t="n">
        <v>1.866</v>
      </c>
      <c r="L117" s="0" t="n">
        <v>0.491</v>
      </c>
      <c r="M117" s="0" t="n">
        <v>0.583</v>
      </c>
      <c r="N117" s="0" t="n">
        <v>0.618</v>
      </c>
    </row>
    <row r="118" customFormat="false" ht="15" hidden="false" customHeight="false" outlineLevel="0" collapsed="false">
      <c r="A118" s="0" t="s">
        <v>347</v>
      </c>
      <c r="B118" s="0" t="s">
        <v>348</v>
      </c>
      <c r="C118" s="0" t="n">
        <v>39085.07</v>
      </c>
      <c r="D118" s="0" t="n">
        <v>51670.46</v>
      </c>
      <c r="E118" s="0" t="n">
        <v>0.308</v>
      </c>
      <c r="F118" s="0" t="n">
        <v>1.393</v>
      </c>
      <c r="G118" s="0" t="n">
        <v>72.849</v>
      </c>
      <c r="H118" s="0" t="n">
        <v>12.96</v>
      </c>
      <c r="I118" s="0" t="n">
        <v>8.257</v>
      </c>
      <c r="J118" s="0" t="n">
        <v>0.836</v>
      </c>
      <c r="K118" s="0" t="n">
        <v>2.421</v>
      </c>
      <c r="L118" s="571" t="n">
        <v>0.377</v>
      </c>
      <c r="M118" s="571" t="n">
        <v>0.353</v>
      </c>
      <c r="N118" s="571" t="n">
        <v>0.246</v>
      </c>
    </row>
    <row r="119" customFormat="false" ht="15" hidden="false" customHeight="false" outlineLevel="0" collapsed="false">
      <c r="A119" s="0" t="s">
        <v>181</v>
      </c>
      <c r="B119" s="0" t="s">
        <v>349</v>
      </c>
      <c r="C119" s="0" t="n">
        <v>3811549.47</v>
      </c>
      <c r="D119" s="0" t="n">
        <v>3937855.59</v>
      </c>
      <c r="E119" s="0" t="n">
        <v>0.0479830404687859</v>
      </c>
      <c r="F119" s="0" t="n">
        <v>1.01775534871719</v>
      </c>
      <c r="G119" s="0" t="n">
        <v>95.1666524238812</v>
      </c>
      <c r="H119" s="0" t="n">
        <v>3.6684882196625</v>
      </c>
      <c r="I119" s="0" t="n">
        <v>0.0978667168075088</v>
      </c>
      <c r="J119" s="0" t="n">
        <v>0.000669719154865331</v>
      </c>
      <c r="K119" s="0" t="n">
        <v>0.000583326904079348</v>
      </c>
      <c r="L119" s="571" t="n">
        <v>7.48022352751502E-007</v>
      </c>
      <c r="M119" s="571" t="n">
        <v>2.99208924779664E-007</v>
      </c>
      <c r="N119" s="0" t="n">
        <v>0</v>
      </c>
    </row>
    <row r="120" customFormat="false" ht="15" hidden="false" customHeight="false" outlineLevel="0" collapsed="false">
      <c r="A120" s="0" t="s">
        <v>350</v>
      </c>
      <c r="B120" s="0" t="s">
        <v>351</v>
      </c>
      <c r="C120" s="0" t="n">
        <v>270625.57</v>
      </c>
      <c r="D120" s="0" t="n">
        <v>338281.96</v>
      </c>
      <c r="E120" s="0" t="n">
        <v>0.103</v>
      </c>
      <c r="F120" s="0" t="n">
        <v>1.094</v>
      </c>
      <c r="G120" s="0" t="n">
        <v>79.774</v>
      </c>
      <c r="H120" s="0" t="n">
        <v>10.653</v>
      </c>
      <c r="I120" s="0" t="n">
        <v>4.645</v>
      </c>
      <c r="J120" s="0" t="n">
        <v>0.751</v>
      </c>
      <c r="K120" s="0" t="n">
        <v>1.563</v>
      </c>
      <c r="L120" s="0" t="n">
        <v>0.445</v>
      </c>
      <c r="M120" s="0" t="n">
        <v>0.456</v>
      </c>
      <c r="N120" s="0" t="n">
        <v>0.516</v>
      </c>
    </row>
    <row r="121" customFormat="false" ht="15" hidden="false" customHeight="false" outlineLevel="0" collapsed="false">
      <c r="A121" s="0" t="s">
        <v>352</v>
      </c>
      <c r="B121" s="0" t="s">
        <v>353</v>
      </c>
      <c r="C121" s="0" t="n">
        <v>-294086.26</v>
      </c>
      <c r="D121" s="0" t="n">
        <v>-298115.24</v>
      </c>
      <c r="E121" s="0" t="n">
        <v>0.171152460399211</v>
      </c>
      <c r="F121" s="0" t="n">
        <v>1.30153152472313</v>
      </c>
      <c r="G121" s="0" t="n">
        <v>96.6818840468448</v>
      </c>
      <c r="H121" s="0" t="n">
        <v>1.82459852439613</v>
      </c>
      <c r="I121" s="0" t="n">
        <v>0.149065920427107</v>
      </c>
      <c r="J121" s="0" t="n">
        <v>0.00920779990089266</v>
      </c>
      <c r="K121" s="0" t="n">
        <v>0.0133740398216068</v>
      </c>
      <c r="N121" s="0" t="n">
        <v>0</v>
      </c>
    </row>
    <row r="122" customFormat="false" ht="15" hidden="false" customHeight="false" outlineLevel="0" collapsed="false">
      <c r="A122" s="0" t="s">
        <v>354</v>
      </c>
      <c r="B122" s="0" t="s">
        <v>355</v>
      </c>
      <c r="C122" s="0" t="n">
        <v>14056.53</v>
      </c>
      <c r="D122" s="0" t="n">
        <v>14112.76</v>
      </c>
      <c r="E122" s="0" t="n">
        <v>0</v>
      </c>
      <c r="F122" s="0" t="n">
        <v>1.099</v>
      </c>
      <c r="G122" s="0" t="n">
        <v>98.081</v>
      </c>
      <c r="H122" s="0" t="n">
        <v>0.775</v>
      </c>
      <c r="I122" s="0" t="n">
        <v>0.045</v>
      </c>
      <c r="J122" s="0" t="n">
        <v>0</v>
      </c>
      <c r="K122" s="0" t="n">
        <v>0</v>
      </c>
      <c r="L122" s="0" t="n">
        <v>0</v>
      </c>
      <c r="M122" s="0" t="n">
        <v>0</v>
      </c>
      <c r="N122" s="0" t="n">
        <v>0</v>
      </c>
    </row>
    <row r="123" customFormat="false" ht="15" hidden="false" customHeight="false" outlineLevel="0" collapsed="false">
      <c r="A123" s="0" t="s">
        <v>356</v>
      </c>
      <c r="B123" s="0" t="s">
        <v>357</v>
      </c>
      <c r="C123" s="0" t="n">
        <v>280029.73</v>
      </c>
      <c r="D123" s="0" t="n">
        <v>284002.48</v>
      </c>
      <c r="E123" s="0" t="n">
        <v>0.181996885927643</v>
      </c>
      <c r="F123" s="0" t="n">
        <v>1.31436416546868</v>
      </c>
      <c r="G123" s="0" t="n">
        <v>96.5932343790326</v>
      </c>
      <c r="H123" s="0" t="n">
        <v>1.89110234798135</v>
      </c>
      <c r="I123" s="0" t="n">
        <v>0.155659662179268</v>
      </c>
      <c r="J123" s="0" t="n">
        <v>0.00979121716566949</v>
      </c>
      <c r="K123" s="0" t="n">
        <v>0.0142214350534451</v>
      </c>
      <c r="L123" s="0" t="n">
        <v>0</v>
      </c>
      <c r="M123" s="0" t="n">
        <v>0</v>
      </c>
      <c r="N12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950743b-519d-45bd-8c4c-443b9786906f" xsi:nil="true"/>
    <lcf76f155ced4ddcb4097134ff3c332f xmlns="172c3b80-6c67-4e3e-a524-ce68cebfad8f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A2BC36A45F1643817F28A0552C5E7B" ma:contentTypeVersion="13" ma:contentTypeDescription="Create a new document." ma:contentTypeScope="" ma:versionID="0f1bf8c9f8b9bac405d9d4df2ecdd3f6">
  <xsd:schema xmlns:xsd="http://www.w3.org/2001/XMLSchema" xmlns:xs="http://www.w3.org/2001/XMLSchema" xmlns:p="http://schemas.microsoft.com/office/2006/metadata/properties" xmlns:ns2="172c3b80-6c67-4e3e-a524-ce68cebfad8f" xmlns:ns3="6950743b-519d-45bd-8c4c-443b9786906f" targetNamespace="http://schemas.microsoft.com/office/2006/metadata/properties" ma:root="true" ma:fieldsID="bbd465f818b6a8cf244e468e9199a3eb" ns2:_="" ns3:_="">
    <xsd:import namespace="172c3b80-6c67-4e3e-a524-ce68cebfad8f"/>
    <xsd:import namespace="6950743b-519d-45bd-8c4c-443b978690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2c3b80-6c67-4e3e-a524-ce68cebfad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706f67f-253a-4577-b395-7f85314a960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50743b-519d-45bd-8c4c-443b9786906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b294314-7ca9-40d8-a505-c1b99fa1fd02}" ma:internalName="TaxCatchAll" ma:showField="CatchAllData" ma:web="6950743b-519d-45bd-8c4c-443b9786906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B7ABA1-5FE4-40DA-92C1-4AE2B82B9C99}">
  <ds:schemaRefs>
    <ds:schemaRef ds:uri="http://schemas.microsoft.com/office/2006/metadata/properties"/>
    <ds:schemaRef ds:uri="http://schemas.microsoft.com/office/infopath/2007/PartnerControls"/>
    <ds:schemaRef ds:uri="6950743b-519d-45bd-8c4c-443b9786906f"/>
    <ds:schemaRef ds:uri="172c3b80-6c67-4e3e-a524-ce68cebfad8f"/>
  </ds:schemaRefs>
</ds:datastoreItem>
</file>

<file path=customXml/itemProps2.xml><?xml version="1.0" encoding="utf-8"?>
<ds:datastoreItem xmlns:ds="http://schemas.openxmlformats.org/officeDocument/2006/customXml" ds:itemID="{C2CEDC2B-E202-439B-A78E-0EC6954BBC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BB4C5B-F4D1-4709-9E0E-D21E9904F5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2c3b80-6c67-4e3e-a524-ce68cebfad8f"/>
    <ds:schemaRef ds:uri="6950743b-519d-45bd-8c4c-443b978690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2022-05-23T15:27:48Z</dcterms:created>
  <dc:creator>Home Office;travis.kline@hcengr.com</dc:creator>
  <dc:description/>
  <dc:language>en-US</dc:language>
  <cp:lastModifiedBy/>
  <dcterms:modified xsi:type="dcterms:W3CDTF">2023-09-13T13:40:17Z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0x010100D3A2BC36A45F1643817F28A0552C5E7B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MediaServiceImageTags">
    <vt:lpwstr/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