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8FA3A4EE-D9F4-4B68-8B34-B71857ADDE42}" xr6:coauthVersionLast="47" xr6:coauthVersionMax="47" xr10:uidLastSave="{00000000-0000-0000-0000-000000000000}"/>
  <bookViews>
    <workbookView xWindow="-120" yWindow="-120" windowWidth="20730" windowHeight="11310" firstSheet="4" activeTab="7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'01-Budget'!$C$1</definedName>
    <definedName name="_xlchart.v1.1" hidden="1">'01-Budget'!$C$2:$C$38</definedName>
    <definedName name="_xlchart.v1.10" hidden="1">'01-Budget'!$D$1</definedName>
    <definedName name="_xlchart.v1.11" hidden="1">'01-Budget'!$D$2:$D$37</definedName>
    <definedName name="_xlchart.v1.12" hidden="1">'01-Budget'!$D$2:$D$38</definedName>
    <definedName name="_xlchart.v1.13" hidden="1">'01-Budget'!$D$1</definedName>
    <definedName name="_xlchart.v1.14" hidden="1">'01-Budget'!$D$2:$D$37</definedName>
    <definedName name="_xlchart.v1.2" hidden="1">'01-Budget'!$A$2:$A$38</definedName>
    <definedName name="_xlchart.v1.3" hidden="1">'01-Budget'!$D$1</definedName>
    <definedName name="_xlchart.v1.4" hidden="1">'01-Budget'!$D$2:$D$38</definedName>
    <definedName name="_xlchart.v1.5" hidden="1">'01-Budget'!$C$1</definedName>
    <definedName name="_xlchart.v1.6" hidden="1">'01-Budget'!$C$2:$C$37</definedName>
    <definedName name="_xlchart.v1.7" hidden="1">'01-Budget'!$A$1:$A$37</definedName>
    <definedName name="_xlchart.v1.8" hidden="1">'01-Budget'!$A$2:$A$38</definedName>
    <definedName name="_xlchart.v1.9" hidden="1">'01-Budget'!$B$1:$B$37</definedName>
  </definedNames>
  <calcPr calcId="181029"/>
  <pivotCaches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3" l="1"/>
  <c r="C8" i="15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<sst xmlns="http://schemas.openxmlformats.org/spreadsheetml/2006/main" count="398" uniqueCount="265">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</sst>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B-45D3-BBCC-049BA34BF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9315488"/>
        <c:axId val="539313848"/>
      </c:barChart>
      <c:catAx>
        <c:axId val="53931548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13848"/>
        <c:crosses val="autoZero"/>
        <c:auto val="1"/>
        <c:lblAlgn val="ctr"/>
        <c:lblOffset val="100"/>
        <c:noMultiLvlLbl val="0"/>
      </c:catAx>
      <c:valAx>
        <c:axId val="53931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1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9-4DC5-8616-0080AFEFC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318768"/>
        <c:axId val="539315816"/>
      </c:barChart>
      <c:catAx>
        <c:axId val="53931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15816"/>
        <c:crosses val="autoZero"/>
        <c:auto val="1"/>
        <c:lblAlgn val="ctr"/>
        <c:lblOffset val="100"/>
        <c:noMultiLvlLbl val="0"/>
      </c:catAx>
      <c:valAx>
        <c:axId val="53931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1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_xlchart.v1.0</cx:f>
              <cx:v>Bank_Balance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_xlchart.v1.5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_xlchart.v1.12</cx:f>
      </cx:numDim>
    </cx:data>
  </cx:chartData>
  <cx:chart>
    <cx:title pos="t" align="ctr" overlay="0">
      <cx:tx>
        <cx:txData>
          <cx:v>Revenue 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Treemap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_xlchart.v1.10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_xlchart.v1.13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12" Type="http://schemas.openxmlformats.org/officeDocument/2006/relationships/chart" Target="../charts/chart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11" Type="http://schemas.openxmlformats.org/officeDocument/2006/relationships/chart" Target="../charts/chart6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9</xdr:row>
      <xdr:rowOff>190499</xdr:rowOff>
    </xdr:from>
    <xdr:to>
      <xdr:col>15</xdr:col>
      <xdr:colOff>0</xdr:colOff>
      <xdr:row>24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9449" y="380999"/>
              <a:ext cx="3028951" cy="2752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276225</xdr:colOff>
      <xdr:row>42</xdr:row>
      <xdr:rowOff>123825</xdr:rowOff>
    </xdr:from>
    <xdr:to>
      <xdr:col>7</xdr:col>
      <xdr:colOff>380999</xdr:colOff>
      <xdr:row>57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9825" y="6600825"/>
              <a:ext cx="3152774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25</xdr:row>
      <xdr:rowOff>142874</xdr:rowOff>
    </xdr:from>
    <xdr:to>
      <xdr:col>15</xdr:col>
      <xdr:colOff>142875</xdr:colOff>
      <xdr:row>41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</xdr:colOff>
      <xdr:row>25</xdr:row>
      <xdr:rowOff>161926</xdr:rowOff>
    </xdr:from>
    <xdr:to>
      <xdr:col>9</xdr:col>
      <xdr:colOff>295275</xdr:colOff>
      <xdr:row>41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25</xdr:row>
      <xdr:rowOff>76199</xdr:rowOff>
    </xdr:from>
    <xdr:to>
      <xdr:col>4</xdr:col>
      <xdr:colOff>28575</xdr:colOff>
      <xdr:row>41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380999</xdr:colOff>
      <xdr:row>75</xdr:row>
      <xdr:rowOff>123825</xdr:rowOff>
    </xdr:from>
    <xdr:to>
      <xdr:col>13</xdr:col>
      <xdr:colOff>95250</xdr:colOff>
      <xdr:row>90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599" y="11363325"/>
              <a:ext cx="6419851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352425</xdr:colOff>
      <xdr:row>60</xdr:row>
      <xdr:rowOff>104775</xdr:rowOff>
    </xdr:from>
    <xdr:to>
      <xdr:col>7</xdr:col>
      <xdr:colOff>47625</xdr:colOff>
      <xdr:row>74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571500</xdr:colOff>
      <xdr:row>42</xdr:row>
      <xdr:rowOff>133350</xdr:rowOff>
    </xdr:from>
    <xdr:to>
      <xdr:col>13</xdr:col>
      <xdr:colOff>114300</xdr:colOff>
      <xdr:row>57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5086350"/>
              <a:ext cx="3200400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187988</xdr:colOff>
      <xdr:row>98</xdr:row>
      <xdr:rowOff>142874</xdr:rowOff>
    </xdr:from>
    <xdr:to>
      <xdr:col>10</xdr:col>
      <xdr:colOff>524978</xdr:colOff>
      <xdr:row>113</xdr:row>
      <xdr:rowOff>96025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40788" y="15763874"/>
          <a:ext cx="3994590" cy="2810651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60</xdr:row>
      <xdr:rowOff>104775</xdr:rowOff>
    </xdr:from>
    <xdr:to>
      <xdr:col>13</xdr:col>
      <xdr:colOff>257175</xdr:colOff>
      <xdr:row>73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10</xdr:row>
      <xdr:rowOff>0</xdr:rowOff>
    </xdr:from>
    <xdr:to>
      <xdr:col>2</xdr:col>
      <xdr:colOff>438150</xdr:colOff>
      <xdr:row>24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E92A7F-A332-4F57-A739-F67DBC248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209550</xdr:colOff>
      <xdr:row>10</xdr:row>
      <xdr:rowOff>19050</xdr:rowOff>
    </xdr:from>
    <xdr:to>
      <xdr:col>9</xdr:col>
      <xdr:colOff>152400</xdr:colOff>
      <xdr:row>23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37EB5CE-5872-48D4-9850-860B32A46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98" dataDxfId="97">
  <autoFilter ref="A1:W37" xr:uid="{3312BD19-C58D-44C9-9081-35E47D6BEE91}"/>
  <tableColumns count="23">
    <tableColumn id="24" xr3:uid="{F923AF45-9D46-4D18-B925-38B8BEB86059}" name="Year" dataDxfId="96" totalsRowDxfId="95"/>
    <tableColumn id="1" xr3:uid="{8EBBE7C2-C046-4B4A-B640-ED5DBC962B6F}" name="Month" totalsRowFunction="count" dataDxfId="94" totalsRowDxfId="93"/>
    <tableColumn id="2" xr3:uid="{8A63691D-8589-42E7-A686-3BD5BB74A8B1}" name="Bank_Balance" totalsRowFunction="max" dataDxfId="92" totalsRowDxfId="91"/>
    <tableColumn id="5" xr3:uid="{1203E385-0896-49BE-86F3-C5477688602A}" name="Revenue" totalsRowFunction="average" dataDxfId="90" totalsRowDxfId="89"/>
    <tableColumn id="16" xr3:uid="{508C90CE-22D3-4800-8230-DA9F8D2CA19B}" name="Bonus" totalsRowFunction="average" dataDxfId="88" totalsRowDxfId="87">
      <calculatedColumnFormula>IF(Budget_Table[[#This Row],[Revenue]]&gt;39999,Budget_Table[[#This Row],[Revenue]]*-0.01,0)</calculatedColumnFormula>
    </tableColumn>
    <tableColumn id="14" xr3:uid="{73A5A091-CE88-421D-B76E-51199219B2B8}" name="Gammiat" dataDxfId="86" totalsRowDxfId="85"/>
    <tableColumn id="23" xr3:uid="{8B037BAA-9974-45EB-87C6-912132963841}" name="ZAKAT" dataDxfId="84" totalsRowDxfId="83"/>
    <tableColumn id="3" xr3:uid="{4268231F-3502-48F5-9ECC-1EF1B54B200D}" name="Salaries" totalsRowFunction="sum" dataDxfId="82" totalsRowDxfId="81"/>
    <tableColumn id="4" xr3:uid="{B4D2DED4-25E4-4438-BCAA-3CAEBD7F2E68}" name="Maint" totalsRowFunction="sum" dataDxfId="80" totalsRowDxfId="79"/>
    <tableColumn id="6" xr3:uid="{66310BEE-AE75-45F0-B222-7003746C065A}" name="Stock" totalsRowFunction="sum" dataDxfId="78" totalsRowDxfId="77"/>
    <tableColumn id="7" xr3:uid="{0D7FFC00-3FC9-484D-A5E1-85ECA7D816E7}" name="Home_Expenses" totalsRowFunction="sum" dataDxfId="76" totalsRowDxfId="75"/>
    <tableColumn id="19" xr3:uid="{D0F0DF57-5B43-4740-831F-228734FC7DE7}" name="Cleanind" dataDxfId="74" totalsRowDxfId="73"/>
    <tableColumn id="18" xr3:uid="{036C41B7-0FB1-43D6-9089-3A790919B056}" name="Medicines" dataDxfId="72" totalsRowDxfId="71"/>
    <tableColumn id="22" xr3:uid="{6F9E872C-9774-4953-B865-B1AAEEDC7EBB}" name="Club" dataDxfId="70" totalsRowDxfId="69"/>
    <tableColumn id="17" xr3:uid="{ED175497-748B-40EC-B0AF-DE5405F441D1}" name="Cloths" totalsRowFunction="average" dataDxfId="68" totalsRowDxfId="67">
      <calculatedColumnFormula>-1500*3</calculatedColumnFormula>
    </tableColumn>
    <tableColumn id="12" xr3:uid="{257E32F4-CFAD-49C5-A482-67A4E94CC271}" name="Schools" totalsRowFunction="sum" dataDxfId="66" totalsRowDxfId="65"/>
    <tableColumn id="13" xr3:uid="{406538B9-50A6-4920-BC9A-8CFF81111415}" name="Education" totalsRowFunction="sum" dataDxfId="64" totalsRowDxfId="63"/>
    <tableColumn id="15" xr3:uid="{96F05650-A0B8-48FD-9FF2-0CF2D042920F}" name="Internet" totalsRowFunction="sum" dataDxfId="62" totalsRowDxfId="61"/>
    <tableColumn id="8" xr3:uid="{95C77D14-0A76-4D03-A378-9A2F9589D3A9}" name="Electric" totalsRowFunction="sum" dataDxfId="60" totalsRowDxfId="59"/>
    <tableColumn id="9" xr3:uid="{8B1308FF-6556-45E1-B5DF-82DBE6BD17DD}" name="Gas" totalsRowFunction="sum" dataDxfId="58" totalsRowDxfId="57"/>
    <tableColumn id="21" xr3:uid="{8C97B4B6-F32B-4BEB-96DE-ABF8666A8064}" name="Add_Expenses" dataDxfId="56" totalsRowDxfId="55"/>
    <tableColumn id="10" xr3:uid="{3232CB77-E33A-4499-B61C-DE4C55BD1427}" name="Fuel" totalsRowFunction="sum" dataDxfId="54" totalsRowDxfId="53"/>
    <tableColumn id="11" xr3:uid="{49E26DD5-7DCC-4DE2-9A44-D49E5EA1A831}" name="Balance" totalsRowFunction="max" dataDxfId="52" totalsRowDxfId="51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50" dataDxfId="49">
  <autoFilter ref="A1:D65" xr:uid="{C3265939-9DDE-49D0-B16D-992584708B59}"/>
  <tableColumns count="4">
    <tableColumn id="1" xr3:uid="{C1615512-B305-443E-B90D-B937DDC12AAD}" name="Date" dataDxfId="48"/>
    <tableColumn id="4" xr3:uid="{CD51677C-1FFD-4666-8219-66C9FA06991E}" name="Item" dataDxfId="47"/>
    <tableColumn id="2" xr3:uid="{0763EF00-2B55-43F7-ABF4-D1736C803D76}" name="Item_Val" dataDxfId="46"/>
    <tableColumn id="3" xr3:uid="{48268654-5DAF-481F-8F79-BFA62E4DE8CF}" name="Growth" dataDxfId="45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44" dataDxfId="43">
  <autoFilter ref="A1:F14" xr:uid="{295D201E-D7C4-4A70-B04C-58DAFE9F33CA}"/>
  <tableColumns count="6">
    <tableColumn id="1" xr3:uid="{2BB46849-9F9D-4DF6-A2B9-97B67F7EBBCE}" name="Attribute" dataDxfId="42"/>
    <tableColumn id="5" xr3:uid="{D3B47D54-C984-4A64-81BD-BFB3E291E849}" name="Object" dataDxfId="41"/>
    <tableColumn id="4" xr3:uid="{C0CFD872-AE2C-4A70-ADCE-553B5A5141BA}" name="Attribute_Desc" dataDxfId="40"/>
    <tableColumn id="2" xr3:uid="{0414412C-1674-4CB5-BC78-E617BCDAADBC}" name="Question" dataDxfId="39"/>
    <tableColumn id="6" xr3:uid="{7E7A64D1-692D-49BD-B53A-18EFBB427A10}" name="Answer Approach" dataDxfId="38"/>
    <tableColumn id="3" xr3:uid="{A422447F-2544-4757-8822-5241B7C0C8B4}" name="Type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36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35" dataDxfId="34">
  <autoFilter ref="A1:E36" xr:uid="{08D949C8-7183-46B8-B8DE-C8500CEA663F}"/>
  <tableColumns count="5">
    <tableColumn id="1" xr3:uid="{3DE165E8-C653-49B1-B9FF-7DF40D0C7678}" name="Measurements Types" totalsRowLabel="Count" dataDxfId="33" totalsRowDxfId="32"/>
    <tableColumn id="2" xr3:uid="{24E7BC82-A5E3-4B02-AB56-BCA40829095C}" name="Measurement" totalsRowFunction="count" dataDxfId="31" totalsRowDxfId="30"/>
    <tableColumn id="3" xr3:uid="{43D487C5-6DD1-4CBA-8692-C9C781D0BAA9}" name="Value" totalsRowFunction="count" dataDxfId="29" totalsRowDxfId="28"/>
    <tableColumn id="4" xr3:uid="{E4F9C1FF-E028-4100-B23F-AD155885FE70}" name="Description" totalsRowFunction="count" dataDxfId="27" totalsRowDxfId="26"/>
    <tableColumn id="5" xr3:uid="{15DB07C0-D3A2-4E9F-8472-87FB97F1E68B}" name="Why We need It" totalsRowFunction="count" dataDxfId="25" totalsRow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23" dataDxfId="22" totalsRowDxfId="21">
  <autoFilter ref="B1:C4" xr:uid="{1D6AD1AE-8BFB-43FE-A342-FAAED5606F39}"/>
  <tableColumns count="2">
    <tableColumn id="1" xr3:uid="{EEEA92C2-FCB5-4646-B2D8-21325C961E6C}" name="Doctors" totalsRowFunction="average" dataDxfId="20" totalsRowDxfId="19"/>
    <tableColumn id="2" xr3:uid="{660608BD-9486-4261-BAE1-13E9696E5733}" name="Teachers" totalsRowFunction="average" dataDxfId="18" totalsRow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16" dataDxfId="15">
  <autoFilter ref="A1:C9" xr:uid="{AE0EDD48-DF6B-42AE-AC77-8C772E5BA9E5}"/>
  <tableColumns count="3">
    <tableColumn id="1" xr3:uid="{F09306D3-A1F2-41E1-86DC-67EDFBC18722}" name="Year" dataDxfId="14"/>
    <tableColumn id="2" xr3:uid="{2BC120C4-42A7-4B5F-B780-E61305548892}" name="Generated" dataDxfId="13"/>
    <tableColumn id="3" xr3:uid="{E28AE0CD-4C45-4B53-BFFA-03DDE4A9CBD4}" name="Usag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11" dataDxfId="10">
  <autoFilter ref="A1:C9" xr:uid="{77E360E5-2067-40BC-B7A3-06095CBD22CF}"/>
  <tableColumns count="3">
    <tableColumn id="1" xr3:uid="{0323F7C7-1DB8-4F54-8866-477BCC7ACE27}" name="Year" dataDxfId="9"/>
    <tableColumn id="2" xr3:uid="{1D0671B4-9EF9-4F75-8B21-941CC74796EE}" name="Generated" dataDxfId="8"/>
    <tableColumn id="3" xr3:uid="{B9BDCF29-410A-480C-B445-F5D7C354BB0F}" name="Usag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workbookViewId="0">
      <selection activeCell="C1" sqref="C1:C37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36</v>
      </c>
      <c r="C38" s="1">
        <f>SUBTOTAL(104,Budget_Table[Bank_Balance])</f>
        <v>177830</v>
      </c>
      <c r="D38" s="1">
        <f>SUBTOTAL(101,Budget_Table[Revenue])</f>
        <v>44055.555555555555</v>
      </c>
      <c r="E38" s="1">
        <f>SUBTOTAL(101,Budget_Table[Bonus])</f>
        <v>-313.05555555555554</v>
      </c>
      <c r="F38" s="1"/>
      <c r="G38" s="1"/>
      <c r="H38" s="1">
        <f>SUBTOTAL(109,Budget_Table[Salaries])</f>
        <v>-152000</v>
      </c>
      <c r="I38" s="1">
        <f>SUBTOTAL(109,Budget_Table[Maint])</f>
        <v>-7200</v>
      </c>
      <c r="J38" s="1">
        <f>SUBTOTAL(109,Budget_Table[Stock])</f>
        <v>-530000</v>
      </c>
      <c r="K38" s="1">
        <f>SUBTOTAL(109,Budget_Table[Home_Expenses])</f>
        <v>-363500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-188000</v>
      </c>
      <c r="Q38" s="1">
        <f>SUBTOTAL(109,Budget_Table[Education])</f>
        <v>-36000</v>
      </c>
      <c r="R38" s="1">
        <f>SUBTOTAL(109,Budget_Table[Internet])</f>
        <v>-17750</v>
      </c>
      <c r="S38" s="1">
        <f>SUBTOTAL(109,Budget_Table[Electric])</f>
        <v>-35400</v>
      </c>
      <c r="T38" s="1">
        <f>SUBTOTAL(109,Budget_Table[Gas])</f>
        <v>-3600</v>
      </c>
      <c r="U38" s="1"/>
      <c r="V38" s="1">
        <f>SUBTOTAL(109,Budget_Table[Fuel])</f>
        <v>-26850</v>
      </c>
      <c r="W38" s="1">
        <f>SUBTOTAL(104,Budget_Table[Balance])</f>
        <v>184430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6" priority="11" operator="lessThan">
      <formula>0</formula>
    </cfRule>
  </conditionalFormatting>
  <conditionalFormatting sqref="W2:W37">
    <cfRule type="top10" dxfId="5" priority="12" percent="1" bottom="1" rank="10"/>
    <cfRule type="top10" dxfId="4" priority="13" percent="1" rank="10"/>
  </conditionalFormatting>
  <conditionalFormatting sqref="C2:C38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workbookViewId="0">
      <selection activeCell="A2" sqref="A2:C1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zoomScaleNormal="100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44"/>
  <sheetViews>
    <sheetView tabSelected="1" topLeftCell="A39" workbookViewId="0">
      <selection activeCell="D11" sqref="D1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hidden="1" x14ac:dyDescent="0.25">
      <c r="A1" s="6" t="s">
        <v>48</v>
      </c>
      <c r="B1" s="6" t="s">
        <v>47</v>
      </c>
    </row>
    <row r="2" spans="1:2" hidden="1" x14ac:dyDescent="0.25">
      <c r="A2" s="6" t="s">
        <v>13</v>
      </c>
      <c r="B2" s="1">
        <f>Budget_Table[[#This Row],[Bank_Balance]]</f>
        <v>70000</v>
      </c>
    </row>
    <row r="3" spans="1:2" hidden="1" x14ac:dyDescent="0.25">
      <c r="A3" s="6" t="s">
        <v>53</v>
      </c>
      <c r="B3" s="1">
        <f>'02-Gold_Forecasting'!D67</f>
        <v>280500</v>
      </c>
    </row>
    <row r="4" spans="1:2" hidden="1" x14ac:dyDescent="0.25">
      <c r="A4" s="6" t="s">
        <v>45</v>
      </c>
      <c r="B4" s="1">
        <v>365000</v>
      </c>
    </row>
    <row r="5" spans="1:2" hidden="1" x14ac:dyDescent="0.25">
      <c r="A5" s="6" t="s">
        <v>38</v>
      </c>
      <c r="B5" s="1">
        <f>'02-Gold_Forecasting'!D68</f>
        <v>2420519.3898143223</v>
      </c>
    </row>
    <row r="6" spans="1:2" hidden="1" x14ac:dyDescent="0.25">
      <c r="A6" s="6" t="s">
        <v>46</v>
      </c>
      <c r="B6" s="1">
        <f>B4+B5-B3</f>
        <v>2505019.3898143223</v>
      </c>
    </row>
    <row r="7" spans="1:2" hidden="1" x14ac:dyDescent="0.25">
      <c r="A7" s="6" t="s">
        <v>52</v>
      </c>
      <c r="B7" s="10">
        <f>B6/(B3+B2)</f>
        <v>7.1469882733646859</v>
      </c>
    </row>
    <row r="8" spans="1:2" hidden="1" x14ac:dyDescent="0.25"/>
    <row r="44" spans="2:2" x14ac:dyDescent="0.25">
      <c r="B44">
        <f>123750+ 1.5*(123750-91542.5)</f>
        <v>172061.25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2022-05-23T18:26:37Z</dcterms:modified>
</cp:coreProperties>
</file>