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1F4E693E-1A82-48F9-9D36-C5AF26102468}" xr6:coauthVersionLast="47" xr6:coauthVersionMax="47" xr10:uidLastSave="{00000000-0000-0000-0000-000000000000}"/>
  <bookViews>
    <workbookView xWindow="-120" yWindow="-120" windowWidth="20730" windowHeight="11310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'01-Budget'!$E$1</definedName>
    <definedName name="_xlchart.v1.1" hidden="1">'01-Budget'!$E$2:$E$37</definedName>
    <definedName name="_xlchart.v1.2" hidden="1">'01-Budget'!$D$1</definedName>
    <definedName name="_xlchart.v1.3" hidden="1">'01-Budget'!$D$2:$D$37</definedName>
    <definedName name="_xlchart.v1.4" hidden="1">'01-Budget'!$D$1</definedName>
    <definedName name="_xlchart.v1.5" hidden="1">'01-Budget'!$D$2:$D$37</definedName>
    <definedName name="_xlchart.v1.6" hidden="1">'01-Budget'!$B$1:$B$37</definedName>
    <definedName name="_xlchart.v1.7" hidden="1">'01-Budget'!$E$1</definedName>
    <definedName name="_xlchart.v1.8" hidden="1">'01-Budget'!$E$2:$E$38</definedName>
  </definedNames>
  <calcPr calcId="18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3" l="1"/>
  <c r="C8" i="15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P3" i="1"/>
  <c r="P7" i="1"/>
  <c r="P11" i="1"/>
  <c r="P15" i="1"/>
  <c r="P19" i="1"/>
  <c r="P23" i="1"/>
  <c r="P27" i="1"/>
  <c r="P31" i="1"/>
  <c r="P35" i="1"/>
  <c r="F37" i="1"/>
  <c r="F36" i="1"/>
  <c r="E38" i="1"/>
  <c r="B38" i="1"/>
  <c r="I38" i="1"/>
  <c r="J38" i="1"/>
  <c r="K38" i="1"/>
  <c r="L38" i="1"/>
  <c r="Q38" i="1"/>
  <c r="R38" i="1"/>
  <c r="S38" i="1"/>
  <c r="T38" i="1"/>
  <c r="U38" i="1"/>
  <c r="W38" i="1"/>
  <c r="D10" i="2"/>
  <c r="D9" i="2"/>
  <c r="D8" i="2"/>
  <c r="D7" i="2"/>
  <c r="D6" i="2"/>
  <c r="D5" i="2"/>
  <c r="D11" i="2"/>
  <c r="F2" i="1"/>
  <c r="X2" i="1" s="1"/>
  <c r="D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D34" i="11" l="1"/>
  <c r="D32" i="11"/>
  <c r="C34" i="11"/>
  <c r="C32" i="11"/>
  <c r="D33" i="11"/>
  <c r="C33" i="11"/>
  <c r="BH2" i="9"/>
  <c r="AZ2" i="9"/>
  <c r="D58" i="2"/>
  <c r="C60" i="2"/>
  <c r="D60" i="2" s="1"/>
  <c r="P38" i="1"/>
  <c r="X3" i="1"/>
  <c r="D4" i="1" s="1"/>
  <c r="F38" i="1"/>
  <c r="D3" i="2"/>
  <c r="D12" i="2"/>
  <c r="D37" i="11" l="1"/>
  <c r="BA2" i="9"/>
  <c r="BI2" i="9"/>
  <c r="BQ2" i="9"/>
  <c r="C61" i="2"/>
  <c r="X4" i="1"/>
  <c r="D13" i="2"/>
  <c r="BB2" i="9" l="1"/>
  <c r="BJ2" i="9"/>
  <c r="BR2" i="9"/>
  <c r="D61" i="2"/>
  <c r="C62" i="2"/>
  <c r="D5" i="1"/>
  <c r="D14" i="2"/>
  <c r="BC2" i="9" l="1"/>
  <c r="BK2" i="9"/>
  <c r="BS2" i="9"/>
  <c r="D62" i="2"/>
  <c r="C63" i="2"/>
  <c r="D63" i="2" s="1"/>
  <c r="X5" i="1"/>
  <c r="D15" i="2"/>
  <c r="C64" i="2" l="1"/>
  <c r="D64" i="2" s="1"/>
  <c r="BD2" i="9"/>
  <c r="BL2" i="9"/>
  <c r="BT2" i="9"/>
  <c r="D6" i="1"/>
  <c r="D16" i="2"/>
  <c r="C65" i="2" l="1"/>
  <c r="D65" i="2" s="1"/>
  <c r="BE2" i="9"/>
  <c r="BM2" i="9"/>
  <c r="BU2" i="9"/>
  <c r="X6" i="1"/>
  <c r="D17" i="2"/>
  <c r="BF2" i="9" l="1"/>
  <c r="BN2" i="9"/>
  <c r="BV2" i="9"/>
  <c r="D7" i="1"/>
  <c r="BG2" i="9" l="1"/>
  <c r="BP2" i="9" s="1"/>
  <c r="BO2" i="9"/>
  <c r="D18" i="2"/>
  <c r="X7" i="1"/>
  <c r="D19" i="2"/>
  <c r="D8" i="1" l="1"/>
  <c r="D20" i="2"/>
  <c r="X8" i="1" l="1"/>
  <c r="D21" i="2"/>
  <c r="D9" i="1" l="1"/>
  <c r="X9" i="1" s="1"/>
  <c r="D10" i="1" s="1"/>
  <c r="X10" i="1" s="1"/>
  <c r="D11" i="1" s="1"/>
  <c r="X11" i="1" s="1"/>
  <c r="D12" i="1" s="1"/>
  <c r="X12" i="1" s="1"/>
  <c r="D13" i="1" s="1"/>
  <c r="X13" i="1" s="1"/>
  <c r="D14" i="1" s="1"/>
  <c r="X14" i="1" s="1"/>
  <c r="D15" i="1" s="1"/>
  <c r="X15" i="1" s="1"/>
  <c r="D16" i="1" s="1"/>
  <c r="X16" i="1" s="1"/>
  <c r="D17" i="1" s="1"/>
  <c r="X17" i="1" s="1"/>
  <c r="D18" i="1" s="1"/>
  <c r="X18" i="1" s="1"/>
  <c r="D19" i="1" s="1"/>
  <c r="X19" i="1" s="1"/>
  <c r="D20" i="1" s="1"/>
  <c r="X20" i="1" s="1"/>
  <c r="D21" i="1" s="1"/>
  <c r="X21" i="1" s="1"/>
  <c r="D22" i="1" s="1"/>
  <c r="X22" i="1" s="1"/>
  <c r="D23" i="1" s="1"/>
  <c r="X23" i="1" s="1"/>
  <c r="D24" i="1" s="1"/>
  <c r="X24" i="1" s="1"/>
  <c r="D25" i="1" s="1"/>
  <c r="X25" i="1" s="1"/>
  <c r="D26" i="1" s="1"/>
  <c r="X26" i="1" s="1"/>
  <c r="D27" i="1" s="1"/>
  <c r="X27" i="1" s="1"/>
  <c r="D28" i="1" s="1"/>
  <c r="X28" i="1" s="1"/>
  <c r="D29" i="1" s="1"/>
  <c r="X29" i="1" s="1"/>
  <c r="D30" i="1" s="1"/>
  <c r="X30" i="1" s="1"/>
  <c r="D31" i="1" s="1"/>
  <c r="X31" i="1" s="1"/>
  <c r="D32" i="1" s="1"/>
  <c r="X32" i="1" s="1"/>
  <c r="D33" i="1" s="1"/>
  <c r="X33" i="1" s="1"/>
  <c r="D34" i="1" s="1"/>
  <c r="X34" i="1" s="1"/>
  <c r="D35" i="1" s="1"/>
  <c r="D22" i="2"/>
  <c r="X35" i="1" l="1"/>
  <c r="D23" i="2"/>
  <c r="D36" i="1" l="1"/>
  <c r="D24" i="2"/>
  <c r="X36" i="1" l="1"/>
  <c r="D25" i="2" l="1"/>
  <c r="D37" i="1"/>
  <c r="D26" i="2" l="1"/>
  <c r="X37" i="1"/>
  <c r="X38" i="1" s="1"/>
  <c r="D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V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<sst xmlns="http://schemas.openxmlformats.org/spreadsheetml/2006/main" count="435" uniqueCount="278">
  <si>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</si>
  <si>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</si>
  <si>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</si>
  <si>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</si>
  <si>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</si>
  <si>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</si>
  <si>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</si>
  <si>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</si>
  <si>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</si>
  <si>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</si>
  <si>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</si>
  <si>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</si>
  <si>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</si>
  <si>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</si>
  <si>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</si>
  <si>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</si>
  <si>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</si>
  <si>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</si>
  <si>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</si>
  <si>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</si>
  <si>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</si>
  <si>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</si>
  <si>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</si>
  <si>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</si>
  <si>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</si>
  <si>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</si>
  <si>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</si>
  <si>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</si>
  <si>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</si>
  <si>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</si>
  <si>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</si>
  <si>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</si>
  <si>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</si>
  <si>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</si>
  <si>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</si>
  <si>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</si>
  <si>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</si>
  <si>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</si>
  <si>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</si>
  <si>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</si>
  <si>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</si>
  <si>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</si>
  <si>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</si>
  <si>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</si>
  <si>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</si>
  <si>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</si>
  <si>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</si>
  <si>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</si>
  <si>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</si>
  <si>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</si>
  <si>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</si>
  <si>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</si>
  <si>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</si>
  <si>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</si>
  <si>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</si>
  <si>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</si>
  <si>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</si>
  <si>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</si>
  <si>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</si>
  <si>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</si>
  <si>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</si>
  <si>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</si>
  <si>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</si>
  <si>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</si>
  <si>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</si>
  <si>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</si>
  <si>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</si>
  <si>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</si>
  <si>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</si>
  <si>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</si>
  <si>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</si>
  <si>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</si>
  <si>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</si>
  <si>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</si>
  <si>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</si>
  <si>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</si>
  <si>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</si>
  <si>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</si>
  <si>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</si>
  <si>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</si>
  <si>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</si>
  <si>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</si>
  <si>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</si>
  <si>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</si>
  <si>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</si>
  <si>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</si>
  <si>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</si>
  <si>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</si>
  <si>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</si>
  <si>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</si>
  <si>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</si>
  <si>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</si>
  <si>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</si>
  <si>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</si>
  <si>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</si>
  <si>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</si>
  <si>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</si>
  <si>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</si>
  <si>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</si>
  <si>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</si>
  <si>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</si>
  <si>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</si>
  <si>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</si>
  <si>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</si>
  <si>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</si>
  <si>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</si>
  <si>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</si>
  <si>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</si>
  <si>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</si>
  <si>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</si>
  <si>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</si>
  <si>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</si>
  <si>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</si>
  <si>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</si>
  <si>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</si>
  <si>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</si>
  <si>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</si>
  <si>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</si>
  <si>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</si>
  <si>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</si>
  <si>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</si>
  <si>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</si>
  <si>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</si>
  <si>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</si>
  <si>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</si>
  <si>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</si>
  <si>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</si>
  <si>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</si>
  <si>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</si>
  <si>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</si>
  <si>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</si>
  <si>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</si>
  <si>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</si>
  <si>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</si>
  <si>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</si>
  <si>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</si>
  <si>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</si>
  <si>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</si>
  <si>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</si>
  <si>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</si>
  <si>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</si>
  <si>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</si>
  <si>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</si>
  <si>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</si>
  <si>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</si>
  <si>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</si>
  <si>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</si>
  <si>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</si>
  <si>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</si>
  <si>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</si>
  <si>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</si>
  <si>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</si>
  <si>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</si>
  <si>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</si>
  <si>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</si>
  <si>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</si>
  <si>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</si>
  <si>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</si>
  <si>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</si>
  <si>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</si>
  <si>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</si>
  <si>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</si>
  <si>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</si>
  <si>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</si>
  <si>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</si>
  <si>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</si>
  <si>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</si>
  <si>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</si>
  <si>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</si>
  <si>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</si>
  <si>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</si>
  <si>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</si>
  <si>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</si>
  <si>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</si>
  <si>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</si>
  <si>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</si>
  <si>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</si>
  <si>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</si>
  <si>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</si>
  <si>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</si>
  <si>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</si>
  <si>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</si>
  <si>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</si>
  <si>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</si>
  <si>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</si>
  <si>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</si>
  <si>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</si>
  <si>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</si>
  <si>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</si>
  <si>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</si>
  <si>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</si>
  <si>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</si>
  <si>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</si>
  <si>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</si>
  <si>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</si>
  <si>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</si>
  <si>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</si>
  <si>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</si>
  <si>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</si>
  <si>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</si>
  <si>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</si>
  <si>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</si>
  <si>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</si>
  <si>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</si>
  <si>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</si>
  <si>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</si>
  <si>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</si>
  <si>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</si>
  <si>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</si>
  <si>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</si>
  <si>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</si>
  <si>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</si>
  <si>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</si>
  <si>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</si>
  <si>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</si>
  <si>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</si>
  <si>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</si>
  <si>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</si>
  <si>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</si>
  <si>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</si>
  <si>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</si>
  <si>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</si>
  <si>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</si>
  <si>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</si>
  <si>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</si>
  <si>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</si>
  <si>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</si>
  <si>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</si>
  <si>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</si>
  <si>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</si>
  <si>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</si>
  <si>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</si>
  <si>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</si>
  <si>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</si>
  <si>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</si>
  <si>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</si>
  <si>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</si>
  <si>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</si>
  <si>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</si>
  <si>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</si>
  <si>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</si>
  <si>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</si>
  <si>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</si>
  <si>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</si>
  <si>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</si>
  <si>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</si>
  <si>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</si>
  <si>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</si>
  <si>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</si>
  <si>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</si>
  <si>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</si>
  <si>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</si>
  <si>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</si>
  <si>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</si>
  <si>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</si>
  <si>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</si>
  <si>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</si>
  <si>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</si>
  <si>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</si>
  <si>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</si>
  <si>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</si>
  <si>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</si>
  <si>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</si>
  <si>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</si>
  <si>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</si>
  <si>
    <t>MonthE</t>
  </si>
  <si>
    <t>March</t>
  </si>
  <si>
    <t>April</t>
  </si>
  <si>
    <t>May</t>
  </si>
  <si>
    <t>June</t>
  </si>
  <si>
    <t>July</t>
  </si>
  <si>
    <t>August</t>
  </si>
  <si>
    <t>October</t>
  </si>
  <si>
    <t>September</t>
  </si>
  <si>
    <t>December</t>
  </si>
  <si>
    <t>Novmber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</si>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</sst>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0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'01-Budget'!$D$2:$D$37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'01-Budget'!$E$1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'01-Budget'!$E$2:$E$38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'01-Budget'!$E$1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'01-Budget'!$E$2:$E$38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'01-Budget'!$X$1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'01-Budget'!$X$2:$X$38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Bank_Balance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'01-Budget'!$D$2:$D$37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0-4A1D-999D-8BBD18992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2024104"/>
        <c:axId val="542024760"/>
      </c:barChart>
      <c:catAx>
        <c:axId val="5420241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760"/>
        <c:crosses val="autoZero"/>
        <c:auto val="1"/>
        <c:lblAlgn val="ctr"/>
        <c:lblOffset val="100"/>
        <c:noMultiLvlLbl val="0"/>
      </c:catAx>
      <c:valAx>
        <c:axId val="54202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_xlchart.v1.4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Revenue 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Treemap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_xlchart.v1.7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_xlchart.v1.0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AB15F118-9EEC-4D53-8944-F0A2911CD900}">
          <cx:tx>
            <cx:txData>
              <cx:f>_xlchart.v1.2</cx:f>
              <cx:v>Bank_Balance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Relationship Id="rId9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6.jpeg"/><Relationship Id="rId5" Type="http://schemas.openxmlformats.org/officeDocument/2006/relationships/image" Target="../media/image3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62</xdr:row>
      <xdr:rowOff>142875</xdr:rowOff>
    </xdr:from>
    <xdr:to>
      <xdr:col>3</xdr:col>
      <xdr:colOff>552449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" y="10429875"/>
              <a:ext cx="3152774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285749</xdr:colOff>
      <xdr:row>43</xdr:row>
      <xdr:rowOff>152399</xdr:rowOff>
    </xdr:from>
    <xdr:to>
      <xdr:col>9</xdr:col>
      <xdr:colOff>400050</xdr:colOff>
      <xdr:row>57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314326</xdr:colOff>
      <xdr:row>25</xdr:row>
      <xdr:rowOff>161926</xdr:rowOff>
    </xdr:from>
    <xdr:to>
      <xdr:col>9</xdr:col>
      <xdr:colOff>295276</xdr:colOff>
      <xdr:row>41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25</xdr:row>
      <xdr:rowOff>76199</xdr:rowOff>
    </xdr:from>
    <xdr:to>
      <xdr:col>4</xdr:col>
      <xdr:colOff>28575</xdr:colOff>
      <xdr:row>41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123823</xdr:colOff>
      <xdr:row>80</xdr:row>
      <xdr:rowOff>66675</xdr:rowOff>
    </xdr:from>
    <xdr:to>
      <xdr:col>13</xdr:col>
      <xdr:colOff>314324</xdr:colOff>
      <xdr:row>97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3" y="13782675"/>
              <a:ext cx="9029701" cy="3190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180974</xdr:colOff>
      <xdr:row>43</xdr:row>
      <xdr:rowOff>114300</xdr:rowOff>
    </xdr:from>
    <xdr:to>
      <xdr:col>4</xdr:col>
      <xdr:colOff>38099</xdr:colOff>
      <xdr:row>58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238125</xdr:colOff>
      <xdr:row>62</xdr:row>
      <xdr:rowOff>142874</xdr:rowOff>
    </xdr:from>
    <xdr:to>
      <xdr:col>10</xdr:col>
      <xdr:colOff>219075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10429874"/>
              <a:ext cx="3638550" cy="2819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</xdr:colOff>
      <xdr:row>9</xdr:row>
      <xdr:rowOff>9525</xdr:rowOff>
    </xdr:from>
    <xdr:to>
      <xdr:col>6</xdr:col>
      <xdr:colOff>28575</xdr:colOff>
      <xdr:row>23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4C8644B-A3A9-4F7B-A5B9-D3917264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180975</xdr:colOff>
      <xdr:row>9</xdr:row>
      <xdr:rowOff>104775</xdr:rowOff>
    </xdr:from>
    <xdr:to>
      <xdr:col>14</xdr:col>
      <xdr:colOff>485775</xdr:colOff>
      <xdr:row>23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0852984-BDB6-444A-8A5D-7B60D368D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2575" y="29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X38" totalsRowCount="1" headerRowDxfId="100" dataDxfId="99">
  <autoFilter ref="A1:X37" xr:uid="{3312BD19-C58D-44C9-9081-35E47D6BEE91}"/>
  <tableColumns count="24">
    <tableColumn id="24" xr3:uid="{F923AF45-9D46-4D18-B925-38B8BEB86059}" name="Year" dataDxfId="98" totalsRowDxfId="23"/>
    <tableColumn id="1" xr3:uid="{8EBBE7C2-C046-4B4A-B640-ED5DBC962B6F}" name="Month" totalsRowFunction="count" dataDxfId="97" totalsRowDxfId="22"/>
    <tableColumn id="20" xr3:uid="{D1C7EAB1-8A5D-460B-B0C1-37BDFD80F1C1}" name="MonthE" dataDxfId="24" totalsRowDxfId="21"/>
    <tableColumn id="2" xr3:uid="{8A63691D-8589-42E7-A686-3BD5BB74A8B1}" name="Bank_Balance" totalsRowFunction="max" dataDxfId="96" totalsRowDxfId="20"/>
    <tableColumn id="5" xr3:uid="{1203E385-0896-49BE-86F3-C5477688602A}" name="Revenue" totalsRowFunction="average" dataDxfId="95" totalsRowDxfId="19"/>
    <tableColumn id="16" xr3:uid="{508C90CE-22D3-4800-8230-DA9F8D2CA19B}" name="Bonus" totalsRowFunction="average" dataDxfId="94" totalsRowDxfId="18">
      <calculatedColumnFormula>IF(Budget_Table[[#This Row],[Revenue]]&gt;39999,Budget_Table[[#This Row],[Revenue]]*-0.01,0)</calculatedColumnFormula>
    </tableColumn>
    <tableColumn id="14" xr3:uid="{73A5A091-CE88-421D-B76E-51199219B2B8}" name="Gammiat" dataDxfId="93" totalsRowDxfId="17"/>
    <tableColumn id="23" xr3:uid="{8B037BAA-9974-45EB-87C6-912132963841}" name="ZAKAT" dataDxfId="92" totalsRowDxfId="16"/>
    <tableColumn id="3" xr3:uid="{4268231F-3502-48F5-9ECC-1EF1B54B200D}" name="Salaries" totalsRowFunction="sum" dataDxfId="91" totalsRowDxfId="15"/>
    <tableColumn id="4" xr3:uid="{B4D2DED4-25E4-4438-BCAA-3CAEBD7F2E68}" name="Maint" totalsRowFunction="sum" dataDxfId="90" totalsRowDxfId="14"/>
    <tableColumn id="6" xr3:uid="{66310BEE-AE75-45F0-B222-7003746C065A}" name="Stock" totalsRowFunction="sum" dataDxfId="89" totalsRowDxfId="13"/>
    <tableColumn id="7" xr3:uid="{0D7FFC00-3FC9-484D-A5E1-85ECA7D816E7}" name="Home_Expenses" totalsRowFunction="sum" dataDxfId="88" totalsRowDxfId="12"/>
    <tableColumn id="19" xr3:uid="{D0F0DF57-5B43-4740-831F-228734FC7DE7}" name="Cleanind" dataDxfId="87" totalsRowDxfId="11"/>
    <tableColumn id="18" xr3:uid="{036C41B7-0FB1-43D6-9089-3A790919B056}" name="Medicines" dataDxfId="86" totalsRowDxfId="10"/>
    <tableColumn id="22" xr3:uid="{6F9E872C-9774-4953-B865-B1AAEEDC7EBB}" name="Club" dataDxfId="85" totalsRowDxfId="9"/>
    <tableColumn id="17" xr3:uid="{ED175497-748B-40EC-B0AF-DE5405F441D1}" name="Cloths" totalsRowFunction="average" dataDxfId="84" totalsRowDxfId="8">
      <calculatedColumnFormula>-1500*3</calculatedColumnFormula>
    </tableColumn>
    <tableColumn id="12" xr3:uid="{257E32F4-CFAD-49C5-A482-67A4E94CC271}" name="Schools" totalsRowFunction="sum" dataDxfId="83" totalsRowDxfId="7"/>
    <tableColumn id="13" xr3:uid="{406538B9-50A6-4920-BC9A-8CFF81111415}" name="Education" totalsRowFunction="sum" dataDxfId="82" totalsRowDxfId="6"/>
    <tableColumn id="15" xr3:uid="{96F05650-A0B8-48FD-9FF2-0CF2D042920F}" name="Internet" totalsRowFunction="sum" dataDxfId="81" totalsRowDxfId="5"/>
    <tableColumn id="8" xr3:uid="{95C77D14-0A76-4D03-A378-9A2F9589D3A9}" name="Electric" totalsRowFunction="sum" dataDxfId="80" totalsRowDxfId="4"/>
    <tableColumn id="9" xr3:uid="{8B1308FF-6556-45E1-B5DF-82DBE6BD17DD}" name="Gas" totalsRowFunction="sum" dataDxfId="79" totalsRowDxfId="3"/>
    <tableColumn id="21" xr3:uid="{8C97B4B6-F32B-4BEB-96DE-ABF8666A8064}" name="Add_Expenses" dataDxfId="78" totalsRowDxfId="2"/>
    <tableColumn id="10" xr3:uid="{3232CB77-E33A-4499-B61C-DE4C55BD1427}" name="Fuel" totalsRowFunction="sum" dataDxfId="77" totalsRowDxfId="1"/>
    <tableColumn id="11" xr3:uid="{49E26DD5-7DCC-4DE2-9A44-D49E5EA1A831}" name="Balance" totalsRowFunction="max" dataDxfId="76" totalsRowDxfId="0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75" dataDxfId="74">
  <autoFilter ref="A1:D65" xr:uid="{C3265939-9DDE-49D0-B16D-992584708B59}"/>
  <tableColumns count="4">
    <tableColumn id="1" xr3:uid="{C1615512-B305-443E-B90D-B937DDC12AAD}" name="Date" dataDxfId="73"/>
    <tableColumn id="4" xr3:uid="{CD51677C-1FFD-4666-8219-66C9FA06991E}" name="Item" dataDxfId="72"/>
    <tableColumn id="2" xr3:uid="{0763EF00-2B55-43F7-ABF4-D1736C803D76}" name="Item_Val" dataDxfId="71"/>
    <tableColumn id="3" xr3:uid="{48268654-5DAF-481F-8F79-BFA62E4DE8CF}" name="Growth" dataDxfId="70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69" dataDxfId="68">
  <autoFilter ref="A1:F14" xr:uid="{295D201E-D7C4-4A70-B04C-58DAFE9F33CA}"/>
  <tableColumns count="6">
    <tableColumn id="1" xr3:uid="{2BB46849-9F9D-4DF6-A2B9-97B67F7EBBCE}" name="Attribute" dataDxfId="67"/>
    <tableColumn id="5" xr3:uid="{D3B47D54-C984-4A64-81BD-BFB3E291E849}" name="Object" dataDxfId="66"/>
    <tableColumn id="4" xr3:uid="{C0CFD872-AE2C-4A70-ADCE-553B5A5141BA}" name="Attribute_Desc" dataDxfId="65"/>
    <tableColumn id="2" xr3:uid="{0414412C-1674-4CB5-BC78-E617BCDAADBC}" name="Question" dataDxfId="64"/>
    <tableColumn id="6" xr3:uid="{7E7A64D1-692D-49BD-B53A-18EFBB427A10}" name="Answer Approach" dataDxfId="63"/>
    <tableColumn id="3" xr3:uid="{A422447F-2544-4757-8822-5241B7C0C8B4}" name="Type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61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60" dataDxfId="59">
  <autoFilter ref="A1:E36" xr:uid="{08D949C8-7183-46B8-B8DE-C8500CEA663F}"/>
  <tableColumns count="5">
    <tableColumn id="1" xr3:uid="{3DE165E8-C653-49B1-B9FF-7DF40D0C7678}" name="Measurements Types" totalsRowLabel="Count" dataDxfId="58" totalsRowDxfId="57"/>
    <tableColumn id="2" xr3:uid="{24E7BC82-A5E3-4B02-AB56-BCA40829095C}" name="Measurement" totalsRowFunction="count" dataDxfId="56" totalsRowDxfId="55"/>
    <tableColumn id="3" xr3:uid="{43D487C5-6DD1-4CBA-8692-C9C781D0BAA9}" name="Value" totalsRowFunction="count" dataDxfId="54" totalsRowDxfId="53"/>
    <tableColumn id="4" xr3:uid="{E4F9C1FF-E028-4100-B23F-AD155885FE70}" name="Description" totalsRowFunction="count" dataDxfId="52" totalsRowDxfId="51"/>
    <tableColumn id="5" xr3:uid="{15DB07C0-D3A2-4E9F-8472-87FB97F1E68B}" name="Why We need It" totalsRowFunction="count" dataDxfId="50" totalsRowDxfId="4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48" dataDxfId="47" totalsRowDxfId="46">
  <autoFilter ref="B1:C4" xr:uid="{1D6AD1AE-8BFB-43FE-A342-FAAED5606F39}"/>
  <tableColumns count="2">
    <tableColumn id="1" xr3:uid="{EEEA92C2-FCB5-4646-B2D8-21325C961E6C}" name="Doctors" totalsRowFunction="average" dataDxfId="45" totalsRowDxfId="44"/>
    <tableColumn id="2" xr3:uid="{660608BD-9486-4261-BAE1-13E9696E5733}" name="Teachers" totalsRowFunction="average" dataDxfId="43" totalsRow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41" dataDxfId="40">
  <autoFilter ref="A1:C9" xr:uid="{AE0EDD48-DF6B-42AE-AC77-8C772E5BA9E5}"/>
  <tableColumns count="3">
    <tableColumn id="1" xr3:uid="{F09306D3-A1F2-41E1-86DC-67EDFBC18722}" name="Year" dataDxfId="39"/>
    <tableColumn id="2" xr3:uid="{2BC120C4-42A7-4B5F-B780-E61305548892}" name="Generated" dataDxfId="38"/>
    <tableColumn id="3" xr3:uid="{E28AE0CD-4C45-4B53-BFFA-03DDE4A9CBD4}" name="Usage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36" dataDxfId="35">
  <autoFilter ref="A1:C9" xr:uid="{77E360E5-2067-40BC-B7A3-06095CBD22CF}"/>
  <tableColumns count="3">
    <tableColumn id="1" xr3:uid="{0323F7C7-1DB8-4F54-8866-477BCC7ACE27}" name="Year" dataDxfId="34"/>
    <tableColumn id="2" xr3:uid="{1D0671B4-9EF9-4F75-8B21-941CC74796EE}" name="Generated" dataDxfId="33"/>
    <tableColumn id="3" xr3:uid="{B9BDCF29-410A-480C-B445-F5D7C354BB0F}" name="Usage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X47"/>
  <sheetViews>
    <sheetView tabSelected="1" topLeftCell="A21" workbookViewId="0">
      <selection activeCell="C26" sqref="C26:C37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4" x14ac:dyDescent="0.25">
      <c r="A1" s="1" t="s">
        <v>49</v>
      </c>
      <c r="B1" s="1" t="s">
        <v>12</v>
      </c>
      <c r="C1" s="1" t="s">
        <v>265</v>
      </c>
      <c r="D1" s="1" t="s">
        <v>200</v>
      </c>
      <c r="E1" s="1" t="s">
        <v>199</v>
      </c>
      <c r="F1" s="1" t="s">
        <v>202</v>
      </c>
      <c r="G1" s="1" t="s">
        <v>219</v>
      </c>
      <c r="H1" s="1" t="s">
        <v>218</v>
      </c>
      <c r="I1" s="1" t="s">
        <v>217</v>
      </c>
      <c r="J1" s="1" t="s">
        <v>216</v>
      </c>
      <c r="K1" s="1" t="s">
        <v>57</v>
      </c>
      <c r="L1" s="1" t="s">
        <v>215</v>
      </c>
      <c r="M1" s="1" t="s">
        <v>214</v>
      </c>
      <c r="N1" s="1" t="s">
        <v>213</v>
      </c>
      <c r="O1" s="1" t="s">
        <v>212</v>
      </c>
      <c r="P1" s="1" t="s">
        <v>211</v>
      </c>
      <c r="Q1" s="1" t="s">
        <v>210</v>
      </c>
      <c r="R1" s="1" t="s">
        <v>209</v>
      </c>
      <c r="S1" s="1" t="s">
        <v>208</v>
      </c>
      <c r="T1" s="1" t="s">
        <v>207</v>
      </c>
      <c r="U1" s="1" t="s">
        <v>206</v>
      </c>
      <c r="V1" s="1" t="s">
        <v>205</v>
      </c>
      <c r="W1" s="1" t="s">
        <v>204</v>
      </c>
      <c r="X1" s="1" t="s">
        <v>203</v>
      </c>
    </row>
    <row r="2" spans="1:24" x14ac:dyDescent="0.25">
      <c r="A2" s="1">
        <v>2022</v>
      </c>
      <c r="B2" s="1" t="s">
        <v>0</v>
      </c>
      <c r="C2" s="1" t="s">
        <v>266</v>
      </c>
      <c r="D2" s="1">
        <v>70000</v>
      </c>
      <c r="E2" s="1">
        <v>30000</v>
      </c>
      <c r="F2" s="1">
        <f>IF(Budget_Table[[#This Row],[Revenue]]&gt;39999,Budget_Table[[#This Row],[Revenue]]*-0.01,0)</f>
        <v>0</v>
      </c>
      <c r="G2" s="1"/>
      <c r="H2" s="1"/>
      <c r="I2" s="1">
        <v>-3500</v>
      </c>
      <c r="J2" s="1">
        <v>-200</v>
      </c>
      <c r="K2" s="1"/>
      <c r="L2" s="1">
        <v>-6500</v>
      </c>
      <c r="M2" s="1">
        <v>-400</v>
      </c>
      <c r="N2" s="1">
        <v>-500</v>
      </c>
      <c r="O2" s="1"/>
      <c r="P2" s="1"/>
      <c r="Q2" s="1"/>
      <c r="R2" s="1">
        <v>-3000</v>
      </c>
      <c r="S2" s="1">
        <v>-250</v>
      </c>
      <c r="T2" s="1">
        <v>-400</v>
      </c>
      <c r="U2" s="1">
        <v>-100</v>
      </c>
      <c r="V2" s="1">
        <v>-1500</v>
      </c>
      <c r="W2" s="1">
        <v>-600</v>
      </c>
      <c r="X2" s="1">
        <f>SUM(Budget_Table[[#This Row],[Bank_Balance]:[Fuel]])</f>
        <v>83050</v>
      </c>
    </row>
    <row r="3" spans="1:24" x14ac:dyDescent="0.25">
      <c r="A3" s="1">
        <v>2022</v>
      </c>
      <c r="B3" s="1" t="s">
        <v>1</v>
      </c>
      <c r="C3" s="1" t="s">
        <v>267</v>
      </c>
      <c r="D3" s="1">
        <f>X2</f>
        <v>83050</v>
      </c>
      <c r="E3" s="1">
        <v>39000</v>
      </c>
      <c r="F3" s="1">
        <f>IF(Budget_Table[[#This Row],[Revenue]]&gt;39999,Budget_Table[[#This Row],[Revenue]]*-0.01,0)</f>
        <v>0</v>
      </c>
      <c r="G3" s="1">
        <v>-4000</v>
      </c>
      <c r="H3" s="1"/>
      <c r="I3" s="1">
        <v>-3500</v>
      </c>
      <c r="J3" s="1">
        <v>-200</v>
      </c>
      <c r="K3" s="1">
        <v>-20000</v>
      </c>
      <c r="L3" s="1">
        <v>-12000</v>
      </c>
      <c r="M3" s="1">
        <v>-400</v>
      </c>
      <c r="N3" s="1">
        <v>-500</v>
      </c>
      <c r="O3" s="1"/>
      <c r="P3" s="1">
        <f t="shared" ref="P3:P35" si="0">-1500*3</f>
        <v>-4500</v>
      </c>
      <c r="Q3" s="1"/>
      <c r="R3" s="1">
        <v>-3000</v>
      </c>
      <c r="S3" s="1">
        <v>-500</v>
      </c>
      <c r="T3" s="1">
        <v>-1000</v>
      </c>
      <c r="U3" s="1">
        <v>-100</v>
      </c>
      <c r="V3" s="1"/>
      <c r="W3" s="1">
        <v>-750</v>
      </c>
      <c r="X3" s="1">
        <f>SUM(Budget_Table[[#This Row],[Bank_Balance]:[Fuel]])</f>
        <v>71600</v>
      </c>
    </row>
    <row r="4" spans="1:24" x14ac:dyDescent="0.25">
      <c r="A4" s="1">
        <v>2022</v>
      </c>
      <c r="B4" s="1" t="s">
        <v>2</v>
      </c>
      <c r="C4" s="1" t="s">
        <v>268</v>
      </c>
      <c r="D4" s="1">
        <f t="shared" ref="D4:D37" si="1">X3</f>
        <v>71600</v>
      </c>
      <c r="E4" s="1">
        <v>41000</v>
      </c>
      <c r="F4" s="1">
        <f>IF(Budget_Table[[#This Row],[Revenue]]&gt;39999,Budget_Table[[#This Row],[Revenue]]*-0.01,0)</f>
        <v>-410</v>
      </c>
      <c r="G4" s="1">
        <v>-4000</v>
      </c>
      <c r="H4" s="1"/>
      <c r="I4" s="1">
        <v>-3500</v>
      </c>
      <c r="J4" s="1">
        <v>-200</v>
      </c>
      <c r="K4" s="1"/>
      <c r="L4" s="1">
        <v>-10000</v>
      </c>
      <c r="M4" s="1">
        <v>-400</v>
      </c>
      <c r="N4" s="1">
        <v>-500</v>
      </c>
      <c r="O4" s="1"/>
      <c r="P4" s="1"/>
      <c r="Q4" s="1"/>
      <c r="R4" s="1">
        <v>0</v>
      </c>
      <c r="S4" s="1">
        <v>-500</v>
      </c>
      <c r="T4" s="1">
        <v>-1000</v>
      </c>
      <c r="U4" s="1">
        <v>-100</v>
      </c>
      <c r="V4" s="1"/>
      <c r="W4" s="1">
        <v>-750</v>
      </c>
      <c r="X4" s="1">
        <f>SUM(Budget_Table[[#This Row],[Bank_Balance]:[Fuel]])</f>
        <v>91240</v>
      </c>
    </row>
    <row r="5" spans="1:24" x14ac:dyDescent="0.25">
      <c r="A5" s="1">
        <v>2022</v>
      </c>
      <c r="B5" s="1" t="s">
        <v>3</v>
      </c>
      <c r="C5" s="1" t="s">
        <v>269</v>
      </c>
      <c r="D5" s="1">
        <f t="shared" si="1"/>
        <v>91240</v>
      </c>
      <c r="E5" s="1">
        <v>39000</v>
      </c>
      <c r="F5" s="1">
        <f>IF(Budget_Table[[#This Row],[Revenue]]&gt;39999,Budget_Table[[#This Row],[Revenue]]*-0.01,0)</f>
        <v>0</v>
      </c>
      <c r="G5" s="1">
        <v>-4000</v>
      </c>
      <c r="H5" s="1"/>
      <c r="I5" s="1">
        <v>-3500</v>
      </c>
      <c r="J5" s="1">
        <v>-200</v>
      </c>
      <c r="K5" s="1">
        <v>-20000</v>
      </c>
      <c r="L5" s="1">
        <v>-10000</v>
      </c>
      <c r="M5" s="1">
        <v>-400</v>
      </c>
      <c r="N5" s="1">
        <v>-500</v>
      </c>
      <c r="O5" s="1"/>
      <c r="P5" s="1"/>
      <c r="Q5" s="1"/>
      <c r="R5" s="1">
        <v>0</v>
      </c>
      <c r="S5" s="1">
        <v>-500</v>
      </c>
      <c r="T5" s="1">
        <v>-1000</v>
      </c>
      <c r="U5" s="1">
        <v>-100</v>
      </c>
      <c r="V5" s="1"/>
      <c r="W5" s="1">
        <v>-750</v>
      </c>
      <c r="X5" s="1">
        <f>SUM(Budget_Table[[#This Row],[Bank_Balance]:[Fuel]])</f>
        <v>89290</v>
      </c>
    </row>
    <row r="6" spans="1:24" x14ac:dyDescent="0.25">
      <c r="A6" s="1">
        <v>2022</v>
      </c>
      <c r="B6" s="1" t="s">
        <v>4</v>
      </c>
      <c r="C6" s="1" t="s">
        <v>270</v>
      </c>
      <c r="D6" s="1">
        <f t="shared" si="1"/>
        <v>89290</v>
      </c>
      <c r="E6" s="1">
        <v>43000</v>
      </c>
      <c r="F6" s="1">
        <f>IF(Budget_Table[[#This Row],[Revenue]]&gt;39999,Budget_Table[[#This Row],[Revenue]]*-0.01,0)</f>
        <v>-430</v>
      </c>
      <c r="G6" s="1">
        <v>-4000</v>
      </c>
      <c r="H6" s="1"/>
      <c r="I6" s="1">
        <v>-3500</v>
      </c>
      <c r="J6" s="1">
        <v>-200</v>
      </c>
      <c r="K6" s="1"/>
      <c r="L6" s="1">
        <v>-10000</v>
      </c>
      <c r="M6" s="1">
        <v>-400</v>
      </c>
      <c r="N6" s="1">
        <v>-500</v>
      </c>
      <c r="O6" s="1"/>
      <c r="P6" s="1"/>
      <c r="Q6" s="1">
        <v>-8000</v>
      </c>
      <c r="R6" s="1">
        <v>0</v>
      </c>
      <c r="S6" s="1">
        <v>-500</v>
      </c>
      <c r="T6" s="1">
        <v>-1000</v>
      </c>
      <c r="U6" s="1">
        <v>-100</v>
      </c>
      <c r="V6" s="1"/>
      <c r="W6" s="1">
        <v>-750</v>
      </c>
      <c r="X6" s="1">
        <f>SUM(Budget_Table[[#This Row],[Bank_Balance]:[Fuel]])</f>
        <v>102910</v>
      </c>
    </row>
    <row r="7" spans="1:24" x14ac:dyDescent="0.25">
      <c r="A7" s="1">
        <v>2022</v>
      </c>
      <c r="B7" s="1" t="s">
        <v>5</v>
      </c>
      <c r="C7" s="1" t="s">
        <v>271</v>
      </c>
      <c r="D7" s="1">
        <f t="shared" si="1"/>
        <v>102910</v>
      </c>
      <c r="E7" s="1">
        <v>39000</v>
      </c>
      <c r="F7" s="1">
        <f>IF(Budget_Table[[#This Row],[Revenue]]&gt;39999,Budget_Table[[#This Row],[Revenue]]*-0.01,0)</f>
        <v>0</v>
      </c>
      <c r="G7" s="1">
        <v>20000</v>
      </c>
      <c r="H7" s="1">
        <v>-8000</v>
      </c>
      <c r="I7" s="1">
        <v>-3500</v>
      </c>
      <c r="J7" s="1">
        <v>-200</v>
      </c>
      <c r="K7" s="1">
        <v>-60000</v>
      </c>
      <c r="L7" s="1">
        <v>-10000</v>
      </c>
      <c r="M7" s="1">
        <v>-400</v>
      </c>
      <c r="N7" s="1">
        <v>-500</v>
      </c>
      <c r="O7" s="1">
        <v>-1200</v>
      </c>
      <c r="P7" s="1">
        <f t="shared" si="0"/>
        <v>-4500</v>
      </c>
      <c r="Q7" s="1"/>
      <c r="R7" s="1">
        <v>0</v>
      </c>
      <c r="S7" s="1">
        <v>-500</v>
      </c>
      <c r="T7" s="1">
        <v>-1000</v>
      </c>
      <c r="U7" s="1">
        <v>-100</v>
      </c>
      <c r="V7" s="1"/>
      <c r="W7" s="1">
        <v>-750</v>
      </c>
      <c r="X7" s="1">
        <f>SUM(Budget_Table[[#This Row],[Bank_Balance]:[Fuel]])</f>
        <v>71260</v>
      </c>
    </row>
    <row r="8" spans="1:24" x14ac:dyDescent="0.25">
      <c r="A8" s="1">
        <v>2022</v>
      </c>
      <c r="B8" s="1" t="s">
        <v>6</v>
      </c>
      <c r="C8" s="1" t="s">
        <v>273</v>
      </c>
      <c r="D8" s="1">
        <f t="shared" si="1"/>
        <v>71260</v>
      </c>
      <c r="E8" s="1">
        <v>50000</v>
      </c>
      <c r="F8" s="1">
        <f>IF(Budget_Table[[#This Row],[Revenue]]&gt;39999,Budget_Table[[#This Row],[Revenue]]*-0.01,0)</f>
        <v>-500</v>
      </c>
      <c r="G8" s="1"/>
      <c r="H8" s="1"/>
      <c r="I8" s="1">
        <v>-3500</v>
      </c>
      <c r="J8" s="1">
        <v>-200</v>
      </c>
      <c r="K8" s="1"/>
      <c r="L8" s="1">
        <v>-10000</v>
      </c>
      <c r="M8" s="1">
        <v>-400</v>
      </c>
      <c r="N8" s="1">
        <v>-500</v>
      </c>
      <c r="O8" s="1"/>
      <c r="P8" s="1"/>
      <c r="Q8" s="1">
        <v>-40000</v>
      </c>
      <c r="R8" s="1">
        <v>-3000</v>
      </c>
      <c r="S8" s="1">
        <v>-500</v>
      </c>
      <c r="T8" s="1">
        <v>-1000</v>
      </c>
      <c r="U8" s="1">
        <v>-100</v>
      </c>
      <c r="V8" s="1"/>
      <c r="W8" s="1">
        <v>-750</v>
      </c>
      <c r="X8" s="1">
        <f>SUM(Budget_Table[[#This Row],[Bank_Balance]:[Fuel]])</f>
        <v>60810</v>
      </c>
    </row>
    <row r="9" spans="1:24" x14ac:dyDescent="0.25">
      <c r="A9" s="1">
        <v>2022</v>
      </c>
      <c r="B9" s="1" t="s">
        <v>7</v>
      </c>
      <c r="C9" s="1" t="s">
        <v>272</v>
      </c>
      <c r="D9" s="1">
        <f t="shared" si="1"/>
        <v>60810</v>
      </c>
      <c r="E9" s="1">
        <v>80000</v>
      </c>
      <c r="F9" s="1">
        <f>IF(Budget_Table[[#This Row],[Revenue]]&gt;39999,Budget_Table[[#This Row],[Revenue]]*-0.01,0)</f>
        <v>-800</v>
      </c>
      <c r="G9" s="1"/>
      <c r="H9" s="1"/>
      <c r="I9" s="1">
        <v>-3500</v>
      </c>
      <c r="J9" s="1">
        <v>-200</v>
      </c>
      <c r="K9" s="1">
        <v>-20000</v>
      </c>
      <c r="L9" s="1">
        <v>-10000</v>
      </c>
      <c r="M9" s="1">
        <v>-400</v>
      </c>
      <c r="N9" s="1">
        <v>-500</v>
      </c>
      <c r="O9" s="1"/>
      <c r="P9" s="1"/>
      <c r="Q9" s="1"/>
      <c r="R9" s="1">
        <v>-3000</v>
      </c>
      <c r="S9" s="1">
        <v>-500</v>
      </c>
      <c r="T9" s="1">
        <v>-1000</v>
      </c>
      <c r="U9" s="1">
        <v>-100</v>
      </c>
      <c r="V9" s="1"/>
      <c r="W9" s="1">
        <v>-750</v>
      </c>
      <c r="X9" s="1">
        <f>SUM(Budget_Table[[#This Row],[Bank_Balance]:[Fuel]])</f>
        <v>100060</v>
      </c>
    </row>
    <row r="10" spans="1:24" x14ac:dyDescent="0.25">
      <c r="A10" s="1">
        <v>2022</v>
      </c>
      <c r="B10" s="1" t="s">
        <v>8</v>
      </c>
      <c r="C10" s="1" t="s">
        <v>275</v>
      </c>
      <c r="D10" s="1">
        <f t="shared" si="1"/>
        <v>100060</v>
      </c>
      <c r="E10" s="1">
        <v>39000</v>
      </c>
      <c r="F10" s="1">
        <f>IF(Budget_Table[[#This Row],[Revenue]]&gt;39999,Budget_Table[[#This Row],[Revenue]]*-0.01,0)</f>
        <v>0</v>
      </c>
      <c r="G10" s="1"/>
      <c r="H10" s="1"/>
      <c r="I10" s="1">
        <v>-3500</v>
      </c>
      <c r="J10" s="1">
        <v>-200</v>
      </c>
      <c r="K10" s="1"/>
      <c r="L10" s="1">
        <v>-10000</v>
      </c>
      <c r="M10" s="1">
        <v>-400</v>
      </c>
      <c r="N10" s="1">
        <v>-500</v>
      </c>
      <c r="O10" s="1"/>
      <c r="P10" s="1"/>
      <c r="Q10" s="1"/>
      <c r="R10" s="1">
        <v>-3000</v>
      </c>
      <c r="S10" s="1">
        <v>-500</v>
      </c>
      <c r="T10" s="1">
        <v>-1000</v>
      </c>
      <c r="U10" s="1">
        <v>-100</v>
      </c>
      <c r="V10" s="1"/>
      <c r="W10" s="1">
        <v>-750</v>
      </c>
      <c r="X10" s="1">
        <f>SUM(Budget_Table[[#This Row],[Bank_Balance]:[Fuel]])</f>
        <v>119110</v>
      </c>
    </row>
    <row r="11" spans="1:24" x14ac:dyDescent="0.25">
      <c r="A11" s="1">
        <v>2022</v>
      </c>
      <c r="B11" s="1" t="s">
        <v>9</v>
      </c>
      <c r="C11" s="1" t="s">
        <v>274</v>
      </c>
      <c r="D11" s="1">
        <f t="shared" si="1"/>
        <v>119110</v>
      </c>
      <c r="E11" s="1">
        <v>41000</v>
      </c>
      <c r="F11" s="1">
        <f>IF(Budget_Table[[#This Row],[Revenue]]&gt;39999,Budget_Table[[#This Row],[Revenue]]*-0.01,0)</f>
        <v>-410</v>
      </c>
      <c r="G11" s="1"/>
      <c r="H11" s="1"/>
      <c r="I11" s="1">
        <v>-3500</v>
      </c>
      <c r="J11" s="1">
        <v>-200</v>
      </c>
      <c r="K11" s="1">
        <v>-20000</v>
      </c>
      <c r="L11" s="1">
        <v>-10000</v>
      </c>
      <c r="M11" s="1">
        <v>-400</v>
      </c>
      <c r="N11" s="1">
        <v>-500</v>
      </c>
      <c r="O11" s="1"/>
      <c r="P11" s="1">
        <f t="shared" si="0"/>
        <v>-4500</v>
      </c>
      <c r="Q11" s="1"/>
      <c r="R11" s="1">
        <v>-3000</v>
      </c>
      <c r="S11" s="1">
        <v>-500</v>
      </c>
      <c r="T11" s="1">
        <v>-1000</v>
      </c>
      <c r="U11" s="1">
        <v>-100</v>
      </c>
      <c r="V11" s="1"/>
      <c r="W11" s="1">
        <v>-750</v>
      </c>
      <c r="X11" s="1">
        <f>SUM(Budget_Table[[#This Row],[Bank_Balance]:[Fuel]])</f>
        <v>115250</v>
      </c>
    </row>
    <row r="12" spans="1:24" x14ac:dyDescent="0.25">
      <c r="A12" s="1">
        <v>2023</v>
      </c>
      <c r="B12" s="1" t="s">
        <v>14</v>
      </c>
      <c r="C12" s="1" t="s">
        <v>276</v>
      </c>
      <c r="D12" s="1">
        <f t="shared" si="1"/>
        <v>115250</v>
      </c>
      <c r="E12" s="1">
        <v>30000</v>
      </c>
      <c r="F12" s="1">
        <f>IF(Budget_Table[[#This Row],[Revenue]]&gt;39999,Budget_Table[[#This Row],[Revenue]]*-0.01,0)</f>
        <v>0</v>
      </c>
      <c r="G12" s="1"/>
      <c r="H12" s="1"/>
      <c r="I12" s="1">
        <v>-4500</v>
      </c>
      <c r="J12" s="1">
        <v>-200</v>
      </c>
      <c r="K12" s="1"/>
      <c r="L12" s="1">
        <v>-10000</v>
      </c>
      <c r="M12" s="1">
        <v>-400</v>
      </c>
      <c r="N12" s="1">
        <v>-500</v>
      </c>
      <c r="O12" s="1"/>
      <c r="P12" s="1"/>
      <c r="Q12" s="1"/>
      <c r="R12" s="1">
        <v>-3000</v>
      </c>
      <c r="S12" s="1">
        <v>-500</v>
      </c>
      <c r="T12" s="1">
        <v>-1000</v>
      </c>
      <c r="U12" s="1">
        <v>-100</v>
      </c>
      <c r="V12" s="1"/>
      <c r="W12" s="1">
        <v>-750</v>
      </c>
      <c r="X12" s="1">
        <f>SUM(Budget_Table[[#This Row],[Bank_Balance]:[Fuel]])</f>
        <v>124300</v>
      </c>
    </row>
    <row r="13" spans="1:24" x14ac:dyDescent="0.25">
      <c r="A13" s="1">
        <v>2023</v>
      </c>
      <c r="B13" s="1" t="s">
        <v>15</v>
      </c>
      <c r="C13" s="1" t="s">
        <v>277</v>
      </c>
      <c r="D13" s="1">
        <f t="shared" si="1"/>
        <v>124300</v>
      </c>
      <c r="E13" s="1">
        <v>50000</v>
      </c>
      <c r="F13" s="1">
        <f>IF(Budget_Table[[#This Row],[Revenue]]&gt;39999,Budget_Table[[#This Row],[Revenue]]*-0.01,0)</f>
        <v>-500</v>
      </c>
      <c r="G13" s="1"/>
      <c r="H13" s="1"/>
      <c r="I13" s="1">
        <v>-4500</v>
      </c>
      <c r="J13" s="1">
        <v>-200</v>
      </c>
      <c r="K13" s="1">
        <v>-30000</v>
      </c>
      <c r="L13" s="1">
        <v>-10000</v>
      </c>
      <c r="M13" s="1">
        <v>-400</v>
      </c>
      <c r="N13" s="1">
        <v>-500</v>
      </c>
      <c r="O13" s="1"/>
      <c r="P13" s="1"/>
      <c r="Q13" s="1">
        <v>-30000</v>
      </c>
      <c r="R13" s="1">
        <v>-3000</v>
      </c>
      <c r="S13" s="1">
        <v>-500</v>
      </c>
      <c r="T13" s="1">
        <v>-1000</v>
      </c>
      <c r="U13" s="1">
        <v>-100</v>
      </c>
      <c r="V13" s="1"/>
      <c r="W13" s="1">
        <v>-750</v>
      </c>
      <c r="X13" s="1">
        <f>SUM(Budget_Table[[#This Row],[Bank_Balance]:[Fuel]])</f>
        <v>92850</v>
      </c>
    </row>
    <row r="14" spans="1:24" x14ac:dyDescent="0.25">
      <c r="A14" s="1">
        <v>2023</v>
      </c>
      <c r="B14" s="1" t="s">
        <v>16</v>
      </c>
      <c r="C14" s="1" t="s">
        <v>266</v>
      </c>
      <c r="D14" s="1">
        <f t="shared" si="1"/>
        <v>92850</v>
      </c>
      <c r="E14" s="1">
        <v>33000</v>
      </c>
      <c r="F14" s="1">
        <f>IF(Budget_Table[[#This Row],[Revenue]]&gt;39999,Budget_Table[[#This Row],[Revenue]]*-0.01,0)</f>
        <v>0</v>
      </c>
      <c r="G14" s="1"/>
      <c r="H14" s="1"/>
      <c r="I14" s="1">
        <v>-4500</v>
      </c>
      <c r="J14" s="1">
        <v>-200</v>
      </c>
      <c r="K14" s="1"/>
      <c r="L14" s="1">
        <v>-15000</v>
      </c>
      <c r="M14" s="1">
        <v>-400</v>
      </c>
      <c r="N14" s="1">
        <v>-500</v>
      </c>
      <c r="O14" s="1"/>
      <c r="P14" s="1"/>
      <c r="Q14" s="1"/>
      <c r="R14" s="1">
        <v>-3000</v>
      </c>
      <c r="S14" s="1">
        <v>-500</v>
      </c>
      <c r="T14" s="1">
        <v>-1000</v>
      </c>
      <c r="U14" s="1">
        <v>-100</v>
      </c>
      <c r="V14" s="1">
        <v>-1000</v>
      </c>
      <c r="W14" s="1">
        <v>-750</v>
      </c>
      <c r="X14" s="1">
        <f>SUM(Budget_Table[[#This Row],[Bank_Balance]:[Fuel]])</f>
        <v>98900</v>
      </c>
    </row>
    <row r="15" spans="1:24" x14ac:dyDescent="0.25">
      <c r="A15" s="1">
        <v>2023</v>
      </c>
      <c r="B15" s="1" t="s">
        <v>17</v>
      </c>
      <c r="C15" s="1" t="s">
        <v>267</v>
      </c>
      <c r="D15" s="1">
        <f t="shared" si="1"/>
        <v>98900</v>
      </c>
      <c r="E15" s="1">
        <v>39000</v>
      </c>
      <c r="F15" s="1">
        <f>IF(Budget_Table[[#This Row],[Revenue]]&gt;39999,Budget_Table[[#This Row],[Revenue]]*-0.01,0)</f>
        <v>0</v>
      </c>
      <c r="G15" s="1"/>
      <c r="H15" s="1"/>
      <c r="I15" s="1">
        <v>-4500</v>
      </c>
      <c r="J15" s="1">
        <v>-200</v>
      </c>
      <c r="K15" s="1">
        <v>-20000</v>
      </c>
      <c r="L15" s="1">
        <v>-10000</v>
      </c>
      <c r="M15" s="1">
        <v>-400</v>
      </c>
      <c r="N15" s="1">
        <v>-500</v>
      </c>
      <c r="O15" s="1"/>
      <c r="P15" s="1">
        <f t="shared" si="0"/>
        <v>-4500</v>
      </c>
      <c r="Q15" s="1"/>
      <c r="R15" s="1">
        <v>-3000</v>
      </c>
      <c r="S15" s="1">
        <v>-500</v>
      </c>
      <c r="T15" s="1">
        <v>-1000</v>
      </c>
      <c r="U15" s="1">
        <v>-100</v>
      </c>
      <c r="V15" s="1"/>
      <c r="W15" s="1">
        <v>-750</v>
      </c>
      <c r="X15" s="1">
        <f>SUM(Budget_Table[[#This Row],[Bank_Balance]:[Fuel]])</f>
        <v>92450</v>
      </c>
    </row>
    <row r="16" spans="1:24" x14ac:dyDescent="0.25">
      <c r="A16" s="1">
        <v>2023</v>
      </c>
      <c r="B16" s="1" t="s">
        <v>10</v>
      </c>
      <c r="C16" s="1" t="s">
        <v>268</v>
      </c>
      <c r="D16" s="1">
        <f t="shared" si="1"/>
        <v>92450</v>
      </c>
      <c r="E16" s="1">
        <v>36000</v>
      </c>
      <c r="F16" s="1">
        <f>IF(Budget_Table[[#This Row],[Revenue]]&gt;39999,Budget_Table[[#This Row],[Revenue]]*-0.01,0)</f>
        <v>0</v>
      </c>
      <c r="G16" s="1"/>
      <c r="H16" s="1"/>
      <c r="I16" s="1">
        <v>-4500</v>
      </c>
      <c r="J16" s="1">
        <v>-200</v>
      </c>
      <c r="K16" s="1"/>
      <c r="L16" s="1">
        <v>-10000</v>
      </c>
      <c r="M16" s="1">
        <v>-400</v>
      </c>
      <c r="N16" s="1">
        <v>-500</v>
      </c>
      <c r="O16" s="1"/>
      <c r="P16" s="1"/>
      <c r="Q16" s="1"/>
      <c r="R16" s="1">
        <v>-3000</v>
      </c>
      <c r="S16" s="1">
        <v>-500</v>
      </c>
      <c r="T16" s="1">
        <v>-1000</v>
      </c>
      <c r="U16" s="1">
        <v>-100</v>
      </c>
      <c r="V16" s="1"/>
      <c r="W16" s="1">
        <v>-750</v>
      </c>
      <c r="X16" s="1">
        <f>SUM(Budget_Table[[#This Row],[Bank_Balance]:[Fuel]])</f>
        <v>107500</v>
      </c>
    </row>
    <row r="17" spans="1:24" x14ac:dyDescent="0.25">
      <c r="A17" s="1">
        <v>2023</v>
      </c>
      <c r="B17" s="1" t="s">
        <v>18</v>
      </c>
      <c r="C17" s="1" t="s">
        <v>269</v>
      </c>
      <c r="D17" s="1">
        <f t="shared" si="1"/>
        <v>107500</v>
      </c>
      <c r="E17" s="1">
        <v>36000</v>
      </c>
      <c r="F17" s="1">
        <f>IF(Budget_Table[[#This Row],[Revenue]]&gt;39999,Budget_Table[[#This Row],[Revenue]]*-0.01,0)</f>
        <v>0</v>
      </c>
      <c r="G17" s="1"/>
      <c r="H17" s="1"/>
      <c r="I17" s="1">
        <v>-4500</v>
      </c>
      <c r="J17" s="1">
        <v>-200</v>
      </c>
      <c r="K17" s="1">
        <v>-20000</v>
      </c>
      <c r="L17" s="1">
        <v>-10000</v>
      </c>
      <c r="M17" s="1">
        <v>-400</v>
      </c>
      <c r="N17" s="1">
        <v>-500</v>
      </c>
      <c r="O17" s="1"/>
      <c r="P17" s="1"/>
      <c r="Q17" s="1"/>
      <c r="R17" s="1">
        <v>-3000</v>
      </c>
      <c r="S17" s="1">
        <v>-500</v>
      </c>
      <c r="T17" s="1">
        <v>-1000</v>
      </c>
      <c r="U17" s="1">
        <v>-100</v>
      </c>
      <c r="V17" s="1"/>
      <c r="W17" s="1">
        <v>-750</v>
      </c>
      <c r="X17" s="1">
        <f>SUM(Budget_Table[[#This Row],[Bank_Balance]:[Fuel]])</f>
        <v>102550</v>
      </c>
    </row>
    <row r="18" spans="1:24" x14ac:dyDescent="0.25">
      <c r="A18" s="1">
        <v>2023</v>
      </c>
      <c r="B18" s="1" t="s">
        <v>19</v>
      </c>
      <c r="C18" s="1" t="s">
        <v>270</v>
      </c>
      <c r="D18" s="1">
        <f t="shared" si="1"/>
        <v>102550</v>
      </c>
      <c r="E18" s="1">
        <v>36000</v>
      </c>
      <c r="F18" s="1">
        <f>IF(Budget_Table[[#This Row],[Revenue]]&gt;39999,Budget_Table[[#This Row],[Revenue]]*-0.01,0)</f>
        <v>0</v>
      </c>
      <c r="G18" s="1"/>
      <c r="H18" s="1">
        <v>-8000</v>
      </c>
      <c r="I18" s="1">
        <v>-4500</v>
      </c>
      <c r="J18" s="1">
        <v>-200</v>
      </c>
      <c r="K18" s="1"/>
      <c r="L18" s="1">
        <v>-10000</v>
      </c>
      <c r="M18" s="1">
        <v>-400</v>
      </c>
      <c r="N18" s="1">
        <v>-500</v>
      </c>
      <c r="O18" s="1"/>
      <c r="P18" s="1"/>
      <c r="Q18" s="1"/>
      <c r="R18" s="1">
        <v>0</v>
      </c>
      <c r="S18" s="1">
        <v>-500</v>
      </c>
      <c r="T18" s="1">
        <v>-1000</v>
      </c>
      <c r="U18" s="1">
        <v>-100</v>
      </c>
      <c r="V18" s="1"/>
      <c r="W18" s="1">
        <v>-750</v>
      </c>
      <c r="X18" s="1">
        <f>SUM(Budget_Table[[#This Row],[Bank_Balance]:[Fuel]])</f>
        <v>112600</v>
      </c>
    </row>
    <row r="19" spans="1:24" x14ac:dyDescent="0.25">
      <c r="A19" s="1">
        <v>2023</v>
      </c>
      <c r="B19" s="1" t="s">
        <v>20</v>
      </c>
      <c r="C19" s="1" t="s">
        <v>271</v>
      </c>
      <c r="D19" s="1">
        <f t="shared" si="1"/>
        <v>112600</v>
      </c>
      <c r="E19" s="1">
        <v>40000</v>
      </c>
      <c r="F19" s="1">
        <f>IF(Budget_Table[[#This Row],[Revenue]]&gt;39999,Budget_Table[[#This Row],[Revenue]]*-0.01,0)</f>
        <v>-400</v>
      </c>
      <c r="G19" s="1"/>
      <c r="H19" s="1"/>
      <c r="I19" s="1">
        <v>-4500</v>
      </c>
      <c r="J19" s="1">
        <v>-200</v>
      </c>
      <c r="K19" s="1">
        <v>-60000</v>
      </c>
      <c r="L19" s="1">
        <v>-10000</v>
      </c>
      <c r="M19" s="1">
        <v>-400</v>
      </c>
      <c r="N19" s="1">
        <v>-500</v>
      </c>
      <c r="O19" s="1">
        <v>-1200</v>
      </c>
      <c r="P19" s="1">
        <f t="shared" si="0"/>
        <v>-4500</v>
      </c>
      <c r="Q19" s="1"/>
      <c r="R19" s="1">
        <v>0</v>
      </c>
      <c r="S19" s="1">
        <v>-500</v>
      </c>
      <c r="T19" s="1">
        <v>-1000</v>
      </c>
      <c r="U19" s="1">
        <v>-100</v>
      </c>
      <c r="V19" s="1"/>
      <c r="W19" s="1">
        <v>-750</v>
      </c>
      <c r="X19" s="1">
        <f>SUM(Budget_Table[[#This Row],[Bank_Balance]:[Fuel]])</f>
        <v>68550</v>
      </c>
    </row>
    <row r="20" spans="1:24" x14ac:dyDescent="0.25">
      <c r="A20" s="1">
        <v>2023</v>
      </c>
      <c r="B20" s="1" t="s">
        <v>21</v>
      </c>
      <c r="C20" s="1" t="s">
        <v>273</v>
      </c>
      <c r="D20" s="1">
        <f t="shared" si="1"/>
        <v>68550</v>
      </c>
      <c r="E20" s="1">
        <v>50000</v>
      </c>
      <c r="F20" s="1">
        <f>IF(Budget_Table[[#This Row],[Revenue]]&gt;39999,Budget_Table[[#This Row],[Revenue]]*-0.01,0)</f>
        <v>-500</v>
      </c>
      <c r="G20" s="1"/>
      <c r="H20" s="1"/>
      <c r="I20" s="1">
        <v>-4500</v>
      </c>
      <c r="J20" s="1">
        <v>-200</v>
      </c>
      <c r="K20" s="1"/>
      <c r="L20" s="1">
        <v>-10000</v>
      </c>
      <c r="M20" s="1">
        <v>-400</v>
      </c>
      <c r="N20" s="1">
        <v>-500</v>
      </c>
      <c r="O20" s="1"/>
      <c r="P20" s="1"/>
      <c r="Q20" s="1">
        <v>-40000</v>
      </c>
      <c r="R20" s="1">
        <v>0</v>
      </c>
      <c r="S20" s="1">
        <v>-500</v>
      </c>
      <c r="T20" s="1">
        <v>-1000</v>
      </c>
      <c r="U20" s="1">
        <v>-100</v>
      </c>
      <c r="V20" s="1"/>
      <c r="W20" s="1">
        <v>-750</v>
      </c>
      <c r="X20" s="1">
        <f>SUM(Budget_Table[[#This Row],[Bank_Balance]:[Fuel]])</f>
        <v>60100</v>
      </c>
    </row>
    <row r="21" spans="1:24" x14ac:dyDescent="0.25">
      <c r="A21" s="1">
        <v>2023</v>
      </c>
      <c r="B21" s="1" t="s">
        <v>22</v>
      </c>
      <c r="C21" s="1" t="s">
        <v>272</v>
      </c>
      <c r="D21" s="1">
        <f t="shared" si="1"/>
        <v>60100</v>
      </c>
      <c r="E21" s="1">
        <v>80000</v>
      </c>
      <c r="F21" s="1">
        <f>IF(Budget_Table[[#This Row],[Revenue]]&gt;39999,Budget_Table[[#This Row],[Revenue]]*-0.01,0)</f>
        <v>-800</v>
      </c>
      <c r="G21" s="1"/>
      <c r="H21" s="1"/>
      <c r="I21" s="1">
        <v>-4500</v>
      </c>
      <c r="J21" s="1">
        <v>-200</v>
      </c>
      <c r="K21" s="1">
        <v>-20000</v>
      </c>
      <c r="L21" s="1">
        <v>-10000</v>
      </c>
      <c r="M21" s="1">
        <v>-400</v>
      </c>
      <c r="N21" s="1">
        <v>-500</v>
      </c>
      <c r="O21" s="1"/>
      <c r="P21" s="1"/>
      <c r="Q21" s="1"/>
      <c r="R21" s="1">
        <v>0</v>
      </c>
      <c r="S21" s="1">
        <v>-500</v>
      </c>
      <c r="T21" s="1">
        <v>-1000</v>
      </c>
      <c r="U21" s="1">
        <v>-100</v>
      </c>
      <c r="V21" s="1"/>
      <c r="W21" s="1">
        <v>-750</v>
      </c>
      <c r="X21" s="1">
        <f>SUM(Budget_Table[[#This Row],[Bank_Balance]:[Fuel]])</f>
        <v>101350</v>
      </c>
    </row>
    <row r="22" spans="1:24" x14ac:dyDescent="0.25">
      <c r="A22" s="1">
        <v>2023</v>
      </c>
      <c r="B22" s="1" t="s">
        <v>23</v>
      </c>
      <c r="C22" s="1" t="s">
        <v>275</v>
      </c>
      <c r="D22" s="1">
        <f t="shared" si="1"/>
        <v>101350</v>
      </c>
      <c r="E22" s="1">
        <v>45000</v>
      </c>
      <c r="F22" s="1">
        <f>IF(Budget_Table[[#This Row],[Revenue]]&gt;39999,Budget_Table[[#This Row],[Revenue]]*-0.01,0)</f>
        <v>-450</v>
      </c>
      <c r="G22" s="1"/>
      <c r="H22" s="1"/>
      <c r="I22" s="1">
        <v>-4500</v>
      </c>
      <c r="J22" s="1">
        <v>-200</v>
      </c>
      <c r="K22" s="1"/>
      <c r="L22" s="1">
        <v>-10000</v>
      </c>
      <c r="M22" s="1">
        <v>-400</v>
      </c>
      <c r="N22" s="1">
        <v>-500</v>
      </c>
      <c r="O22" s="1"/>
      <c r="P22" s="1"/>
      <c r="Q22" s="1"/>
      <c r="R22" s="1">
        <v>0</v>
      </c>
      <c r="S22" s="1">
        <v>-500</v>
      </c>
      <c r="T22" s="1">
        <v>-1000</v>
      </c>
      <c r="U22" s="1">
        <v>-100</v>
      </c>
      <c r="V22" s="1"/>
      <c r="W22" s="1">
        <v>-750</v>
      </c>
      <c r="X22" s="1">
        <f>SUM(Budget_Table[[#This Row],[Bank_Balance]:[Fuel]])</f>
        <v>127950</v>
      </c>
    </row>
    <row r="23" spans="1:24" x14ac:dyDescent="0.25">
      <c r="A23" s="1">
        <v>2023</v>
      </c>
      <c r="B23" s="1" t="s">
        <v>24</v>
      </c>
      <c r="C23" s="1" t="s">
        <v>274</v>
      </c>
      <c r="D23" s="1">
        <f t="shared" si="1"/>
        <v>127950</v>
      </c>
      <c r="E23" s="1">
        <v>45000</v>
      </c>
      <c r="F23" s="1">
        <f>IF(Budget_Table[[#This Row],[Revenue]]&gt;39999,Budget_Table[[#This Row],[Revenue]]*-0.01,0)</f>
        <v>-450</v>
      </c>
      <c r="G23" s="1"/>
      <c r="H23" s="1"/>
      <c r="I23" s="1">
        <v>-4500</v>
      </c>
      <c r="J23" s="1">
        <v>-200</v>
      </c>
      <c r="K23" s="1">
        <v>-40000</v>
      </c>
      <c r="L23" s="1">
        <v>-10000</v>
      </c>
      <c r="M23" s="1">
        <v>-400</v>
      </c>
      <c r="N23" s="1">
        <v>-500</v>
      </c>
      <c r="O23" s="1"/>
      <c r="P23" s="1">
        <f t="shared" si="0"/>
        <v>-4500</v>
      </c>
      <c r="Q23" s="1"/>
      <c r="R23" s="1">
        <v>0</v>
      </c>
      <c r="S23" s="1">
        <v>-500</v>
      </c>
      <c r="T23" s="1">
        <v>-1000</v>
      </c>
      <c r="U23" s="1">
        <v>-100</v>
      </c>
      <c r="V23" s="1"/>
      <c r="W23" s="1">
        <v>-750</v>
      </c>
      <c r="X23" s="1">
        <f>SUM(Budget_Table[[#This Row],[Bank_Balance]:[Fuel]])</f>
        <v>110050</v>
      </c>
    </row>
    <row r="24" spans="1:24" x14ac:dyDescent="0.25">
      <c r="A24" s="1">
        <v>2024</v>
      </c>
      <c r="B24" s="1" t="s">
        <v>25</v>
      </c>
      <c r="C24" s="1" t="s">
        <v>276</v>
      </c>
      <c r="D24" s="1">
        <f t="shared" si="1"/>
        <v>110050</v>
      </c>
      <c r="E24" s="1">
        <v>30000</v>
      </c>
      <c r="F24" s="1">
        <f>IF(Budget_Table[[#This Row],[Revenue]]&gt;39999,Budget_Table[[#This Row],[Revenue]]*-0.01,0)</f>
        <v>0</v>
      </c>
      <c r="G24" s="1"/>
      <c r="H24" s="1"/>
      <c r="I24" s="1">
        <v>-4500</v>
      </c>
      <c r="J24" s="1">
        <v>-200</v>
      </c>
      <c r="K24" s="1"/>
      <c r="L24" s="1">
        <v>-10000</v>
      </c>
      <c r="M24" s="1">
        <v>-400</v>
      </c>
      <c r="N24" s="1">
        <v>-500</v>
      </c>
      <c r="O24" s="1"/>
      <c r="P24" s="1"/>
      <c r="Q24" s="1"/>
      <c r="R24" s="1">
        <v>0</v>
      </c>
      <c r="S24" s="1">
        <v>-500</v>
      </c>
      <c r="T24" s="1">
        <v>-1000</v>
      </c>
      <c r="U24" s="1">
        <v>-100</v>
      </c>
      <c r="V24" s="1"/>
      <c r="W24" s="1">
        <v>-750</v>
      </c>
      <c r="X24" s="2">
        <f>SUM(Budget_Table[[#This Row],[Bank_Balance]:[Fuel]])</f>
        <v>122100</v>
      </c>
    </row>
    <row r="25" spans="1:24" x14ac:dyDescent="0.25">
      <c r="A25" s="1">
        <v>2024</v>
      </c>
      <c r="B25" s="1" t="s">
        <v>26</v>
      </c>
      <c r="C25" s="1" t="s">
        <v>277</v>
      </c>
      <c r="D25" s="1">
        <f t="shared" si="1"/>
        <v>122100</v>
      </c>
      <c r="E25" s="1">
        <v>50000</v>
      </c>
      <c r="F25" s="1">
        <f>IF(Budget_Table[[#This Row],[Revenue]]&gt;39999,Budget_Table[[#This Row],[Revenue]]*-0.01,0)</f>
        <v>-500</v>
      </c>
      <c r="G25" s="1"/>
      <c r="H25" s="1"/>
      <c r="I25" s="1">
        <v>-4500</v>
      </c>
      <c r="J25" s="1">
        <v>-200</v>
      </c>
      <c r="K25" s="1">
        <v>-20000</v>
      </c>
      <c r="L25" s="1">
        <v>-10000</v>
      </c>
      <c r="M25" s="1">
        <v>-400</v>
      </c>
      <c r="N25" s="1">
        <v>-500</v>
      </c>
      <c r="O25" s="1"/>
      <c r="P25" s="1"/>
      <c r="Q25" s="1">
        <v>-30000</v>
      </c>
      <c r="R25" s="1">
        <v>0</v>
      </c>
      <c r="S25" s="1">
        <v>-500</v>
      </c>
      <c r="T25" s="1">
        <v>-1000</v>
      </c>
      <c r="U25" s="1">
        <v>-100</v>
      </c>
      <c r="V25" s="1"/>
      <c r="W25" s="1">
        <v>-750</v>
      </c>
      <c r="X25" s="2">
        <f>SUM(Budget_Table[[#This Row],[Bank_Balance]:[Fuel]])</f>
        <v>103650</v>
      </c>
    </row>
    <row r="26" spans="1:24" x14ac:dyDescent="0.25">
      <c r="A26" s="1">
        <v>2024</v>
      </c>
      <c r="B26" s="1" t="s">
        <v>35</v>
      </c>
      <c r="C26" s="1" t="s">
        <v>266</v>
      </c>
      <c r="D26" s="1">
        <f t="shared" si="1"/>
        <v>103650</v>
      </c>
      <c r="E26" s="1">
        <v>33000</v>
      </c>
      <c r="F26" s="1">
        <f>IF(Budget_Table[[#This Row],[Revenue]]&gt;39999,Budget_Table[[#This Row],[Revenue]]*-0.01,0)</f>
        <v>0</v>
      </c>
      <c r="G26" s="1"/>
      <c r="H26" s="1"/>
      <c r="I26" s="1">
        <v>-4500</v>
      </c>
      <c r="J26" s="1">
        <v>-200</v>
      </c>
      <c r="K26" s="1"/>
      <c r="L26" s="1">
        <v>-10000</v>
      </c>
      <c r="M26" s="1">
        <v>-400</v>
      </c>
      <c r="N26" s="1">
        <v>-500</v>
      </c>
      <c r="O26" s="1"/>
      <c r="P26" s="1"/>
      <c r="Q26" s="1"/>
      <c r="R26" s="1">
        <v>0</v>
      </c>
      <c r="S26" s="1">
        <v>-500</v>
      </c>
      <c r="T26" s="1">
        <v>-1000</v>
      </c>
      <c r="U26" s="1">
        <v>-100</v>
      </c>
      <c r="V26" s="1">
        <v>-1000</v>
      </c>
      <c r="W26" s="1">
        <v>-750</v>
      </c>
      <c r="X26" s="2">
        <f>SUM(Budget_Table[[#This Row],[Bank_Balance]:[Fuel]])</f>
        <v>117700</v>
      </c>
    </row>
    <row r="27" spans="1:24" x14ac:dyDescent="0.25">
      <c r="A27" s="1">
        <v>2024</v>
      </c>
      <c r="B27" s="1" t="s">
        <v>34</v>
      </c>
      <c r="C27" s="1" t="s">
        <v>267</v>
      </c>
      <c r="D27" s="1">
        <f t="shared" si="1"/>
        <v>117700</v>
      </c>
      <c r="E27" s="1">
        <v>40000</v>
      </c>
      <c r="F27" s="1">
        <f>IF(Budget_Table[[#This Row],[Revenue]]&gt;39999,Budget_Table[[#This Row],[Revenue]]*-0.01,0)</f>
        <v>-400</v>
      </c>
      <c r="G27" s="1"/>
      <c r="H27" s="1"/>
      <c r="I27" s="1">
        <v>-4500</v>
      </c>
      <c r="J27" s="1">
        <v>-200</v>
      </c>
      <c r="K27" s="1">
        <v>-20000</v>
      </c>
      <c r="L27" s="1">
        <v>-10000</v>
      </c>
      <c r="M27" s="1">
        <v>-400</v>
      </c>
      <c r="N27" s="1">
        <v>-500</v>
      </c>
      <c r="O27" s="1"/>
      <c r="P27" s="1">
        <f t="shared" si="0"/>
        <v>-4500</v>
      </c>
      <c r="Q27" s="1"/>
      <c r="R27" s="1">
        <v>0</v>
      </c>
      <c r="S27" s="1">
        <v>-500</v>
      </c>
      <c r="T27" s="1">
        <v>-1000</v>
      </c>
      <c r="U27" s="1">
        <v>-100</v>
      </c>
      <c r="V27" s="1"/>
      <c r="W27" s="1">
        <v>-750</v>
      </c>
      <c r="X27" s="2">
        <f>SUM(Budget_Table[[#This Row],[Bank_Balance]:[Fuel]])</f>
        <v>114850</v>
      </c>
    </row>
    <row r="28" spans="1:24" x14ac:dyDescent="0.25">
      <c r="A28" s="1">
        <v>2024</v>
      </c>
      <c r="B28" s="1" t="s">
        <v>11</v>
      </c>
      <c r="C28" s="1" t="s">
        <v>268</v>
      </c>
      <c r="D28" s="1">
        <f t="shared" si="1"/>
        <v>114850</v>
      </c>
      <c r="E28" s="1">
        <v>40000</v>
      </c>
      <c r="F28" s="1">
        <f>IF(Budget_Table[[#This Row],[Revenue]]&gt;39999,Budget_Table[[#This Row],[Revenue]]*-0.01,0)</f>
        <v>-400</v>
      </c>
      <c r="G28" s="1"/>
      <c r="H28" s="1"/>
      <c r="I28" s="1">
        <v>-4500</v>
      </c>
      <c r="J28" s="1">
        <v>-200</v>
      </c>
      <c r="K28" s="1"/>
      <c r="L28" s="1">
        <v>-10000</v>
      </c>
      <c r="M28" s="1">
        <v>-400</v>
      </c>
      <c r="N28" s="1">
        <v>-500</v>
      </c>
      <c r="O28" s="1"/>
      <c r="P28" s="1"/>
      <c r="Q28" s="1"/>
      <c r="R28" s="1">
        <v>0</v>
      </c>
      <c r="S28" s="1">
        <v>-500</v>
      </c>
      <c r="T28" s="1">
        <v>-1000</v>
      </c>
      <c r="U28" s="1">
        <v>-100</v>
      </c>
      <c r="V28" s="1"/>
      <c r="W28" s="1">
        <v>-750</v>
      </c>
      <c r="X28" s="2">
        <f>SUM(Budget_Table[[#This Row],[Bank_Balance]:[Fuel]])</f>
        <v>136500</v>
      </c>
    </row>
    <row r="29" spans="1:24" x14ac:dyDescent="0.25">
      <c r="A29" s="1">
        <v>2024</v>
      </c>
      <c r="B29" s="1" t="s">
        <v>33</v>
      </c>
      <c r="C29" s="1" t="s">
        <v>269</v>
      </c>
      <c r="D29" s="1">
        <f t="shared" si="1"/>
        <v>136500</v>
      </c>
      <c r="E29" s="1">
        <v>40000</v>
      </c>
      <c r="F29" s="1">
        <f>IF(Budget_Table[[#This Row],[Revenue]]&gt;39999,Budget_Table[[#This Row],[Revenue]]*-0.01,0)</f>
        <v>-400</v>
      </c>
      <c r="G29" s="1"/>
      <c r="H29" s="1"/>
      <c r="I29" s="1">
        <v>-4500</v>
      </c>
      <c r="J29" s="1">
        <v>-200</v>
      </c>
      <c r="K29" s="1">
        <v>-20000</v>
      </c>
      <c r="L29" s="1">
        <v>-10000</v>
      </c>
      <c r="M29" s="1">
        <v>-400</v>
      </c>
      <c r="N29" s="1">
        <v>-500</v>
      </c>
      <c r="O29" s="1"/>
      <c r="P29" s="1"/>
      <c r="Q29" s="1"/>
      <c r="R29" s="1">
        <v>0</v>
      </c>
      <c r="S29" s="1">
        <v>-500</v>
      </c>
      <c r="T29" s="1">
        <v>-1000</v>
      </c>
      <c r="U29" s="1">
        <v>-100</v>
      </c>
      <c r="V29" s="1"/>
      <c r="W29" s="1">
        <v>-750</v>
      </c>
      <c r="X29" s="2">
        <f>SUM(Budget_Table[[#This Row],[Bank_Balance]:[Fuel]])</f>
        <v>138150</v>
      </c>
    </row>
    <row r="30" spans="1:24" x14ac:dyDescent="0.25">
      <c r="A30" s="1">
        <v>2024</v>
      </c>
      <c r="B30" s="1" t="s">
        <v>32</v>
      </c>
      <c r="C30" s="1" t="s">
        <v>270</v>
      </c>
      <c r="D30" s="1">
        <f t="shared" si="1"/>
        <v>138150</v>
      </c>
      <c r="E30" s="1">
        <v>40000</v>
      </c>
      <c r="F30" s="1">
        <f>IF(Budget_Table[[#This Row],[Revenue]]&gt;39999,Budget_Table[[#This Row],[Revenue]]*-0.01,0)</f>
        <v>-400</v>
      </c>
      <c r="G30" s="1"/>
      <c r="H30" s="1">
        <v>-8000</v>
      </c>
      <c r="I30" s="1">
        <v>-4500</v>
      </c>
      <c r="J30" s="1">
        <v>-200</v>
      </c>
      <c r="K30" s="1"/>
      <c r="L30" s="1">
        <v>-10000</v>
      </c>
      <c r="M30" s="1">
        <v>-400</v>
      </c>
      <c r="N30" s="1">
        <v>-500</v>
      </c>
      <c r="O30" s="1"/>
      <c r="P30" s="1"/>
      <c r="Q30" s="1"/>
      <c r="R30" s="1">
        <v>0</v>
      </c>
      <c r="S30" s="1">
        <v>-500</v>
      </c>
      <c r="T30" s="1">
        <v>-1000</v>
      </c>
      <c r="U30" s="1">
        <v>-100</v>
      </c>
      <c r="V30" s="1"/>
      <c r="W30" s="1">
        <v>-750</v>
      </c>
      <c r="X30" s="2">
        <f>SUM(Budget_Table[[#This Row],[Bank_Balance]:[Fuel]])</f>
        <v>151800</v>
      </c>
    </row>
    <row r="31" spans="1:24" x14ac:dyDescent="0.25">
      <c r="A31" s="1">
        <v>2024</v>
      </c>
      <c r="B31" s="1" t="s">
        <v>31</v>
      </c>
      <c r="C31" s="1" t="s">
        <v>271</v>
      </c>
      <c r="D31" s="1">
        <f t="shared" si="1"/>
        <v>151800</v>
      </c>
      <c r="E31" s="1">
        <v>40000</v>
      </c>
      <c r="F31" s="1">
        <f>IF(Budget_Table[[#This Row],[Revenue]]&gt;39999,Budget_Table[[#This Row],[Revenue]]*-0.01,0)</f>
        <v>-400</v>
      </c>
      <c r="G31" s="1"/>
      <c r="H31" s="1"/>
      <c r="I31" s="1">
        <v>-4500</v>
      </c>
      <c r="J31" s="1">
        <v>-200</v>
      </c>
      <c r="K31" s="1">
        <v>-60000</v>
      </c>
      <c r="L31" s="1">
        <v>-10000</v>
      </c>
      <c r="M31" s="1">
        <v>-400</v>
      </c>
      <c r="N31" s="1">
        <v>-500</v>
      </c>
      <c r="O31" s="1">
        <v>-1200</v>
      </c>
      <c r="P31" s="1">
        <f t="shared" si="0"/>
        <v>-4500</v>
      </c>
      <c r="Q31" s="1"/>
      <c r="R31" s="1">
        <v>0</v>
      </c>
      <c r="S31" s="1">
        <v>-500</v>
      </c>
      <c r="T31" s="1">
        <v>-1000</v>
      </c>
      <c r="U31" s="1">
        <v>-100</v>
      </c>
      <c r="V31" s="1"/>
      <c r="W31" s="1">
        <v>-750</v>
      </c>
      <c r="X31" s="2">
        <f>SUM(Budget_Table[[#This Row],[Bank_Balance]:[Fuel]])</f>
        <v>107750</v>
      </c>
    </row>
    <row r="32" spans="1:24" x14ac:dyDescent="0.25">
      <c r="A32" s="1">
        <v>2024</v>
      </c>
      <c r="B32" s="1" t="s">
        <v>30</v>
      </c>
      <c r="C32" s="1" t="s">
        <v>273</v>
      </c>
      <c r="D32" s="1">
        <f t="shared" si="1"/>
        <v>107750</v>
      </c>
      <c r="E32" s="1">
        <v>50000</v>
      </c>
      <c r="F32" s="1">
        <f>IF(Budget_Table[[#This Row],[Revenue]]&gt;39999,Budget_Table[[#This Row],[Revenue]]*-0.01,0)</f>
        <v>-500</v>
      </c>
      <c r="G32" s="1"/>
      <c r="H32" s="1"/>
      <c r="I32" s="1">
        <v>-4500</v>
      </c>
      <c r="J32" s="1">
        <v>-200</v>
      </c>
      <c r="K32" s="1"/>
      <c r="L32" s="1">
        <v>-10000</v>
      </c>
      <c r="M32" s="1">
        <v>-400</v>
      </c>
      <c r="N32" s="1">
        <v>-500</v>
      </c>
      <c r="O32" s="1"/>
      <c r="P32" s="1"/>
      <c r="Q32" s="1">
        <v>-40000</v>
      </c>
      <c r="R32" s="1">
        <v>0</v>
      </c>
      <c r="S32" s="1">
        <v>-500</v>
      </c>
      <c r="T32" s="1">
        <v>-1000</v>
      </c>
      <c r="U32" s="1">
        <v>-100</v>
      </c>
      <c r="V32" s="1"/>
      <c r="W32" s="1">
        <v>-750</v>
      </c>
      <c r="X32" s="2">
        <f>SUM(Budget_Table[[#This Row],[Bank_Balance]:[Fuel]])</f>
        <v>99300</v>
      </c>
    </row>
    <row r="33" spans="1:24" x14ac:dyDescent="0.25">
      <c r="A33" s="1">
        <v>2024</v>
      </c>
      <c r="B33" s="1" t="s">
        <v>29</v>
      </c>
      <c r="C33" s="1" t="s">
        <v>272</v>
      </c>
      <c r="D33" s="1">
        <f t="shared" si="1"/>
        <v>99300</v>
      </c>
      <c r="E33" s="1">
        <v>82000</v>
      </c>
      <c r="F33" s="1">
        <f>IF(Budget_Table[[#This Row],[Revenue]]&gt;39999,Budget_Table[[#This Row],[Revenue]]*-0.01,0)</f>
        <v>-820</v>
      </c>
      <c r="G33" s="1"/>
      <c r="H33" s="1"/>
      <c r="I33" s="1">
        <v>-4500</v>
      </c>
      <c r="J33" s="1">
        <v>-200</v>
      </c>
      <c r="K33" s="1">
        <v>-20000</v>
      </c>
      <c r="L33" s="1">
        <v>-10000</v>
      </c>
      <c r="M33" s="1">
        <v>-400</v>
      </c>
      <c r="N33" s="1">
        <v>-500</v>
      </c>
      <c r="O33" s="1"/>
      <c r="P33" s="1"/>
      <c r="Q33" s="1"/>
      <c r="R33" s="1">
        <v>0</v>
      </c>
      <c r="S33" s="1">
        <v>-500</v>
      </c>
      <c r="T33" s="1">
        <v>-1000</v>
      </c>
      <c r="U33" s="1">
        <v>-100</v>
      </c>
      <c r="V33" s="1"/>
      <c r="W33" s="1">
        <v>-750</v>
      </c>
      <c r="X33" s="2">
        <f>SUM(Budget_Table[[#This Row],[Bank_Balance]:[Fuel]])</f>
        <v>142530</v>
      </c>
    </row>
    <row r="34" spans="1:24" x14ac:dyDescent="0.25">
      <c r="A34" s="1">
        <v>2024</v>
      </c>
      <c r="B34" s="1" t="s">
        <v>28</v>
      </c>
      <c r="C34" s="1" t="s">
        <v>275</v>
      </c>
      <c r="D34" s="1">
        <f t="shared" si="1"/>
        <v>142530</v>
      </c>
      <c r="E34" s="1">
        <v>45000</v>
      </c>
      <c r="F34" s="1">
        <f>IF(Budget_Table[[#This Row],[Revenue]]&gt;39999,Budget_Table[[#This Row],[Revenue]]*-0.01,0)</f>
        <v>-450</v>
      </c>
      <c r="G34" s="1"/>
      <c r="H34" s="1"/>
      <c r="I34" s="1">
        <v>-4500</v>
      </c>
      <c r="J34" s="1">
        <v>-200</v>
      </c>
      <c r="K34" s="1"/>
      <c r="L34" s="1">
        <v>-10000</v>
      </c>
      <c r="M34" s="1">
        <v>-400</v>
      </c>
      <c r="N34" s="1">
        <v>-500</v>
      </c>
      <c r="O34" s="1"/>
      <c r="P34" s="1"/>
      <c r="Q34" s="1"/>
      <c r="R34" s="1">
        <v>0</v>
      </c>
      <c r="S34" s="1">
        <v>-500</v>
      </c>
      <c r="T34" s="1">
        <v>-1000</v>
      </c>
      <c r="U34" s="1">
        <v>-100</v>
      </c>
      <c r="V34" s="1"/>
      <c r="W34" s="1">
        <v>-750</v>
      </c>
      <c r="X34" s="2">
        <f>SUM(Budget_Table[[#This Row],[Bank_Balance]:[Fuel]])</f>
        <v>169130</v>
      </c>
    </row>
    <row r="35" spans="1:24" x14ac:dyDescent="0.25">
      <c r="A35" s="1">
        <v>2024</v>
      </c>
      <c r="B35" s="1" t="s">
        <v>27</v>
      </c>
      <c r="C35" s="1" t="s">
        <v>274</v>
      </c>
      <c r="D35" s="1">
        <f t="shared" si="1"/>
        <v>169130</v>
      </c>
      <c r="E35" s="1">
        <v>45000</v>
      </c>
      <c r="F35" s="1">
        <f>IF(Budget_Table[[#This Row],[Revenue]]&gt;39999,Budget_Table[[#This Row],[Revenue]]*-0.01,0)</f>
        <v>-450</v>
      </c>
      <c r="G35" s="1"/>
      <c r="H35" s="1"/>
      <c r="I35" s="1">
        <v>-4500</v>
      </c>
      <c r="J35" s="1">
        <v>-200</v>
      </c>
      <c r="K35" s="1">
        <v>-20000</v>
      </c>
      <c r="L35" s="1">
        <v>-10000</v>
      </c>
      <c r="M35" s="1">
        <v>-400</v>
      </c>
      <c r="N35" s="1">
        <v>-500</v>
      </c>
      <c r="O35" s="1"/>
      <c r="P35" s="1">
        <f t="shared" si="0"/>
        <v>-4500</v>
      </c>
      <c r="Q35" s="1"/>
      <c r="R35" s="1">
        <v>0</v>
      </c>
      <c r="S35" s="1">
        <v>-500</v>
      </c>
      <c r="T35" s="1">
        <v>-1000</v>
      </c>
      <c r="U35" s="1">
        <v>-100</v>
      </c>
      <c r="V35" s="1"/>
      <c r="W35" s="1">
        <v>-750</v>
      </c>
      <c r="X35" s="2">
        <f>SUM(Budget_Table[[#This Row],[Bank_Balance]:[Fuel]])</f>
        <v>171230</v>
      </c>
    </row>
    <row r="36" spans="1:24" x14ac:dyDescent="0.25">
      <c r="A36" s="1">
        <v>2025</v>
      </c>
      <c r="B36" s="1" t="s">
        <v>43</v>
      </c>
      <c r="C36" s="1" t="s">
        <v>276</v>
      </c>
      <c r="D36" s="1">
        <f t="shared" si="1"/>
        <v>171230</v>
      </c>
      <c r="E36" s="1">
        <v>45000</v>
      </c>
      <c r="F36" s="1">
        <f>IF(Budget_Table[[#This Row],[Revenue]]&gt;39999,Budget_Table[[#This Row],[Revenue]]*-0.01,0)</f>
        <v>-450</v>
      </c>
      <c r="G36" s="1"/>
      <c r="H36" s="1"/>
      <c r="I36" s="1">
        <v>-4500</v>
      </c>
      <c r="J36" s="1">
        <v>-200</v>
      </c>
      <c r="K36" s="1">
        <v>-20000</v>
      </c>
      <c r="L36" s="1">
        <v>-10000</v>
      </c>
      <c r="M36" s="1">
        <v>-400</v>
      </c>
      <c r="N36" s="1">
        <v>-500</v>
      </c>
      <c r="O36" s="1"/>
      <c r="P36" s="1"/>
      <c r="Q36" s="1"/>
      <c r="R36" s="1"/>
      <c r="S36" s="1">
        <v>-500</v>
      </c>
      <c r="T36" s="1">
        <v>-1000</v>
      </c>
      <c r="U36" s="1">
        <v>-100</v>
      </c>
      <c r="V36" s="1"/>
      <c r="W36" s="1">
        <v>-750</v>
      </c>
      <c r="X36" s="2">
        <f>SUM(Budget_Table[[#This Row],[Bank_Balance]:[Fuel]])</f>
        <v>177830</v>
      </c>
    </row>
    <row r="37" spans="1:24" x14ac:dyDescent="0.25">
      <c r="A37" s="1">
        <v>2025</v>
      </c>
      <c r="B37" s="1" t="s">
        <v>44</v>
      </c>
      <c r="C37" s="1" t="s">
        <v>277</v>
      </c>
      <c r="D37" s="1">
        <f t="shared" si="1"/>
        <v>177830</v>
      </c>
      <c r="E37" s="1">
        <v>45000</v>
      </c>
      <c r="F37" s="1">
        <f>IF(Budget_Table[[#This Row],[Revenue]]&gt;39999,Budget_Table[[#This Row],[Revenue]]*-0.01,0)</f>
        <v>-450</v>
      </c>
      <c r="G37" s="1"/>
      <c r="H37" s="1"/>
      <c r="I37" s="1">
        <v>-4500</v>
      </c>
      <c r="J37" s="1">
        <v>-200</v>
      </c>
      <c r="K37" s="1">
        <v>-20000</v>
      </c>
      <c r="L37" s="1">
        <v>-10000</v>
      </c>
      <c r="M37" s="1">
        <v>-400</v>
      </c>
      <c r="N37" s="1">
        <v>-500</v>
      </c>
      <c r="O37" s="1"/>
      <c r="P37" s="1"/>
      <c r="Q37" s="1"/>
      <c r="R37" s="1"/>
      <c r="S37" s="1">
        <v>-500</v>
      </c>
      <c r="T37" s="1">
        <v>-1000</v>
      </c>
      <c r="U37" s="1">
        <v>-100</v>
      </c>
      <c r="V37" s="1"/>
      <c r="W37" s="1">
        <v>-750</v>
      </c>
      <c r="X37" s="2">
        <f>SUM(Budget_Table[[#This Row],[Bank_Balance]:[Fuel]])</f>
        <v>184430</v>
      </c>
    </row>
    <row r="38" spans="1:24" x14ac:dyDescent="0.25">
      <c r="A38" s="1"/>
      <c r="B38" s="1">
        <f>SUBTOTAL(103,Budget_Table[Month])</f>
        <v>36</v>
      </c>
      <c r="C38" s="1"/>
      <c r="D38" s="1">
        <f>SUBTOTAL(104,Budget_Table[Bank_Balance])</f>
        <v>177830</v>
      </c>
      <c r="E38" s="1">
        <f>SUBTOTAL(101,Budget_Table[Revenue])</f>
        <v>44055.555555555555</v>
      </c>
      <c r="F38" s="1">
        <f>SUBTOTAL(101,Budget_Table[Bonus])</f>
        <v>-313.05555555555554</v>
      </c>
      <c r="G38" s="1"/>
      <c r="H38" s="1"/>
      <c r="I38" s="1">
        <f>SUBTOTAL(109,Budget_Table[Salaries])</f>
        <v>-152000</v>
      </c>
      <c r="J38" s="1">
        <f>SUBTOTAL(109,Budget_Table[Maint])</f>
        <v>-7200</v>
      </c>
      <c r="K38" s="1">
        <f>SUBTOTAL(109,Budget_Table[Stock])</f>
        <v>-530000</v>
      </c>
      <c r="L38" s="1">
        <f>SUBTOTAL(109,Budget_Table[Home_Expenses])</f>
        <v>-363500</v>
      </c>
      <c r="M38" s="1"/>
      <c r="N38" s="1"/>
      <c r="O38" s="1"/>
      <c r="P38" s="1">
        <f>SUBTOTAL(101,Budget_Table[Cloths])</f>
        <v>-4500</v>
      </c>
      <c r="Q38" s="1">
        <f>SUBTOTAL(109,Budget_Table[Schools])</f>
        <v>-188000</v>
      </c>
      <c r="R38" s="1">
        <f>SUBTOTAL(109,Budget_Table[Education])</f>
        <v>-36000</v>
      </c>
      <c r="S38" s="1">
        <f>SUBTOTAL(109,Budget_Table[Internet])</f>
        <v>-17750</v>
      </c>
      <c r="T38" s="1">
        <f>SUBTOTAL(109,Budget_Table[Electric])</f>
        <v>-35400</v>
      </c>
      <c r="U38" s="1">
        <f>SUBTOTAL(109,Budget_Table[Gas])</f>
        <v>-3600</v>
      </c>
      <c r="V38" s="1"/>
      <c r="W38" s="1">
        <f>SUBTOTAL(109,Budget_Table[Fuel])</f>
        <v>-26850</v>
      </c>
      <c r="X38" s="1">
        <f>SUBTOTAL(104,Budget_Table[Balance])</f>
        <v>184430</v>
      </c>
    </row>
    <row r="44" spans="1:24" x14ac:dyDescent="0.25">
      <c r="A44" s="22" t="s">
        <v>240</v>
      </c>
      <c r="B44">
        <f t="array" ref="B44:B46">_xlfn.MODE.MULT(E2:E37)</f>
        <v>40000</v>
      </c>
    </row>
    <row r="45" spans="1:24" x14ac:dyDescent="0.25">
      <c r="B45">
        <v>45000</v>
      </c>
      <c r="E45" s="22"/>
    </row>
    <row r="46" spans="1:24" x14ac:dyDescent="0.25">
      <c r="B46" t="e">
        <v>#N/A</v>
      </c>
    </row>
    <row r="47" spans="1:24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F2:F38 I2:W38 G2:H5 G6 G7:H22">
    <cfRule type="cellIs" dxfId="31" priority="11" operator="lessThan">
      <formula>0</formula>
    </cfRule>
  </conditionalFormatting>
  <conditionalFormatting sqref="X2:X37">
    <cfRule type="top10" dxfId="30" priority="12" percent="1" bottom="1" rank="10"/>
    <cfRule type="top10" dxfId="29" priority="13" percent="1" rank="10"/>
  </conditionalFormatting>
  <conditionalFormatting sqref="D2:D38">
    <cfRule type="cellIs" dxfId="28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workbookViewId="0">
      <selection activeCell="A2" sqref="A2:C1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7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26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zoomScaleNormal="100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25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62"/>
  <sheetViews>
    <sheetView topLeftCell="A79" workbookViewId="0">
      <selection activeCell="B80" sqref="B80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hidden="1" x14ac:dyDescent="0.25">
      <c r="A1" s="6" t="s">
        <v>48</v>
      </c>
      <c r="B1" s="6" t="s">
        <v>47</v>
      </c>
    </row>
    <row r="2" spans="1:2" hidden="1" x14ac:dyDescent="0.25">
      <c r="A2" s="6" t="s">
        <v>13</v>
      </c>
      <c r="B2" s="1">
        <f>Budget_Table[[#This Row],[Bank_Balance]]</f>
        <v>70000</v>
      </c>
    </row>
    <row r="3" spans="1:2" hidden="1" x14ac:dyDescent="0.25">
      <c r="A3" s="6" t="s">
        <v>53</v>
      </c>
      <c r="B3" s="1">
        <f>'02-Gold_Forecasting'!D67</f>
        <v>280500</v>
      </c>
    </row>
    <row r="4" spans="1:2" hidden="1" x14ac:dyDescent="0.25">
      <c r="A4" s="6" t="s">
        <v>45</v>
      </c>
      <c r="B4" s="1">
        <v>365000</v>
      </c>
    </row>
    <row r="5" spans="1:2" hidden="1" x14ac:dyDescent="0.25">
      <c r="A5" s="6" t="s">
        <v>38</v>
      </c>
      <c r="B5" s="1">
        <f>'02-Gold_Forecasting'!D68</f>
        <v>2420519.3898143223</v>
      </c>
    </row>
    <row r="6" spans="1:2" hidden="1" x14ac:dyDescent="0.25">
      <c r="A6" s="6" t="s">
        <v>46</v>
      </c>
      <c r="B6" s="1">
        <f>B4+B5-B3</f>
        <v>2505019.3898143223</v>
      </c>
    </row>
    <row r="7" spans="1:2" hidden="1" x14ac:dyDescent="0.25">
      <c r="A7" s="6" t="s">
        <v>52</v>
      </c>
      <c r="B7" s="10">
        <f>B6/(B3+B2)</f>
        <v>7.1469882733646859</v>
      </c>
    </row>
    <row r="8" spans="1:2" hidden="1" x14ac:dyDescent="0.25"/>
    <row r="62" spans="1:1" x14ac:dyDescent="0.25">
      <c r="A62">
        <f>123750+ 1.5*(123750-91542.5)</f>
        <v>172061.25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",TEXT('01-Budget'!D2,"0.0"))</f>
        <v>Our Initial Bank Budget Balance Was 70000.0</v>
      </c>
      <c r="B2" s="12">
        <f>'01-Budget'!D2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2022-06-04T13:43:59Z</dcterms:modified>
</cp:coreProperties>
</file>