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ousif Ennwa\Documents\GitHub\DataAnalysis\"/>
    </mc:Choice>
  </mc:AlternateContent>
  <xr:revisionPtr revIDLastSave="0" documentId="13_ncr:1_{3CD4AEBD-9755-4312-A72B-ACF200A40753}" xr6:coauthVersionLast="47" xr6:coauthVersionMax="47" xr10:uidLastSave="{00000000-0000-0000-0000-000000000000}"/>
  <bookViews>
    <workbookView xWindow="-120" yWindow="-120" windowWidth="20730" windowHeight="11310" firstSheet="2" activeTab="4" xr2:uid="{3EC47B49-2BAD-4354-82B7-F4FC7A092D12}"/>
  </bookViews>
  <sheets>
    <sheet name="01-Budget" sheetId="1" r:id="rId1"/>
    <sheet name="02-Gold_Forecasting" sheetId="2" r:id="rId2"/>
    <sheet name="03-Questioning_Phase" sheetId="12" r:id="rId3"/>
    <sheet name="04-RaceSheet" sheetId="9" r:id="rId4"/>
    <sheet name="05-Data_Summarization" sheetId="6" r:id="rId5"/>
    <sheet name="06-Measurements" sheetId="11" r:id="rId6"/>
    <sheet name="07-Visualization" sheetId="3" r:id="rId7"/>
    <sheet name="08-Story_Telling" sheetId="8" r:id="rId8"/>
    <sheet name="QRODES" sheetId="13" r:id="rId9"/>
  </sheets>
  <definedNames>
    <definedName name="_xlchart.v1.0" hidden="1">'01-Budget'!$D$1</definedName>
    <definedName name="_xlchart.v1.1" hidden="1">'01-Budget'!$D$2:$D$37</definedName>
    <definedName name="_xlchart.v1.2" hidden="1">'01-Budget'!$A$2:$A$38</definedName>
    <definedName name="_xlchart.v1.3" hidden="1">'01-Budget'!$D$1</definedName>
    <definedName name="_xlchart.v1.4" hidden="1">'01-Budget'!$D$2:$D$38</definedName>
    <definedName name="_xlchart.v1.5" hidden="1">'01-Budget'!$C$1</definedName>
    <definedName name="_xlchart.v1.6" hidden="1">'01-Budget'!$C$2:$C$38</definedName>
    <definedName name="_xlchart.v1.7" hidden="1">'01-Budget'!$C$1</definedName>
    <definedName name="_xlchart.v1.8" hidden="1">'01-Budget'!$C$2:$C$37</definedName>
  </definedNames>
  <calcPr calcId="181029"/>
  <pivotCaches>
    <pivotCache cacheId="0" r:id="rId10"/>
    <pivotCache cacheId="1" r:id="rId11"/>
    <pivotCache cacheId="2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8" l="1"/>
  <c r="C8" i="11"/>
  <c r="B47" i="1"/>
  <c r="C32" i="2"/>
  <c r="B15" i="13"/>
  <c r="B16" i="13"/>
  <c r="B14" i="13"/>
  <c r="B13" i="13"/>
  <c r="C9" i="13"/>
  <c r="B9" i="13"/>
  <c r="C36" i="11" l="1"/>
  <c r="B44" i="1" a="1"/>
  <c r="B44" i="1" s="1"/>
  <c r="B37" i="11"/>
  <c r="E37" i="11"/>
  <c r="B46" i="1" l="1"/>
  <c r="B45" i="1"/>
  <c r="C28" i="2"/>
  <c r="C29" i="2" s="1"/>
  <c r="C30" i="2" s="1"/>
  <c r="C31" i="2" s="1"/>
  <c r="C27" i="11"/>
  <c r="C26" i="11"/>
  <c r="C22" i="11"/>
  <c r="C23" i="11"/>
  <c r="C24" i="11"/>
  <c r="C25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4" i="11"/>
  <c r="C3" i="11"/>
  <c r="C7" i="11"/>
  <c r="C6" i="11"/>
  <c r="C5" i="11"/>
  <c r="C2" i="11"/>
  <c r="E4" i="9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AH4" i="9" s="1"/>
  <c r="AI4" i="9" s="1"/>
  <c r="AJ4" i="9" s="1"/>
  <c r="AK4" i="9" s="1"/>
  <c r="AL4" i="9" s="1"/>
  <c r="AM4" i="9" s="1"/>
  <c r="AN4" i="9" s="1"/>
  <c r="AO4" i="9" s="1"/>
  <c r="AP4" i="9" s="1"/>
  <c r="AQ4" i="9" s="1"/>
  <c r="AR4" i="9" s="1"/>
  <c r="AS4" i="9" s="1"/>
  <c r="AT4" i="9" s="1"/>
  <c r="AU4" i="9" s="1"/>
  <c r="AV4" i="9" s="1"/>
  <c r="AW4" i="9" s="1"/>
  <c r="AX4" i="9" s="1"/>
  <c r="AY4" i="9" s="1"/>
  <c r="AZ4" i="9" s="1"/>
  <c r="BA4" i="9" s="1"/>
  <c r="BB4" i="9" s="1"/>
  <c r="BC4" i="9" s="1"/>
  <c r="BD4" i="9" s="1"/>
  <c r="BE4" i="9" s="1"/>
  <c r="BF4" i="9" s="1"/>
  <c r="BG4" i="9" s="1"/>
  <c r="BH4" i="9" s="1"/>
  <c r="BI4" i="9" s="1"/>
  <c r="BJ4" i="9" s="1"/>
  <c r="BK4" i="9" s="1"/>
  <c r="BL4" i="9" s="1"/>
  <c r="BM4" i="9" s="1"/>
  <c r="BN4" i="9" s="1"/>
  <c r="BO4" i="9" s="1"/>
  <c r="BP4" i="9" s="1"/>
  <c r="BQ4" i="9" s="1"/>
  <c r="BR4" i="9" s="1"/>
  <c r="BS4" i="9" s="1"/>
  <c r="BT4" i="9" s="1"/>
  <c r="BU4" i="9" s="1"/>
  <c r="BV4" i="9" s="1"/>
  <c r="D4" i="9"/>
  <c r="D3" i="9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Q3" i="9" s="1"/>
  <c r="R3" i="9" s="1"/>
  <c r="S3" i="9" s="1"/>
  <c r="T3" i="9" s="1"/>
  <c r="U3" i="9" s="1"/>
  <c r="V3" i="9" s="1"/>
  <c r="W3" i="9" s="1"/>
  <c r="X3" i="9" s="1"/>
  <c r="Y3" i="9" s="1"/>
  <c r="Z3" i="9" s="1"/>
  <c r="AA3" i="9" s="1"/>
  <c r="AB3" i="9" s="1"/>
  <c r="AC3" i="9" s="1"/>
  <c r="AD3" i="9" s="1"/>
  <c r="AE3" i="9" s="1"/>
  <c r="AF3" i="9" s="1"/>
  <c r="AG3" i="9" s="1"/>
  <c r="AH3" i="9" s="1"/>
  <c r="AI3" i="9" s="1"/>
  <c r="AJ3" i="9" s="1"/>
  <c r="AK3" i="9" s="1"/>
  <c r="AL3" i="9" s="1"/>
  <c r="AM3" i="9" s="1"/>
  <c r="AN3" i="9" s="1"/>
  <c r="AO3" i="9" s="1"/>
  <c r="AP3" i="9" s="1"/>
  <c r="AQ3" i="9" s="1"/>
  <c r="AR3" i="9" s="1"/>
  <c r="AS3" i="9" s="1"/>
  <c r="AT3" i="9" s="1"/>
  <c r="AU3" i="9" s="1"/>
  <c r="AV3" i="9" s="1"/>
  <c r="AW3" i="9" s="1"/>
  <c r="AX3" i="9" s="1"/>
  <c r="AY3" i="9" s="1"/>
  <c r="AZ3" i="9" s="1"/>
  <c r="BA3" i="9" s="1"/>
  <c r="BB3" i="9" s="1"/>
  <c r="BC3" i="9" s="1"/>
  <c r="BD3" i="9" s="1"/>
  <c r="BE3" i="9" s="1"/>
  <c r="BF3" i="9" s="1"/>
  <c r="BG3" i="9" s="1"/>
  <c r="BH3" i="9" s="1"/>
  <c r="BI3" i="9" s="1"/>
  <c r="BJ3" i="9" s="1"/>
  <c r="BK3" i="9" s="1"/>
  <c r="BL3" i="9" s="1"/>
  <c r="BM3" i="9" s="1"/>
  <c r="BN3" i="9" s="1"/>
  <c r="BO3" i="9" s="1"/>
  <c r="BP3" i="9" s="1"/>
  <c r="BQ3" i="9" s="1"/>
  <c r="BR3" i="9" s="1"/>
  <c r="BS3" i="9" s="1"/>
  <c r="BT3" i="9" s="1"/>
  <c r="BU3" i="9" s="1"/>
  <c r="BV3" i="9" s="1"/>
  <c r="D2" i="9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2" i="9" s="1"/>
  <c r="AI2" i="9" s="1"/>
  <c r="AJ2" i="9" s="1"/>
  <c r="AK2" i="9" s="1"/>
  <c r="AL2" i="9" s="1"/>
  <c r="AM2" i="9" s="1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A2" i="8"/>
  <c r="B1" i="8"/>
  <c r="A1" i="8" s="1"/>
  <c r="B2" i="8"/>
  <c r="B3" i="3"/>
  <c r="B2" i="3"/>
  <c r="D67" i="2"/>
  <c r="D5" i="11" l="1"/>
  <c r="C30" i="11"/>
  <c r="C31" i="11"/>
  <c r="C29" i="11"/>
  <c r="D29" i="11" s="1"/>
  <c r="C28" i="11"/>
  <c r="D28" i="11" s="1"/>
  <c r="C9" i="11"/>
  <c r="AN2" i="9"/>
  <c r="AO2" i="9" s="1"/>
  <c r="AP2" i="9" s="1"/>
  <c r="AQ2" i="9" s="1"/>
  <c r="AR2" i="9" s="1"/>
  <c r="AS2" i="9" s="1"/>
  <c r="AT2" i="9" s="1"/>
  <c r="AU2" i="9" s="1"/>
  <c r="AV2" i="9" s="1"/>
  <c r="AW2" i="9" s="1"/>
  <c r="AX2" i="9" s="1"/>
  <c r="AY2" i="9" s="1"/>
  <c r="C58" i="2"/>
  <c r="C59" i="2" s="1"/>
  <c r="D59" i="2" s="1"/>
  <c r="D56" i="2"/>
  <c r="D57" i="2"/>
  <c r="D4" i="2"/>
  <c r="O3" i="1"/>
  <c r="O7" i="1"/>
  <c r="O11" i="1"/>
  <c r="O15" i="1"/>
  <c r="O19" i="1"/>
  <c r="O23" i="1"/>
  <c r="O27" i="1"/>
  <c r="O31" i="1"/>
  <c r="O35" i="1"/>
  <c r="E37" i="1"/>
  <c r="E36" i="1"/>
  <c r="D38" i="1"/>
  <c r="B38" i="1"/>
  <c r="H38" i="1"/>
  <c r="I38" i="1"/>
  <c r="J38" i="1"/>
  <c r="K38" i="1"/>
  <c r="P38" i="1"/>
  <c r="Q38" i="1"/>
  <c r="R38" i="1"/>
  <c r="S38" i="1"/>
  <c r="T38" i="1"/>
  <c r="V38" i="1"/>
  <c r="D10" i="2"/>
  <c r="D9" i="2"/>
  <c r="D8" i="2"/>
  <c r="D7" i="2"/>
  <c r="D6" i="2"/>
  <c r="D5" i="2"/>
  <c r="D11" i="2"/>
  <c r="E2" i="1"/>
  <c r="W2" i="1" s="1"/>
  <c r="C3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D34" i="11" l="1"/>
  <c r="D32" i="11"/>
  <c r="D37" i="11" s="1"/>
  <c r="C34" i="11"/>
  <c r="C32" i="11"/>
  <c r="D33" i="11"/>
  <c r="C33" i="11"/>
  <c r="BH2" i="9"/>
  <c r="AZ2" i="9"/>
  <c r="D58" i="2"/>
  <c r="C60" i="2"/>
  <c r="D60" i="2" s="1"/>
  <c r="O38" i="1"/>
  <c r="W3" i="1"/>
  <c r="C4" i="1" s="1"/>
  <c r="E38" i="1"/>
  <c r="D3" i="2"/>
  <c r="D12" i="2"/>
  <c r="BA2" i="9" l="1"/>
  <c r="BI2" i="9"/>
  <c r="BQ2" i="9"/>
  <c r="C61" i="2"/>
  <c r="W4" i="1"/>
  <c r="D13" i="2"/>
  <c r="BB2" i="9" l="1"/>
  <c r="BJ2" i="9"/>
  <c r="BR2" i="9"/>
  <c r="D61" i="2"/>
  <c r="C62" i="2"/>
  <c r="C5" i="1"/>
  <c r="D14" i="2"/>
  <c r="BC2" i="9" l="1"/>
  <c r="BK2" i="9"/>
  <c r="BS2" i="9"/>
  <c r="D62" i="2"/>
  <c r="C63" i="2"/>
  <c r="D63" i="2" s="1"/>
  <c r="W5" i="1"/>
  <c r="D15" i="2"/>
  <c r="C64" i="2" l="1"/>
  <c r="D64" i="2" s="1"/>
  <c r="BD2" i="9"/>
  <c r="BL2" i="9"/>
  <c r="BT2" i="9"/>
  <c r="C6" i="1"/>
  <c r="D16" i="2"/>
  <c r="C65" i="2" l="1"/>
  <c r="D65" i="2" s="1"/>
  <c r="BE2" i="9"/>
  <c r="BM2" i="9"/>
  <c r="BU2" i="9"/>
  <c r="W6" i="1"/>
  <c r="D17" i="2"/>
  <c r="BF2" i="9" l="1"/>
  <c r="BN2" i="9"/>
  <c r="BV2" i="9"/>
  <c r="C7" i="1"/>
  <c r="BG2" i="9" l="1"/>
  <c r="BP2" i="9" s="1"/>
  <c r="BO2" i="9"/>
  <c r="D18" i="2"/>
  <c r="W7" i="1"/>
  <c r="D19" i="2"/>
  <c r="C8" i="1" l="1"/>
  <c r="D20" i="2"/>
  <c r="W8" i="1" l="1"/>
  <c r="D21" i="2"/>
  <c r="C9" i="1" l="1"/>
  <c r="W9" i="1" s="1"/>
  <c r="C10" i="1" s="1"/>
  <c r="W10" i="1" s="1"/>
  <c r="C11" i="1" s="1"/>
  <c r="W11" i="1" s="1"/>
  <c r="C12" i="1" s="1"/>
  <c r="W12" i="1" s="1"/>
  <c r="C13" i="1" s="1"/>
  <c r="W13" i="1" s="1"/>
  <c r="C14" i="1" s="1"/>
  <c r="W14" i="1" s="1"/>
  <c r="C15" i="1" s="1"/>
  <c r="W15" i="1" s="1"/>
  <c r="C16" i="1" s="1"/>
  <c r="W16" i="1" s="1"/>
  <c r="C17" i="1" s="1"/>
  <c r="W17" i="1" s="1"/>
  <c r="C18" i="1" s="1"/>
  <c r="W18" i="1" s="1"/>
  <c r="C19" i="1" s="1"/>
  <c r="W19" i="1" s="1"/>
  <c r="C20" i="1" s="1"/>
  <c r="W20" i="1" s="1"/>
  <c r="C21" i="1" s="1"/>
  <c r="W21" i="1" s="1"/>
  <c r="C22" i="1" s="1"/>
  <c r="W22" i="1" s="1"/>
  <c r="C23" i="1" s="1"/>
  <c r="W23" i="1" s="1"/>
  <c r="C24" i="1" s="1"/>
  <c r="W24" i="1" s="1"/>
  <c r="C25" i="1" s="1"/>
  <c r="W25" i="1" s="1"/>
  <c r="C26" i="1" s="1"/>
  <c r="W26" i="1" s="1"/>
  <c r="C27" i="1" s="1"/>
  <c r="W27" i="1" s="1"/>
  <c r="C28" i="1" s="1"/>
  <c r="W28" i="1" s="1"/>
  <c r="C29" i="1" s="1"/>
  <c r="W29" i="1" s="1"/>
  <c r="C30" i="1" s="1"/>
  <c r="W30" i="1" s="1"/>
  <c r="C31" i="1" s="1"/>
  <c r="W31" i="1" s="1"/>
  <c r="C32" i="1" s="1"/>
  <c r="W32" i="1" s="1"/>
  <c r="C33" i="1" s="1"/>
  <c r="W33" i="1" s="1"/>
  <c r="C34" i="1" s="1"/>
  <c r="W34" i="1" s="1"/>
  <c r="C35" i="1" s="1"/>
  <c r="D22" i="2"/>
  <c r="W35" i="1" l="1"/>
  <c r="D23" i="2"/>
  <c r="C36" i="1" l="1"/>
  <c r="D24" i="2"/>
  <c r="W36" i="1" l="1"/>
  <c r="D25" i="2" l="1"/>
  <c r="C37" i="1"/>
  <c r="D26" i="2" l="1"/>
  <c r="W37" i="1"/>
  <c r="W38" i="1" s="1"/>
  <c r="C38" i="1"/>
  <c r="D27" i="2"/>
  <c r="D28" i="2" l="1"/>
  <c r="D29" i="2" l="1"/>
  <c r="D30" i="2" l="1"/>
  <c r="D31" i="2" l="1"/>
  <c r="C33" i="2" l="1"/>
  <c r="C35" i="11" s="1"/>
  <c r="D34" i="2" l="1"/>
  <c r="C37" i="11"/>
  <c r="B4" i="8"/>
  <c r="D68" i="2"/>
  <c r="A4" i="8"/>
  <c r="D33" i="2"/>
  <c r="D32" i="2"/>
  <c r="B5" i="3" l="1"/>
  <c r="B6" i="3" s="1"/>
  <c r="D69" i="2"/>
  <c r="B7" i="3" l="1"/>
  <c r="B6" i="8"/>
  <c r="A6" i="8"/>
  <c r="B5" i="8" l="1"/>
  <c r="A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Yousif Ennwa</author>
  </authors>
  <commentList>
    <comment ref="U2" authorId="0" shapeId="0" xr:uid="{80C00E00-3D60-457A-A74B-CA6357091704}">
      <text>
        <r>
          <rPr>
            <b/>
            <sz val="9"/>
            <color indexed="81"/>
            <rFont val="Tahoma"/>
            <family val="2"/>
          </rPr>
          <t>Yousif Ennwa:</t>
        </r>
        <r>
          <rPr>
            <sz val="9"/>
            <color indexed="81"/>
            <rFont val="Tahoma"/>
            <family val="2"/>
          </rPr>
          <t xml:space="preserve">
هدية عيد الأم
تجديد النادي
</t>
        </r>
      </text>
    </comment>
  </commentList>
</comments>
</file>

<file path=xl/sharedStrings.xml><?xml version="1.0" encoding="utf-8"?>
<sst xmlns="http://schemas.openxmlformats.org/spreadsheetml/2006/main" count="386" uniqueCount="257">
  <si>
    <t>مارس 22</t>
  </si>
  <si>
    <t>إبريل 22</t>
  </si>
  <si>
    <t>مايو 22</t>
  </si>
  <si>
    <t>يونيو 22</t>
  </si>
  <si>
    <t>يوليو 22</t>
  </si>
  <si>
    <t>أغسطس 22</t>
  </si>
  <si>
    <t>سبتمبر 22</t>
  </si>
  <si>
    <t>أكتوبر 22</t>
  </si>
  <si>
    <t>نوفمبر 22</t>
  </si>
  <si>
    <t>ديسمبر 22</t>
  </si>
  <si>
    <t>مايو 23</t>
  </si>
  <si>
    <t>مايو 24</t>
  </si>
  <si>
    <t>Month</t>
  </si>
  <si>
    <t>Amount</t>
  </si>
  <si>
    <t>يناير 23</t>
  </si>
  <si>
    <t>فبراير 23</t>
  </si>
  <si>
    <t>مارس 23</t>
  </si>
  <si>
    <t>إبريل 23</t>
  </si>
  <si>
    <t>يونيو 23</t>
  </si>
  <si>
    <t>يوليو 23</t>
  </si>
  <si>
    <t>أغسطس 23</t>
  </si>
  <si>
    <t>سبتمبر 23</t>
  </si>
  <si>
    <t>أكتوبر 23</t>
  </si>
  <si>
    <t>نوفمبر 23</t>
  </si>
  <si>
    <t>ديسمبر 23</t>
  </si>
  <si>
    <t>يناير 24</t>
  </si>
  <si>
    <t>فبراير 24</t>
  </si>
  <si>
    <t>ديسمبر 24</t>
  </si>
  <si>
    <t>نوفمبر 24</t>
  </si>
  <si>
    <t>أكتوبر 24</t>
  </si>
  <si>
    <t>سبتمبر 24</t>
  </si>
  <si>
    <t>أغسطس 24</t>
  </si>
  <si>
    <t>يوليو 24</t>
  </si>
  <si>
    <t>يونيو 24</t>
  </si>
  <si>
    <t>إبريل 24</t>
  </si>
  <si>
    <t>مارس 24</t>
  </si>
  <si>
    <t>Date</t>
  </si>
  <si>
    <t>Growth</t>
  </si>
  <si>
    <t>Gold Value</t>
  </si>
  <si>
    <t>Gold In Grams</t>
  </si>
  <si>
    <t>Current Value</t>
  </si>
  <si>
    <t>Purchase Price</t>
  </si>
  <si>
    <t>Net Profit</t>
  </si>
  <si>
    <t>يناير 25</t>
  </si>
  <si>
    <t>فبراير 25</t>
  </si>
  <si>
    <t>Mango-Net Profit</t>
  </si>
  <si>
    <t>Total Profit</t>
  </si>
  <si>
    <t>First_Option</t>
  </si>
  <si>
    <t>3 Years</t>
  </si>
  <si>
    <t>Year</t>
  </si>
  <si>
    <t>Row Labels</t>
  </si>
  <si>
    <t>Grand Total</t>
  </si>
  <si>
    <t>Growth Margin</t>
  </si>
  <si>
    <t>Gold Cost</t>
  </si>
  <si>
    <t>Gold</t>
  </si>
  <si>
    <t>Item</t>
  </si>
  <si>
    <t>Goods</t>
  </si>
  <si>
    <t>Stock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</si>
  <si>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</si>
  <si>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</si>
  <si>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</si>
  <si>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</si>
  <si>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</si>
  <si>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</si>
  <si>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</si>
  <si>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</si>
  <si>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</si>
  <si>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</si>
  <si>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</si>
  <si>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</si>
  <si>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</si>
  <si>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</si>
  <si>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</si>
  <si>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</si>
  <si>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</si>
  <si>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</si>
  <si>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</si>
  <si>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</si>
  <si>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</si>
  <si>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</si>
  <si>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</si>
  <si>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</si>
  <si>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</si>
  <si>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</si>
  <si>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</si>
  <si>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</si>
  <si>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</si>
  <si>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</si>
  <si>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</si>
  <si>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</si>
  <si>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</si>
  <si>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</si>
  <si>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</si>
  <si>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</si>
  <si>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</si>
  <si>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</si>
  <si>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</si>
  <si>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</si>
  <si>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</si>
  <si>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</si>
  <si>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</si>
  <si>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</si>
  <si>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</si>
  <si>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</si>
  <si>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</si>
  <si>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</si>
  <si>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</si>
  <si>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</si>
  <si>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</si>
  <si>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</si>
  <si>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</si>
  <si>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</si>
  <si>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</si>
  <si>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</si>
  <si>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</si>
  <si>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</si>
  <si>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</si>
  <si>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</si>
  <si>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</si>
  <si>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</si>
  <si>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</si>
  <si>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</si>
  <si>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</si>
  <si>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</si>
  <si>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</si>
  <si>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</si>
  <si>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</si>
  <si>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</si>
  <si>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</si>
  <si>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</si>
  <si>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Software</t>
  </si>
  <si>
    <t>Image</t>
  </si>
  <si>
    <t>https://images.moneycontrol.com/static-mcnews/2022/01/gold_yellow-metal__precious-metal_gold-prices-1.jpg?impolicy=website&amp;width=770&amp;height=431</t>
  </si>
  <si>
    <t>https://www.msfttechdays.com/wp-content/uploads/2021/07/Software.jpg</t>
  </si>
  <si>
    <t>https://interlakemecalux.cdnwm.com/documents/20197/5214836/M12P11_12+El+stock+m%C3%ADnimo+asegura+la+continua+reposici%C3%B3n+de+mercanc%C3%ADas/af1fd247-04b8-cb3f-af66-98e6a8f27089?t=1637927892000&amp;e=jpg</t>
  </si>
  <si>
    <t>Item_Val</t>
  </si>
  <si>
    <t>Sum of Item_Val</t>
  </si>
  <si>
    <t>Revenue Per Year</t>
  </si>
  <si>
    <t>Revenue Per Item Type</t>
  </si>
  <si>
    <t>Central Tendancy Measurements</t>
  </si>
  <si>
    <t>Despersion Measurements</t>
  </si>
  <si>
    <t>Ordering Measurements</t>
  </si>
  <si>
    <t>Distribution Measurements</t>
  </si>
  <si>
    <t>Relational Models</t>
  </si>
  <si>
    <t>Forecasting Measurements</t>
  </si>
  <si>
    <t>Measurements Types</t>
  </si>
  <si>
    <t>Mean</t>
  </si>
  <si>
    <t>Median</t>
  </si>
  <si>
    <t>Harmonic Mean</t>
  </si>
  <si>
    <t>Variance</t>
  </si>
  <si>
    <t>Range</t>
  </si>
  <si>
    <t>Standard deviation</t>
  </si>
  <si>
    <t>IQR</t>
  </si>
  <si>
    <t>CV</t>
  </si>
  <si>
    <t>First Quartile</t>
  </si>
  <si>
    <t>Second Quartile</t>
  </si>
  <si>
    <t>Third Quartile</t>
  </si>
  <si>
    <t>Percentile 1</t>
  </si>
  <si>
    <t>Percentile 2</t>
  </si>
  <si>
    <t>Percentile 3</t>
  </si>
  <si>
    <t>Percentile 4</t>
  </si>
  <si>
    <t>Percentile 5</t>
  </si>
  <si>
    <t>Percentile 6</t>
  </si>
  <si>
    <t>Percentile 7</t>
  </si>
  <si>
    <t>Percentile 8</t>
  </si>
  <si>
    <t>Percentile 9</t>
  </si>
  <si>
    <t>Skewness</t>
  </si>
  <si>
    <t>Kurtosis</t>
  </si>
  <si>
    <t>Correlation</t>
  </si>
  <si>
    <t>Regression</t>
  </si>
  <si>
    <t>Min</t>
  </si>
  <si>
    <t>Max</t>
  </si>
  <si>
    <t>Geometric Mean</t>
  </si>
  <si>
    <t>Measurement</t>
  </si>
  <si>
    <t>Value</t>
  </si>
  <si>
    <t>Description</t>
  </si>
  <si>
    <t>We have strong positive relationship between the date and the gold price</t>
  </si>
  <si>
    <t>Expected gold price on the given date will increase to this value</t>
  </si>
  <si>
    <t>Why We need It</t>
  </si>
  <si>
    <t>We have Lower anomalies that should be handled</t>
  </si>
  <si>
    <t>We have Upper anomalies that should be handled</t>
  </si>
  <si>
    <t>Between -3,3</t>
  </si>
  <si>
    <t>Between -10, 10</t>
  </si>
  <si>
    <t>Anomalies Min using IQR</t>
  </si>
  <si>
    <t>Anomalies Max using IQR</t>
  </si>
  <si>
    <t>Anomalies Min using Normal distribution</t>
  </si>
  <si>
    <t>Anomalies Max using Normal distribution</t>
  </si>
  <si>
    <t>According to Average - 3*Std</t>
  </si>
  <si>
    <t>According to Average + 3*Std</t>
  </si>
  <si>
    <t>Income range is 50000, which is not accepted, as it exceeds monthly average income,
So we need to handle the root cause</t>
  </si>
  <si>
    <t>Deviation between item monthly income, We need to decrease it,
 in order to enhance the monthly average income</t>
  </si>
  <si>
    <t>Mode</t>
  </si>
  <si>
    <t>Most frequent value, that can represent the revenues for each month</t>
  </si>
  <si>
    <t>Count</t>
  </si>
  <si>
    <t>Count of Measurement</t>
  </si>
  <si>
    <t>Average revenue value per month
Why We get this value?
How many values below average?
What can we do to improve, as it will not support achieving the target?</t>
  </si>
  <si>
    <t>Attribute</t>
  </si>
  <si>
    <t>Question</t>
  </si>
  <si>
    <t>Type</t>
  </si>
  <si>
    <t>Revenue</t>
  </si>
  <si>
    <t>Bank_Balance</t>
  </si>
  <si>
    <t>Sum of Revenue</t>
  </si>
  <si>
    <t>Bonus</t>
  </si>
  <si>
    <t>Balance</t>
  </si>
  <si>
    <t>Fuel</t>
  </si>
  <si>
    <t>Add_Expenses</t>
  </si>
  <si>
    <t>Gas</t>
  </si>
  <si>
    <t>Electric</t>
  </si>
  <si>
    <t>Internet</t>
  </si>
  <si>
    <t>Education</t>
  </si>
  <si>
    <t>Schools</t>
  </si>
  <si>
    <t>Cloths</t>
  </si>
  <si>
    <t>Club</t>
  </si>
  <si>
    <t>Medicines</t>
  </si>
  <si>
    <t>Cleanind</t>
  </si>
  <si>
    <t>Home_Expenses</t>
  </si>
  <si>
    <t>Maint</t>
  </si>
  <si>
    <t>Salaries</t>
  </si>
  <si>
    <t>ZAKAT</t>
  </si>
  <si>
    <t>Gammiat</t>
  </si>
  <si>
    <t>Bank Initial Balance</t>
  </si>
  <si>
    <t>Bank Final Balance</t>
  </si>
  <si>
    <t>Attribute_Desc</t>
  </si>
  <si>
    <t>What will be the final Balance</t>
  </si>
  <si>
    <t>Object</t>
  </si>
  <si>
    <t>Budget</t>
  </si>
  <si>
    <t>Gold_Forecasting</t>
  </si>
  <si>
    <t>In</t>
  </si>
  <si>
    <t>Answer Approach</t>
  </si>
  <si>
    <t>We can group the month names and visualize 
to see the highest and lowest values</t>
  </si>
  <si>
    <t>Do we have seasonality?</t>
  </si>
  <si>
    <t>Do we have a relationship with the value</t>
  </si>
  <si>
    <t>Can we forecast after 5 years?</t>
  </si>
  <si>
    <t>The Operation month</t>
  </si>
  <si>
    <t>Bank Balance at the start of the month</t>
  </si>
  <si>
    <t xml:space="preserve">68% of values between </t>
  </si>
  <si>
    <t xml:space="preserve">95% of values between </t>
  </si>
  <si>
    <t>99% of values between</t>
  </si>
  <si>
    <t>How to decrease cost?</t>
  </si>
  <si>
    <t>How to increase revenue
What will be the expected values</t>
  </si>
  <si>
    <t>Multiple modes</t>
  </si>
  <si>
    <t>Normal Distribution</t>
  </si>
  <si>
    <t>Generated</t>
  </si>
  <si>
    <t>Usage</t>
  </si>
  <si>
    <t>Analysis</t>
  </si>
  <si>
    <t>Relationship between year and generation</t>
  </si>
  <si>
    <t>Relationship between year and usage</t>
  </si>
  <si>
    <t>Expected cost growth by 2025</t>
  </si>
  <si>
    <t>Expected usage by 2025</t>
  </si>
  <si>
    <t>Recommendation</t>
  </si>
  <si>
    <t>Remove scanning feature from the books, as it's not a customer behavior</t>
  </si>
  <si>
    <t>Problem</t>
  </si>
  <si>
    <t>We need to analyze the QR Codes data</t>
  </si>
  <si>
    <t>Stop the production of QR codes</t>
  </si>
  <si>
    <t>GAMM</t>
  </si>
  <si>
    <t>Modes Text</t>
  </si>
  <si>
    <t>We Are expecting the Most frequent monthly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</si>
</sst>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/>
    </xf>
    <xf numFmtId="1" fontId="7" fillId="0" borderId="0" xfId="0" applyNumberFormat="1" applyFont="1" applyAlignment="1">
      <alignment horizontal="right" vertical="center"/>
    </xf>
    <xf numFmtId="44" fontId="7" fillId="0" borderId="0" xfId="1" applyFont="1" applyAlignment="1">
      <alignment horizontal="right" vertical="center"/>
    </xf>
    <xf numFmtId="9" fontId="7" fillId="0" borderId="0" xfId="2" applyFont="1" applyAlignment="1">
      <alignment horizontal="right" vertical="center"/>
    </xf>
    <xf numFmtId="0" fontId="6" fillId="0" borderId="0" xfId="0" applyNumberFormat="1" applyFont="1" applyAlignment="1">
      <alignment horizontal="center" vertical="distributed"/>
    </xf>
    <xf numFmtId="0" fontId="6" fillId="0" borderId="0" xfId="0" applyFont="1" applyAlignment="1">
      <alignment horizontal="center" vertical="distributed"/>
    </xf>
    <xf numFmtId="49" fontId="6" fillId="0" borderId="0" xfId="0" applyNumberFormat="1" applyFont="1" applyAlignment="1">
      <alignment horizontal="center" vertical="distributed"/>
    </xf>
    <xf numFmtId="17" fontId="0" fillId="0" borderId="0" xfId="0" applyNumberFormat="1"/>
    <xf numFmtId="0" fontId="8" fillId="0" borderId="0" xfId="3"/>
    <xf numFmtId="0" fontId="9" fillId="2" borderId="0" xfId="0" applyFont="1" applyFill="1"/>
    <xf numFmtId="0" fontId="0" fillId="0" borderId="0" xfId="0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1" fillId="0" borderId="0" xfId="0" applyFont="1"/>
    <xf numFmtId="0" fontId="10" fillId="0" borderId="0" xfId="0" applyFont="1"/>
    <xf numFmtId="9" fontId="0" fillId="0" borderId="0" xfId="0" applyNumberFormat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8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22" formatCode="mmm\-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Opening Balace Trend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'01-Budget'!$C$1</c:f>
              <c:strCache>
                <c:ptCount val="1"/>
                <c:pt idx="0">
                  <c:v>Bank_Balance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'01-Budget'!$B$2:$B$37</c:f>
              <c:strCache>
                <c:ptCount val="6"/>
                <c:pt idx="0">
                  <c:v>أغسطس 23</c:v>
                </c:pt>
                <c:pt idx="1">
                  <c:v>إبريل 24</c:v>
                </c:pt>
                <c:pt idx="2">
                  <c:v>مايو 24</c:v>
                </c:pt>
                <c:pt idx="3">
                  <c:v>يونيو 24</c:v>
                </c:pt>
                <c:pt idx="4">
                  <c:v>يوليو 24</c:v>
                </c:pt>
                <c:pt idx="5">
                  <c:v>أغسطس 24</c:v>
                </c:pt>
              </c:strCache>
            </c:strRef>
          </c:cat>
          <c:val>
            <c:numRef>
              <c:f>'01-Budget'!$C$2:$C$37</c:f>
              <c:numCache>
                <c:formatCode>General</c:formatCode>
                <c:ptCount val="6"/>
                <c:pt idx="0">
                  <c:v>112600</c:v>
                </c:pt>
                <c:pt idx="1">
                  <c:v>117700</c:v>
                </c:pt>
                <c:pt idx="2">
                  <c:v>114850</c:v>
                </c:pt>
                <c:pt idx="3">
                  <c:v>136500</c:v>
                </c:pt>
                <c:pt idx="4">
                  <c:v>138150</c:v>
                </c:pt>
                <c:pt idx="5">
                  <c:v>151800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B-4DE6-B196-0333756E9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383344"/>
        <c:axId val="667382360"/>
      </c:lineChart>
      <c:catAx>
        <c:axId val="66738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2360"/>
        <c:crosses val="autoZero"/>
        <c:auto val="1"/>
        <c:lblAlgn val="ctr"/>
        <c:lblOffset val="100"/>
        <c:noMultiLvlLbl val="0"/>
      </c:catAx>
      <c:valAx>
        <c:axId val="66738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[Budget.xlsx]05-Data_Summarization!PivotTable14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'05-Data_Summarization'!$B$2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E8F-4DB4-93C6-019D8F95AE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E8F-4DB4-93C6-019D8F95AE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E8F-4DB4-93C6-019D8F95AE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E8F-4DB4-93C6-019D8F95AEB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'05-Data_Summarization'!$A$3:$A$7</c:f>
              <c:strCache>
                <c:ptCount val="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</c:strCache>
            </c:strRef>
          </c:cat>
          <c:val>
            <c:numRef>
              <c:f>'05-Data_Summarization'!$B$3:$B$7</c:f>
              <c:numCache>
                <c:formatCode>General</c:formatCode>
                <c:ptCount val="4"/>
                <c:pt idx="0">
                  <c:v>441000</c:v>
                </c:pt>
                <c:pt idx="1">
                  <c:v>520000</c:v>
                </c:pt>
                <c:pt idx="2">
                  <c:v>535000</c:v>
                </c:pt>
                <c:pt idx="3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4C-44F0-B952-C17FC0542D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Scatter-Plot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'01-Budget'!$D$1</c:f>
              <c:strCache>
                <c:ptCount val="1"/>
                <c:pt idx="0">
                  <c:v>Revenue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'01-Budget'!$A$2:$A$38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2024</c:v>
                </c:pt>
                <c:pt idx="3">
                  <c:v>2024</c:v>
                </c:pt>
                <c:pt idx="4">
                  <c:v>2024</c:v>
                </c:pt>
                <c:pt idx="5">
                  <c:v>2024</c:v>
                </c:pt>
              </c:numCache>
            </c:numRef>
          </c:xVal>
          <c:yVal>
            <c:numRef>
              <c:f>'01-Budget'!$D$2:$D$38</c:f>
              <c:numCache>
                <c:formatCode>General</c:formatCode>
                <c:ptCount val="6"/>
                <c:pt idx="0">
                  <c:v>40000</c:v>
                </c:pt>
                <c:pt idx="1">
                  <c:v>40000</c:v>
                </c:pt>
                <c:pt idx="2">
                  <c:v>40000</c:v>
                </c:pt>
                <c:pt idx="3">
                  <c:v>40000</c:v>
                </c:pt>
                <c:pt idx="4">
                  <c:v>40000</c:v>
                </c:pt>
                <c:pt idx="5">
                  <c:v>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8-479C-9B2F-B12740528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003472"/>
        <c:axId val="996006096"/>
      </c:scatterChart>
      <c:valAx>
        <c:axId val="99600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6096"/>
        <c:crosses val="autoZero"/>
        <c:crossBetween val="midCat"/>
      </c:valAx>
      <c:valAx>
        <c:axId val="99600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Cost/Revenue Comparative Model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'01-Budget'!$B$1</c:f>
              <c:strCache>
                <c:ptCount val="1"/>
                <c:pt idx="0">
                  <c:v>Month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'01-Budget'!$B$2:$B$38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6-46AE-AB5A-1608274BD7FB}"/>
            </c:ext>
          </c:extLst>
        </c:ser>
        <c:ser>
          <c:idx val="1"/>
          <c:order val="1"/>
          <c:tx>
            <c:strRef>
              <c:f>'01-Budget'!$D$1</c:f>
              <c:strCache>
                <c:ptCount val="1"/>
                <c:pt idx="0">
                  <c:v>Revenue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'01-Budget'!$D$2:$D$38</c:f>
              <c:numCache>
                <c:formatCode>General</c:formatCode>
                <c:ptCount val="6"/>
                <c:pt idx="0">
                  <c:v>40000</c:v>
                </c:pt>
                <c:pt idx="1">
                  <c:v>40000</c:v>
                </c:pt>
                <c:pt idx="2">
                  <c:v>40000</c:v>
                </c:pt>
                <c:pt idx="3">
                  <c:v>40000</c:v>
                </c:pt>
                <c:pt idx="4">
                  <c:v>40000</c:v>
                </c:pt>
                <c:pt idx="5">
                  <c:v>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6-46AE-AB5A-1608274BD7FB}"/>
            </c:ext>
          </c:extLst>
        </c:ser>
        <c:ser>
          <c:idx val="2"/>
          <c:order val="2"/>
          <c:tx>
            <c:strRef>
              <c:f>'01-Budget'!$W$1</c:f>
              <c:strCache>
                <c:ptCount val="1"/>
                <c:pt idx="0">
                  <c:v>Balance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'01-Budget'!$W$2:$W$38</c:f>
              <c:numCache>
                <c:formatCode>General</c:formatCode>
                <c:ptCount val="6"/>
                <c:pt idx="0">
                  <c:v>68550</c:v>
                </c:pt>
                <c:pt idx="1">
                  <c:v>114850</c:v>
                </c:pt>
                <c:pt idx="2">
                  <c:v>136500</c:v>
                </c:pt>
                <c:pt idx="3">
                  <c:v>138150</c:v>
                </c:pt>
                <c:pt idx="4">
                  <c:v>151800</c:v>
                </c:pt>
                <c:pt idx="5">
                  <c:v>107750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36-46AE-AB5A-1608274BD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416792"/>
        <c:axId val="893418432"/>
      </c:lineChart>
      <c:catAx>
        <c:axId val="8934167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8432"/>
        <c:crosses val="autoZero"/>
        <c:auto val="1"/>
        <c:lblAlgn val="ctr"/>
        <c:lblOffset val="100"/>
        <c:noMultiLvlLbl val="0"/>
      </c:catAx>
      <c:valAx>
        <c:axId val="8934184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6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QR Codes</a:t>
            </a:r>
            <a:r>
              <a:rPr lang="en-US" baseline="0"/>
              <a:t> Analytics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QRODES!$B$1</c:f>
              <c:strCache>
                <c:ptCount val="1"/>
                <c:pt idx="0">
                  <c:v>Generated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QRODES!$B$2:$B$9</c:f>
              <c:numCache>
                <c:formatCode>General</c:formatCode>
                <c:ptCount val="8"/>
                <c:pt idx="0">
                  <c:v>1200</c:v>
                </c:pt>
                <c:pt idx="1">
                  <c:v>3000</c:v>
                </c:pt>
                <c:pt idx="2">
                  <c:v>3300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8800</c:v>
                </c:pt>
                <c:pt idx="7">
                  <c:v>13150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01-45F5-99A0-5494F396EE11}"/>
            </c:ext>
          </c:extLst>
        </c:ser>
        <c:ser>
          <c:idx val="1"/>
          <c:order val="1"/>
          <c:tx>
            <c:strRef>
              <c:f>QRODES!$C$1</c:f>
              <c:strCache>
                <c:ptCount val="1"/>
                <c:pt idx="0">
                  <c:v>Usage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QRODES!$C$2:$C$9</c:f>
              <c:numCache>
                <c:formatCode>General</c:formatCode>
                <c:ptCount val="8"/>
                <c:pt idx="0">
                  <c:v>620</c:v>
                </c:pt>
                <c:pt idx="1">
                  <c:v>523</c:v>
                </c:pt>
                <c:pt idx="2">
                  <c:v>490</c:v>
                </c:pt>
                <c:pt idx="3">
                  <c:v>340</c:v>
                </c:pt>
                <c:pt idx="4">
                  <c:v>280</c:v>
                </c:pt>
                <c:pt idx="5">
                  <c:v>270</c:v>
                </c:pt>
                <c:pt idx="6">
                  <c:v>245</c:v>
                </c:pt>
                <c:pt idx="7">
                  <c:v>0.92857142857974395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01-45F5-99A0-5494F396E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96688"/>
        <c:axId val="523502920"/>
      </c:scatterChart>
      <c:valAx>
        <c:axId val="52349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02920"/>
        <c:crosses val="autoZero"/>
        <c:crossBetween val="midCat"/>
      </c:valAx>
      <c:valAx>
        <c:axId val="52350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9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QR Codes</a:t>
            </a:r>
            <a:r>
              <a:rPr lang="en-US" baseline="0"/>
              <a:t> Analytics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QRODES!$B$1</c:f>
              <c:strCache>
                <c:ptCount val="1"/>
                <c:pt idx="0">
                  <c:v>Generated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QRODES!$B$2:$B$9</c:f>
              <c:numCache>
                <c:formatCode>General</c:formatCode>
                <c:ptCount val="8"/>
                <c:pt idx="0">
                  <c:v>1200</c:v>
                </c:pt>
                <c:pt idx="1">
                  <c:v>3000</c:v>
                </c:pt>
                <c:pt idx="2">
                  <c:v>3300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8800</c:v>
                </c:pt>
                <c:pt idx="7">
                  <c:v>13150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D-4881-9C1A-BA3C75B10D53}"/>
            </c:ext>
          </c:extLst>
        </c:ser>
        <c:ser>
          <c:idx val="1"/>
          <c:order val="1"/>
          <c:tx>
            <c:strRef>
              <c:f>QRODES!$C$1</c:f>
              <c:strCache>
                <c:ptCount val="1"/>
                <c:pt idx="0">
                  <c:v>Usage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QRODES!$C$2:$C$9</c:f>
              <c:numCache>
                <c:formatCode>General</c:formatCode>
                <c:ptCount val="8"/>
                <c:pt idx="0">
                  <c:v>620</c:v>
                </c:pt>
                <c:pt idx="1">
                  <c:v>523</c:v>
                </c:pt>
                <c:pt idx="2">
                  <c:v>490</c:v>
                </c:pt>
                <c:pt idx="3">
                  <c:v>340</c:v>
                </c:pt>
                <c:pt idx="4">
                  <c:v>280</c:v>
                </c:pt>
                <c:pt idx="5">
                  <c:v>270</c:v>
                </c:pt>
                <c:pt idx="6">
                  <c:v>245</c:v>
                </c:pt>
                <c:pt idx="7">
                  <c:v>0.92857142857974395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9D-4881-9C1A-BA3C75B10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96688"/>
        <c:axId val="523502920"/>
      </c:scatterChart>
      <c:valAx>
        <c:axId val="52349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02920"/>
        <c:crosses val="autoZero"/>
        <c:crossBetween val="midCat"/>
      </c:valAx>
      <c:valAx>
        <c:axId val="52350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9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Opening Balance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Opening Balance Histogram</a:t>
          </a:r>
        </a:p>
      </cx:txPr>
    </cx:title>
    <cx:plotArea>
      <cx:plotAreaRegion>
        <cx:series layoutId="clusteredColumn" uniqueId="{F2DA8020-A2E8-42D1-B4D9-579780C22758}">
          <cx:tx>
            <cx:txData>
              <cx:f>_xlchart.v1.5</cx:f>
              <cx:v>Bank_Balance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Opening Balance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Opening Balance Box-Plot</a:t>
          </a:r>
        </a:p>
      </cx:txPr>
    </cx:title>
    <cx:plotArea>
      <cx:plotAreaRegion>
        <cx:series layoutId="boxWhisker" uniqueId="{28DE00F0-E062-47DF-BC28-56E70402E63A}">
          <cx:tx>
            <cx:txData>
              <cx:f>_xlchart.v1.7</cx:f>
              <cx:v>Bank_Balance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_xlchart.v1.4</cx:f>
      </cx:numDim>
    </cx:data>
  </cx:chartData>
  <cx:chart>
    <cx:title pos="t" align="ctr" overlay="0">
      <cx:tx>
        <cx:txData>
          <cx:v>Revenue Heatmap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Heatmap</a:t>
          </a:r>
        </a:p>
      </cx:txPr>
    </cx:title>
    <cx:plotArea>
      <cx:plotAreaRegion>
        <cx:series layoutId="treemap" uniqueId="{6662CFD2-F4E4-44DF-9877-43AE9A1B9391}">
          <cx:tx>
            <cx:txData>
              <cx:f>_xlchart.v1.3</cx:f>
              <cx:v>Revenue</cx:v>
            </cx:txData>
          </cx:tx>
          <cx:dataLabels pos="inEnd"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Revenue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Revenue Box-Plot</a:t>
          </a:r>
        </a:p>
      </cx:txPr>
    </cx:title>
    <cx:plotArea>
      <cx:plotAreaRegion>
        <cx:series layoutId="boxWhisker" uniqueId="{1BFF31CA-FF0B-4B66-8E8E-23B0AA9833CE}">
          <cx:tx>
            <cx:txData>
              <cx:f>_xlchart.v1.0</cx:f>
              <cx:v>Revenue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4.xml"/><Relationship Id="rId3" Type="http://schemas.openxmlformats.org/officeDocument/2006/relationships/chart" Target="../charts/chart1.xml"/><Relationship Id="rId7" Type="http://schemas.openxmlformats.org/officeDocument/2006/relationships/chart" Target="../charts/chart4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3.xml"/><Relationship Id="rId5" Type="http://schemas.openxmlformats.org/officeDocument/2006/relationships/chart" Target="../charts/chart3.xml"/><Relationship Id="rId10" Type="http://schemas.openxmlformats.org/officeDocument/2006/relationships/chart" Target="../charts/chart5.xml"/><Relationship Id="rId4" Type="http://schemas.openxmlformats.org/officeDocument/2006/relationships/chart" Target="../charts/chart2.xml"/><Relationship Id="rId9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picpedia.org/clipboard/revenue.html" TargetMode="External"/><Relationship Id="rId3" Type="http://schemas.openxmlformats.org/officeDocument/2006/relationships/image" Target="../media/image3.png"/><Relationship Id="rId7" Type="http://schemas.openxmlformats.org/officeDocument/2006/relationships/image" Target="../media/image5.jpeg"/><Relationship Id="rId12" Type="http://schemas.openxmlformats.org/officeDocument/2006/relationships/hyperlink" Target="https://picpedia.org/clipboard/profit.html" TargetMode="External"/><Relationship Id="rId2" Type="http://schemas.openxmlformats.org/officeDocument/2006/relationships/hyperlink" Target="http://www.pngall.com/bank-png/download/24828" TargetMode="External"/><Relationship Id="rId1" Type="http://schemas.openxmlformats.org/officeDocument/2006/relationships/image" Target="../media/image2.png"/><Relationship Id="rId6" Type="http://schemas.openxmlformats.org/officeDocument/2006/relationships/hyperlink" Target="http://www.ccpixs.com/ccimages/3d-growing-revenue-graph/1192/" TargetMode="External"/><Relationship Id="rId11" Type="http://schemas.openxmlformats.org/officeDocument/2006/relationships/image" Target="../media/image7.jpeg"/><Relationship Id="rId5" Type="http://schemas.openxmlformats.org/officeDocument/2006/relationships/image" Target="../media/image4.jpeg"/><Relationship Id="rId10" Type="http://schemas.openxmlformats.org/officeDocument/2006/relationships/hyperlink" Target="https://freepngimg.com/png/12224-gold-free-download-png" TargetMode="External"/><Relationship Id="rId4" Type="http://schemas.openxmlformats.org/officeDocument/2006/relationships/hyperlink" Target="http://www.pngall.com/calendar-png" TargetMode="External"/><Relationship Id="rId9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10</xdr:row>
      <xdr:rowOff>171449</xdr:rowOff>
    </xdr:from>
    <xdr:to>
      <xdr:col>2</xdr:col>
      <xdr:colOff>228599</xdr:colOff>
      <xdr:row>23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BDFEAA5-2CDE-416C-94AB-1D926A9138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4" y="2076449"/>
              <a:ext cx="2314575" cy="23812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523875</xdr:colOff>
      <xdr:row>10</xdr:row>
      <xdr:rowOff>171450</xdr:rowOff>
    </xdr:from>
    <xdr:to>
      <xdr:col>13</xdr:col>
      <xdr:colOff>19049</xdr:colOff>
      <xdr:row>23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4F41978-141C-499B-BB64-F5F1512044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05475" y="2076450"/>
              <a:ext cx="3152774" cy="2400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238124</xdr:colOff>
      <xdr:row>10</xdr:row>
      <xdr:rowOff>142874</xdr:rowOff>
    </xdr:from>
    <xdr:to>
      <xdr:col>18</xdr:col>
      <xdr:colOff>352425</xdr:colOff>
      <xdr:row>23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64C63E-D017-4A1C-A80F-C905FB35A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23</xdr:row>
      <xdr:rowOff>161925</xdr:rowOff>
    </xdr:from>
    <xdr:to>
      <xdr:col>1</xdr:col>
      <xdr:colOff>952499</xdr:colOff>
      <xdr:row>38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B53A00-FB3E-4ED6-A67A-167592801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304800</xdr:colOff>
      <xdr:row>24</xdr:row>
      <xdr:rowOff>9524</xdr:rowOff>
    </xdr:from>
    <xdr:to>
      <xdr:col>7</xdr:col>
      <xdr:colOff>409575</xdr:colOff>
      <xdr:row>38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7681A8-5253-4C22-B101-D698B2F47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457200</xdr:colOff>
      <xdr:row>24</xdr:row>
      <xdr:rowOff>0</xdr:rowOff>
    </xdr:from>
    <xdr:to>
      <xdr:col>16</xdr:col>
      <xdr:colOff>133350</xdr:colOff>
      <xdr:row>39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94EE97E-4B52-46D7-9870-11BAD2ED03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38800" y="4572000"/>
              <a:ext cx="5162550" cy="2886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95250</xdr:colOff>
      <xdr:row>39</xdr:row>
      <xdr:rowOff>28575</xdr:rowOff>
    </xdr:from>
    <xdr:to>
      <xdr:col>3</xdr:col>
      <xdr:colOff>95250</xdr:colOff>
      <xdr:row>53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10F7C3-F354-422E-A9D6-241871774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314325</xdr:colOff>
      <xdr:row>10</xdr:row>
      <xdr:rowOff>171450</xdr:rowOff>
    </xdr:from>
    <xdr:to>
      <xdr:col>7</xdr:col>
      <xdr:colOff>466725</xdr:colOff>
      <xdr:row>23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8461F134-F9D7-45FF-AC05-5CF7848001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47925" y="2076450"/>
              <a:ext cx="3200400" cy="2390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397538</xdr:colOff>
      <xdr:row>39</xdr:row>
      <xdr:rowOff>76199</xdr:rowOff>
    </xdr:from>
    <xdr:to>
      <xdr:col>10</xdr:col>
      <xdr:colOff>124928</xdr:colOff>
      <xdr:row>54</xdr:row>
      <xdr:rowOff>29350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4C313C0-FC76-41DA-9C44-D216941B2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40738" y="7505699"/>
          <a:ext cx="3994590" cy="2810651"/>
        </a:xfrm>
        <a:prstGeom prst="rect">
          <a:avLst/>
        </a:prstGeom>
      </xdr:spPr>
    </xdr:pic>
    <xdr:clientData/>
  </xdr:twoCellAnchor>
  <xdr:twoCellAnchor>
    <xdr:from>
      <xdr:col>10</xdr:col>
      <xdr:colOff>400050</xdr:colOff>
      <xdr:row>40</xdr:row>
      <xdr:rowOff>0</xdr:rowOff>
    </xdr:from>
    <xdr:to>
      <xdr:col>16</xdr:col>
      <xdr:colOff>95250</xdr:colOff>
      <xdr:row>52</xdr:row>
      <xdr:rowOff>180975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678DF13-5909-45B6-8425-DC749C8DD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75530</xdr:rowOff>
    </xdr:from>
    <xdr:to>
      <xdr:col>1</xdr:col>
      <xdr:colOff>1028700</xdr:colOff>
      <xdr:row>1</xdr:row>
      <xdr:rowOff>936556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08624C-0B31-43D5-89EC-082EDDBF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495675" y="904205"/>
          <a:ext cx="962025" cy="86102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0</xdr:row>
      <xdr:rowOff>0</xdr:rowOff>
    </xdr:from>
    <xdr:to>
      <xdr:col>1</xdr:col>
      <xdr:colOff>1047750</xdr:colOff>
      <xdr:row>0</xdr:row>
      <xdr:rowOff>809625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C90147-5B4E-4341-8FCD-9AF308519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533775" y="0"/>
          <a:ext cx="942975" cy="8096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</xdr:row>
      <xdr:rowOff>76199</xdr:rowOff>
    </xdr:from>
    <xdr:to>
      <xdr:col>1</xdr:col>
      <xdr:colOff>1085850</xdr:colOff>
      <xdr:row>4</xdr:row>
      <xdr:rowOff>857248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DC3ADCA-FC74-4A6B-8637-E8BA4815C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3448050" y="3524249"/>
          <a:ext cx="1066800" cy="781049"/>
        </a:xfrm>
        <a:prstGeom prst="rect">
          <a:avLst/>
        </a:prstGeom>
      </xdr:spPr>
    </xdr:pic>
    <xdr:clientData/>
  </xdr:twoCellAnchor>
  <xdr:twoCellAnchor editAs="oneCell">
    <xdr:from>
      <xdr:col>0</xdr:col>
      <xdr:colOff>3419476</xdr:colOff>
      <xdr:row>2</xdr:row>
      <xdr:rowOff>0</xdr:rowOff>
    </xdr:from>
    <xdr:to>
      <xdr:col>1</xdr:col>
      <xdr:colOff>1000125</xdr:colOff>
      <xdr:row>2</xdr:row>
      <xdr:rowOff>695325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03BBA26-7EE3-4DFF-A40B-57BAB5939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3419476" y="1876424"/>
          <a:ext cx="1009649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17145</xdr:rowOff>
    </xdr:from>
    <xdr:to>
      <xdr:col>1</xdr:col>
      <xdr:colOff>1247775</xdr:colOff>
      <xdr:row>3</xdr:row>
      <xdr:rowOff>866775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7EABF84-8A54-41D3-9B7B-E73B6D40E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3429000" y="2588895"/>
          <a:ext cx="1247775" cy="8496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870856</xdr:rowOff>
    </xdr:from>
    <xdr:to>
      <xdr:col>1</xdr:col>
      <xdr:colOff>971550</xdr:colOff>
      <xdr:row>5</xdr:row>
      <xdr:rowOff>806903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D19787A-54F4-4979-88E2-E8A81F186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3429000" y="4318906"/>
          <a:ext cx="971550" cy="8123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1009649</xdr:colOff>
      <xdr:row>2</xdr:row>
      <xdr:rowOff>695325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A5665F-E242-40F6-99AB-BEA18BFF6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3429000" y="2571750"/>
          <a:ext cx="1009649" cy="695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8</xdr:row>
      <xdr:rowOff>161925</xdr:rowOff>
    </xdr:from>
    <xdr:to>
      <xdr:col>13</xdr:col>
      <xdr:colOff>19049</xdr:colOff>
      <xdr:row>19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B67CA0-EAF2-45B3-8637-9EFA7BC31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0.921410069444" createdVersion="7" refreshedVersion="7" minRefreshableVersion="3" recordCount="32" xr:uid="{52CE8CBC-16F3-4A2F-A811-6B18E48DF037}">
  <cacheSource type="worksheet">
    <worksheetSource name="Measurements_Table[[Measurements Types]:[Measurement]]"/>
  </cacheSource>
  <cacheFields count="2">
    <cacheField name="Measurements Types" numFmtId="0">
      <sharedItems count="6">
        <s v="Central Tendancy Measurements"/>
        <s v="Despersion Measurements"/>
        <s v="Ordering Measurements"/>
        <s v="Distribution Measurements"/>
        <s v="Relational Models"/>
        <s v="Forecasting Measurements"/>
      </sharedItems>
    </cacheField>
    <cacheField name="Measure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1.119633796297" createdVersion="7" refreshedVersion="7" minRefreshableVersion="3" recordCount="64" xr:uid="{EFF91BAF-DEEC-497F-A37C-AFC4564A403C}">
  <cacheSource type="worksheet">
    <worksheetSource name="Gold_Forecasting[[Item]:[Item_Val]]"/>
  </cacheSource>
  <cacheFields count="2">
    <cacheField name="Item" numFmtId="14">
      <sharedItems count="2">
        <s v="Gold"/>
        <s v="Goods"/>
      </sharedItems>
    </cacheField>
    <cacheField name="Item_Val" numFmtId="0">
      <sharedItems containsSemiMixedTypes="0" containsString="0" containsNumber="1" minValue="990" maxValue="105065.931076170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4.08405208333" createdVersion="7" refreshedVersion="7" minRefreshableVersion="3" recordCount="36" xr:uid="{F3871FC8-F7B4-449B-8BD7-7400D7B3AA63}">
  <cacheSource type="worksheet">
    <worksheetSource name="Budget_Table"/>
  </cacheSource>
  <cacheFields count="23">
    <cacheField name="Year" numFmtId="0">
      <sharedItems containsSemiMixedTypes="0" containsString="0" containsNumber="1" containsInteger="1" minValue="2022" maxValue="2025" count="4">
        <n v="2022"/>
        <n v="2023"/>
        <n v="2024"/>
        <n v="2025"/>
      </sharedItems>
    </cacheField>
    <cacheField name="Month" numFmtId="0">
      <sharedItems/>
    </cacheField>
    <cacheField name="Bank_Balance" numFmtId="0">
      <sharedItems containsSemiMixedTypes="0" containsString="0" containsNumber="1" containsInteger="1" minValue="60100" maxValue="177830"/>
    </cacheField>
    <cacheField name="Revenue" numFmtId="0">
      <sharedItems containsSemiMixedTypes="0" containsString="0" containsNumber="1" containsInteger="1" minValue="30000" maxValue="82000"/>
    </cacheField>
    <cacheField name="Bonus" numFmtId="0">
      <sharedItems containsSemiMixedTypes="0" containsString="0" containsNumber="1" containsInteger="1" minValue="-820" maxValue="0"/>
    </cacheField>
    <cacheField name="Gammiat" numFmtId="0">
      <sharedItems containsString="0" containsBlank="1" containsNumber="1" containsInteger="1" minValue="-4000" maxValue="20000"/>
    </cacheField>
    <cacheField name="ZAKAT" numFmtId="0">
      <sharedItems containsString="0" containsBlank="1" containsNumber="1" containsInteger="1" minValue="-8000" maxValue="-8000"/>
    </cacheField>
    <cacheField name="Salaries" numFmtId="0">
      <sharedItems containsSemiMixedTypes="0" containsString="0" containsNumber="1" containsInteger="1" minValue="-4500" maxValue="-3500"/>
    </cacheField>
    <cacheField name="Maint" numFmtId="0">
      <sharedItems containsSemiMixedTypes="0" containsString="0" containsNumber="1" containsInteger="1" minValue="-200" maxValue="-200"/>
    </cacheField>
    <cacheField name="Stock" numFmtId="0">
      <sharedItems containsString="0" containsBlank="1" containsNumber="1" containsInteger="1" minValue="-60000" maxValue="-20000"/>
    </cacheField>
    <cacheField name="Home_Expenses" numFmtId="0">
      <sharedItems containsSemiMixedTypes="0" containsString="0" containsNumber="1" containsInteger="1" minValue="-15000" maxValue="-6500"/>
    </cacheField>
    <cacheField name="Cleanind" numFmtId="0">
      <sharedItems containsSemiMixedTypes="0" containsString="0" containsNumber="1" containsInteger="1" minValue="-400" maxValue="-400"/>
    </cacheField>
    <cacheField name="Medicines" numFmtId="0">
      <sharedItems containsSemiMixedTypes="0" containsString="0" containsNumber="1" containsInteger="1" minValue="-500" maxValue="-500"/>
    </cacheField>
    <cacheField name="Club" numFmtId="0">
      <sharedItems containsString="0" containsBlank="1" containsNumber="1" containsInteger="1" minValue="-1200" maxValue="-1200"/>
    </cacheField>
    <cacheField name="Cloths" numFmtId="0">
      <sharedItems containsString="0" containsBlank="1" containsNumber="1" containsInteger="1" minValue="-4500" maxValue="-4500"/>
    </cacheField>
    <cacheField name="Schools" numFmtId="0">
      <sharedItems containsString="0" containsBlank="1" containsNumber="1" containsInteger="1" minValue="-40000" maxValue="-8000"/>
    </cacheField>
    <cacheField name="Education" numFmtId="0">
      <sharedItems containsString="0" containsBlank="1" containsNumber="1" containsInteger="1" minValue="-3000" maxValue="0"/>
    </cacheField>
    <cacheField name="Internet" numFmtId="0">
      <sharedItems containsSemiMixedTypes="0" containsString="0" containsNumber="1" containsInteger="1" minValue="-500" maxValue="-250"/>
    </cacheField>
    <cacheField name="Electric" numFmtId="0">
      <sharedItems containsSemiMixedTypes="0" containsString="0" containsNumber="1" containsInteger="1" minValue="-1000" maxValue="-400"/>
    </cacheField>
    <cacheField name="Gas" numFmtId="0">
      <sharedItems containsSemiMixedTypes="0" containsString="0" containsNumber="1" containsInteger="1" minValue="-100" maxValue="-100"/>
    </cacheField>
    <cacheField name="Add_Expenses" numFmtId="0">
      <sharedItems containsString="0" containsBlank="1" containsNumber="1" containsInteger="1" minValue="-1500" maxValue="-1000"/>
    </cacheField>
    <cacheField name="Fuel" numFmtId="0">
      <sharedItems containsSemiMixedTypes="0" containsString="0" containsNumber="1" containsInteger="1" minValue="-750" maxValue="-600"/>
    </cacheField>
    <cacheField name="Balance" numFmtId="0">
      <sharedItems containsSemiMixedTypes="0" containsString="0" containsNumber="1" containsInteger="1" minValue="60100" maxValue="184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s v="Mean"/>
  </r>
  <r>
    <x v="0"/>
    <s v="Geometric Mean"/>
  </r>
  <r>
    <x v="0"/>
    <s v="Harmonic Mean"/>
  </r>
  <r>
    <x v="0"/>
    <s v="Median"/>
  </r>
  <r>
    <x v="0"/>
    <s v="Min"/>
  </r>
  <r>
    <x v="0"/>
    <s v="Max"/>
  </r>
  <r>
    <x v="0"/>
    <s v="Mode"/>
  </r>
  <r>
    <x v="1"/>
    <s v="Range"/>
  </r>
  <r>
    <x v="1"/>
    <s v="Variance"/>
  </r>
  <r>
    <x v="1"/>
    <s v="Standard deviation"/>
  </r>
  <r>
    <x v="1"/>
    <s v="IQR"/>
  </r>
  <r>
    <x v="1"/>
    <s v="CV"/>
  </r>
  <r>
    <x v="2"/>
    <s v="First Quartile"/>
  </r>
  <r>
    <x v="2"/>
    <s v="Second Quartile"/>
  </r>
  <r>
    <x v="2"/>
    <s v="Third Quartile"/>
  </r>
  <r>
    <x v="2"/>
    <s v="Percentile 1"/>
  </r>
  <r>
    <x v="2"/>
    <s v="Percentile 2"/>
  </r>
  <r>
    <x v="2"/>
    <s v="Percentile 3"/>
  </r>
  <r>
    <x v="2"/>
    <s v="Percentile 4"/>
  </r>
  <r>
    <x v="2"/>
    <s v="Percentile 5"/>
  </r>
  <r>
    <x v="2"/>
    <s v="Percentile 6"/>
  </r>
  <r>
    <x v="2"/>
    <s v="Percentile 7"/>
  </r>
  <r>
    <x v="2"/>
    <s v="Percentile 8"/>
  </r>
  <r>
    <x v="2"/>
    <s v="Percentile 9"/>
  </r>
  <r>
    <x v="3"/>
    <s v="Skewness"/>
  </r>
  <r>
    <x v="3"/>
    <s v="Kurtosis"/>
  </r>
  <r>
    <x v="3"/>
    <s v="Anomalies Min using IQR"/>
  </r>
  <r>
    <x v="3"/>
    <s v="Anomalies Max using IQR"/>
  </r>
  <r>
    <x v="3"/>
    <s v="Anomalies Min using Normal distribution"/>
  </r>
  <r>
    <x v="3"/>
    <s v="Anomalies Max using Normal distribution"/>
  </r>
  <r>
    <x v="4"/>
    <s v="Correlation"/>
  </r>
  <r>
    <x v="5"/>
    <s v="Regressio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n v="990"/>
  </r>
  <r>
    <x v="0"/>
    <n v="991"/>
  </r>
  <r>
    <x v="0"/>
    <n v="992"/>
  </r>
  <r>
    <x v="0"/>
    <n v="995"/>
  </r>
  <r>
    <x v="0"/>
    <n v="997"/>
  </r>
  <r>
    <x v="0"/>
    <n v="999"/>
  </r>
  <r>
    <x v="0"/>
    <n v="1001"/>
  </r>
  <r>
    <x v="0"/>
    <n v="1003"/>
  </r>
  <r>
    <x v="0"/>
    <n v="1005"/>
  </r>
  <r>
    <x v="0"/>
    <n v="1005"/>
  </r>
  <r>
    <x v="0"/>
    <n v="1010"/>
  </r>
  <r>
    <x v="0"/>
    <n v="1014"/>
  </r>
  <r>
    <x v="0"/>
    <n v="1015"/>
  </r>
  <r>
    <x v="0"/>
    <n v="1014"/>
  </r>
  <r>
    <x v="0"/>
    <n v="1015"/>
  </r>
  <r>
    <x v="0"/>
    <n v="1018"/>
  </r>
  <r>
    <x v="0"/>
    <n v="1020"/>
  </r>
  <r>
    <x v="0"/>
    <n v="1020"/>
  </r>
  <r>
    <x v="0"/>
    <n v="1021"/>
  </r>
  <r>
    <x v="0"/>
    <n v="1030"/>
  </r>
  <r>
    <x v="0"/>
    <n v="1068"/>
  </r>
  <r>
    <x v="0"/>
    <n v="1172"/>
  </r>
  <r>
    <x v="0"/>
    <n v="1154"/>
  </r>
  <r>
    <x v="0"/>
    <n v="1140"/>
  </r>
  <r>
    <x v="0"/>
    <n v="1135"/>
  </r>
  <r>
    <x v="0"/>
    <n v="1130"/>
  </r>
  <r>
    <x v="0"/>
    <n v="1175.8571428570431"/>
  </r>
  <r>
    <x v="0"/>
    <n v="1170.7755102040246"/>
  </r>
  <r>
    <x v="0"/>
    <n v="1158.2390670553214"/>
  </r>
  <r>
    <x v="0"/>
    <n v="1168.4281549353327"/>
  </r>
  <r>
    <x v="0"/>
    <n v="1178.6911405960564"/>
  </r>
  <r>
    <x v="0"/>
    <n v="8629.3026374842157"/>
  </r>
  <r>
    <x v="1"/>
    <n v="990"/>
  </r>
  <r>
    <x v="1"/>
    <n v="991"/>
  </r>
  <r>
    <x v="1"/>
    <n v="992"/>
  </r>
  <r>
    <x v="1"/>
    <n v="995"/>
  </r>
  <r>
    <x v="1"/>
    <n v="997"/>
  </r>
  <r>
    <x v="1"/>
    <n v="999"/>
  </r>
  <r>
    <x v="1"/>
    <n v="1001"/>
  </r>
  <r>
    <x v="1"/>
    <n v="1003"/>
  </r>
  <r>
    <x v="1"/>
    <n v="1005"/>
  </r>
  <r>
    <x v="1"/>
    <n v="1005"/>
  </r>
  <r>
    <x v="1"/>
    <n v="1010"/>
  </r>
  <r>
    <x v="1"/>
    <n v="1014"/>
  </r>
  <r>
    <x v="1"/>
    <n v="1015"/>
  </r>
  <r>
    <x v="1"/>
    <n v="1014"/>
  </r>
  <r>
    <x v="1"/>
    <n v="1015"/>
  </r>
  <r>
    <x v="1"/>
    <n v="1018"/>
  </r>
  <r>
    <x v="1"/>
    <n v="1020"/>
  </r>
  <r>
    <x v="1"/>
    <n v="1020"/>
  </r>
  <r>
    <x v="1"/>
    <n v="1021"/>
  </r>
  <r>
    <x v="1"/>
    <n v="1030"/>
  </r>
  <r>
    <x v="1"/>
    <n v="1068"/>
  </r>
  <r>
    <x v="1"/>
    <n v="1172"/>
  </r>
  <r>
    <x v="1"/>
    <n v="1175"/>
  </r>
  <r>
    <x v="1"/>
    <n v="1511"/>
  </r>
  <r>
    <x v="1"/>
    <n v="1417.1428571427241"/>
  </r>
  <r>
    <x v="1"/>
    <n v="1521.6530612241477"/>
  </r>
  <r>
    <x v="1"/>
    <n v="1629.5772594753653"/>
  </r>
  <r>
    <x v="1"/>
    <n v="1731.5077051231638"/>
  </r>
  <r>
    <x v="1"/>
    <n v="1822.3159397873096"/>
  </r>
  <r>
    <x v="1"/>
    <n v="1914.7992078135721"/>
  </r>
  <r>
    <x v="1"/>
    <n v="1968.5134947421029"/>
  </r>
  <r>
    <x v="1"/>
    <n v="105065.9310761708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s v="مارس 22"/>
    <n v="70000"/>
    <n v="30000"/>
    <n v="0"/>
    <m/>
    <m/>
    <n v="-3500"/>
    <n v="-200"/>
    <m/>
    <n v="-6500"/>
    <n v="-400"/>
    <n v="-500"/>
    <m/>
    <m/>
    <m/>
    <n v="-3000"/>
    <n v="-250"/>
    <n v="-400"/>
    <n v="-100"/>
    <n v="-1500"/>
    <n v="-600"/>
    <n v="83050"/>
  </r>
  <r>
    <x v="0"/>
    <s v="إبريل 22"/>
    <n v="83050"/>
    <n v="39000"/>
    <n v="0"/>
    <n v="-4000"/>
    <m/>
    <n v="-3500"/>
    <n v="-200"/>
    <n v="-20000"/>
    <n v="-12000"/>
    <n v="-400"/>
    <n v="-500"/>
    <m/>
    <n v="-4500"/>
    <m/>
    <n v="-3000"/>
    <n v="-500"/>
    <n v="-1000"/>
    <n v="-100"/>
    <m/>
    <n v="-750"/>
    <n v="71600"/>
  </r>
  <r>
    <x v="0"/>
    <s v="مايو 22"/>
    <n v="71600"/>
    <n v="41000"/>
    <n v="-410"/>
    <n v="-4000"/>
    <m/>
    <n v="-3500"/>
    <n v="-200"/>
    <m/>
    <n v="-10000"/>
    <n v="-400"/>
    <n v="-500"/>
    <m/>
    <m/>
    <m/>
    <n v="0"/>
    <n v="-500"/>
    <n v="-1000"/>
    <n v="-100"/>
    <m/>
    <n v="-750"/>
    <n v="91240"/>
  </r>
  <r>
    <x v="0"/>
    <s v="يونيو 22"/>
    <n v="91240"/>
    <n v="39000"/>
    <n v="0"/>
    <n v="-4000"/>
    <m/>
    <n v="-3500"/>
    <n v="-200"/>
    <n v="-20000"/>
    <n v="-10000"/>
    <n v="-400"/>
    <n v="-500"/>
    <m/>
    <m/>
    <m/>
    <n v="0"/>
    <n v="-500"/>
    <n v="-1000"/>
    <n v="-100"/>
    <m/>
    <n v="-750"/>
    <n v="89290"/>
  </r>
  <r>
    <x v="0"/>
    <s v="يوليو 22"/>
    <n v="89290"/>
    <n v="43000"/>
    <n v="-430"/>
    <n v="-4000"/>
    <m/>
    <n v="-3500"/>
    <n v="-200"/>
    <m/>
    <n v="-10000"/>
    <n v="-400"/>
    <n v="-500"/>
    <m/>
    <m/>
    <n v="-8000"/>
    <n v="0"/>
    <n v="-500"/>
    <n v="-1000"/>
    <n v="-100"/>
    <m/>
    <n v="-750"/>
    <n v="102910"/>
  </r>
  <r>
    <x v="0"/>
    <s v="أغسطس 22"/>
    <n v="102910"/>
    <n v="39000"/>
    <n v="0"/>
    <n v="20000"/>
    <n v="-8000"/>
    <n v="-3500"/>
    <n v="-200"/>
    <n v="-60000"/>
    <n v="-10000"/>
    <n v="-400"/>
    <n v="-500"/>
    <n v="-1200"/>
    <n v="-4500"/>
    <m/>
    <n v="0"/>
    <n v="-500"/>
    <n v="-1000"/>
    <n v="-100"/>
    <m/>
    <n v="-750"/>
    <n v="71260"/>
  </r>
  <r>
    <x v="0"/>
    <s v="سبتمبر 22"/>
    <n v="71260"/>
    <n v="50000"/>
    <n v="-500"/>
    <m/>
    <m/>
    <n v="-3500"/>
    <n v="-200"/>
    <m/>
    <n v="-10000"/>
    <n v="-400"/>
    <n v="-500"/>
    <m/>
    <m/>
    <n v="-40000"/>
    <n v="-3000"/>
    <n v="-500"/>
    <n v="-1000"/>
    <n v="-100"/>
    <m/>
    <n v="-750"/>
    <n v="60810"/>
  </r>
  <r>
    <x v="0"/>
    <s v="أكتوبر 22"/>
    <n v="60810"/>
    <n v="80000"/>
    <n v="-800"/>
    <m/>
    <m/>
    <n v="-3500"/>
    <n v="-200"/>
    <n v="-20000"/>
    <n v="-10000"/>
    <n v="-400"/>
    <n v="-500"/>
    <m/>
    <m/>
    <m/>
    <n v="-3000"/>
    <n v="-500"/>
    <n v="-1000"/>
    <n v="-100"/>
    <m/>
    <n v="-750"/>
    <n v="100060"/>
  </r>
  <r>
    <x v="0"/>
    <s v="نوفمبر 22"/>
    <n v="100060"/>
    <n v="39000"/>
    <n v="0"/>
    <m/>
    <m/>
    <n v="-3500"/>
    <n v="-200"/>
    <m/>
    <n v="-10000"/>
    <n v="-400"/>
    <n v="-500"/>
    <m/>
    <m/>
    <m/>
    <n v="-3000"/>
    <n v="-500"/>
    <n v="-1000"/>
    <n v="-100"/>
    <m/>
    <n v="-750"/>
    <n v="119110"/>
  </r>
  <r>
    <x v="0"/>
    <s v="ديسمبر 22"/>
    <n v="119110"/>
    <n v="41000"/>
    <n v="-410"/>
    <m/>
    <m/>
    <n v="-3500"/>
    <n v="-200"/>
    <n v="-20000"/>
    <n v="-10000"/>
    <n v="-400"/>
    <n v="-500"/>
    <m/>
    <n v="-4500"/>
    <m/>
    <n v="-3000"/>
    <n v="-500"/>
    <n v="-1000"/>
    <n v="-100"/>
    <m/>
    <n v="-750"/>
    <n v="115250"/>
  </r>
  <r>
    <x v="1"/>
    <s v="يناير 23"/>
    <n v="115250"/>
    <n v="30000"/>
    <n v="0"/>
    <m/>
    <m/>
    <n v="-4500"/>
    <n v="-200"/>
    <m/>
    <n v="-10000"/>
    <n v="-400"/>
    <n v="-500"/>
    <m/>
    <m/>
    <m/>
    <n v="-3000"/>
    <n v="-500"/>
    <n v="-1000"/>
    <n v="-100"/>
    <m/>
    <n v="-750"/>
    <n v="124300"/>
  </r>
  <r>
    <x v="1"/>
    <s v="فبراير 23"/>
    <n v="124300"/>
    <n v="50000"/>
    <n v="-500"/>
    <m/>
    <m/>
    <n v="-4500"/>
    <n v="-200"/>
    <n v="-30000"/>
    <n v="-10000"/>
    <n v="-400"/>
    <n v="-500"/>
    <m/>
    <m/>
    <n v="-30000"/>
    <n v="-3000"/>
    <n v="-500"/>
    <n v="-1000"/>
    <n v="-100"/>
    <m/>
    <n v="-750"/>
    <n v="92850"/>
  </r>
  <r>
    <x v="1"/>
    <s v="مارس 23"/>
    <n v="92850"/>
    <n v="33000"/>
    <n v="0"/>
    <m/>
    <m/>
    <n v="-4500"/>
    <n v="-200"/>
    <m/>
    <n v="-15000"/>
    <n v="-400"/>
    <n v="-500"/>
    <m/>
    <m/>
    <m/>
    <n v="-3000"/>
    <n v="-500"/>
    <n v="-1000"/>
    <n v="-100"/>
    <n v="-1000"/>
    <n v="-750"/>
    <n v="98900"/>
  </r>
  <r>
    <x v="1"/>
    <s v="إبريل 23"/>
    <n v="98900"/>
    <n v="39000"/>
    <n v="0"/>
    <m/>
    <m/>
    <n v="-4500"/>
    <n v="-200"/>
    <n v="-20000"/>
    <n v="-10000"/>
    <n v="-400"/>
    <n v="-500"/>
    <m/>
    <n v="-4500"/>
    <m/>
    <n v="-3000"/>
    <n v="-500"/>
    <n v="-1000"/>
    <n v="-100"/>
    <m/>
    <n v="-750"/>
    <n v="92450"/>
  </r>
  <r>
    <x v="1"/>
    <s v="مايو 23"/>
    <n v="92450"/>
    <n v="36000"/>
    <n v="0"/>
    <m/>
    <m/>
    <n v="-4500"/>
    <n v="-200"/>
    <m/>
    <n v="-10000"/>
    <n v="-400"/>
    <n v="-500"/>
    <m/>
    <m/>
    <m/>
    <n v="-3000"/>
    <n v="-500"/>
    <n v="-1000"/>
    <n v="-100"/>
    <m/>
    <n v="-750"/>
    <n v="107500"/>
  </r>
  <r>
    <x v="1"/>
    <s v="يونيو 23"/>
    <n v="107500"/>
    <n v="36000"/>
    <n v="0"/>
    <m/>
    <m/>
    <n v="-4500"/>
    <n v="-200"/>
    <n v="-20000"/>
    <n v="-10000"/>
    <n v="-400"/>
    <n v="-500"/>
    <m/>
    <m/>
    <m/>
    <n v="-3000"/>
    <n v="-500"/>
    <n v="-1000"/>
    <n v="-100"/>
    <m/>
    <n v="-750"/>
    <n v="102550"/>
  </r>
  <r>
    <x v="1"/>
    <s v="يوليو 23"/>
    <n v="102550"/>
    <n v="36000"/>
    <n v="0"/>
    <m/>
    <n v="-8000"/>
    <n v="-4500"/>
    <n v="-200"/>
    <m/>
    <n v="-10000"/>
    <n v="-400"/>
    <n v="-500"/>
    <m/>
    <m/>
    <m/>
    <n v="0"/>
    <n v="-500"/>
    <n v="-1000"/>
    <n v="-100"/>
    <m/>
    <n v="-750"/>
    <n v="112600"/>
  </r>
  <r>
    <x v="1"/>
    <s v="أغسطس 23"/>
    <n v="11260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68550"/>
  </r>
  <r>
    <x v="1"/>
    <s v="سبتمبر 23"/>
    <n v="6855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60100"/>
  </r>
  <r>
    <x v="1"/>
    <s v="أكتوبر 23"/>
    <n v="60100"/>
    <n v="80000"/>
    <n v="-800"/>
    <m/>
    <m/>
    <n v="-4500"/>
    <n v="-200"/>
    <n v="-20000"/>
    <n v="-10000"/>
    <n v="-400"/>
    <n v="-500"/>
    <m/>
    <m/>
    <m/>
    <n v="0"/>
    <n v="-500"/>
    <n v="-1000"/>
    <n v="-100"/>
    <m/>
    <n v="-750"/>
    <n v="101350"/>
  </r>
  <r>
    <x v="1"/>
    <s v="نوفمبر 23"/>
    <n v="10135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27950"/>
  </r>
  <r>
    <x v="1"/>
    <s v="ديسمبر 23"/>
    <n v="127950"/>
    <n v="45000"/>
    <n v="-450"/>
    <m/>
    <m/>
    <n v="-4500"/>
    <n v="-200"/>
    <n v="-40000"/>
    <n v="-10000"/>
    <n v="-400"/>
    <n v="-500"/>
    <m/>
    <n v="-4500"/>
    <m/>
    <n v="0"/>
    <n v="-500"/>
    <n v="-1000"/>
    <n v="-100"/>
    <m/>
    <n v="-750"/>
    <n v="110050"/>
  </r>
  <r>
    <x v="2"/>
    <s v="يناير 24"/>
    <n v="110050"/>
    <n v="30000"/>
    <n v="0"/>
    <m/>
    <m/>
    <n v="-4500"/>
    <n v="-200"/>
    <m/>
    <n v="-10000"/>
    <n v="-400"/>
    <n v="-500"/>
    <m/>
    <m/>
    <m/>
    <n v="0"/>
    <n v="-500"/>
    <n v="-1000"/>
    <n v="-100"/>
    <m/>
    <n v="-750"/>
    <n v="122100"/>
  </r>
  <r>
    <x v="2"/>
    <s v="فبراير 24"/>
    <n v="122100"/>
    <n v="50000"/>
    <n v="-500"/>
    <m/>
    <m/>
    <n v="-4500"/>
    <n v="-200"/>
    <n v="-20000"/>
    <n v="-10000"/>
    <n v="-400"/>
    <n v="-500"/>
    <m/>
    <m/>
    <n v="-30000"/>
    <n v="0"/>
    <n v="-500"/>
    <n v="-1000"/>
    <n v="-100"/>
    <m/>
    <n v="-750"/>
    <n v="103650"/>
  </r>
  <r>
    <x v="2"/>
    <s v="مارس 24"/>
    <n v="103650"/>
    <n v="33000"/>
    <n v="0"/>
    <m/>
    <m/>
    <n v="-4500"/>
    <n v="-200"/>
    <m/>
    <n v="-10000"/>
    <n v="-400"/>
    <n v="-500"/>
    <m/>
    <m/>
    <m/>
    <n v="0"/>
    <n v="-500"/>
    <n v="-1000"/>
    <n v="-100"/>
    <n v="-1000"/>
    <n v="-750"/>
    <n v="117700"/>
  </r>
  <r>
    <x v="2"/>
    <s v="إبريل 24"/>
    <n v="117700"/>
    <n v="40000"/>
    <n v="-40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14850"/>
  </r>
  <r>
    <x v="2"/>
    <s v="مايو 24"/>
    <n v="114850"/>
    <n v="40000"/>
    <n v="-400"/>
    <m/>
    <m/>
    <n v="-4500"/>
    <n v="-200"/>
    <m/>
    <n v="-10000"/>
    <n v="-400"/>
    <n v="-500"/>
    <m/>
    <m/>
    <m/>
    <n v="0"/>
    <n v="-500"/>
    <n v="-1000"/>
    <n v="-100"/>
    <m/>
    <n v="-750"/>
    <n v="136500"/>
  </r>
  <r>
    <x v="2"/>
    <s v="يونيو 24"/>
    <n v="136500"/>
    <n v="40000"/>
    <n v="-400"/>
    <m/>
    <m/>
    <n v="-4500"/>
    <n v="-200"/>
    <n v="-20000"/>
    <n v="-10000"/>
    <n v="-400"/>
    <n v="-500"/>
    <m/>
    <m/>
    <m/>
    <n v="0"/>
    <n v="-500"/>
    <n v="-1000"/>
    <n v="-100"/>
    <m/>
    <n v="-750"/>
    <n v="138150"/>
  </r>
  <r>
    <x v="2"/>
    <s v="يوليو 24"/>
    <n v="138150"/>
    <n v="40000"/>
    <n v="-400"/>
    <m/>
    <n v="-8000"/>
    <n v="-4500"/>
    <n v="-200"/>
    <m/>
    <n v="-10000"/>
    <n v="-400"/>
    <n v="-500"/>
    <m/>
    <m/>
    <m/>
    <n v="0"/>
    <n v="-500"/>
    <n v="-1000"/>
    <n v="-100"/>
    <m/>
    <n v="-750"/>
    <n v="151800"/>
  </r>
  <r>
    <x v="2"/>
    <s v="أغسطس 24"/>
    <n v="15180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107750"/>
  </r>
  <r>
    <x v="2"/>
    <s v="سبتمبر 24"/>
    <n v="10775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99300"/>
  </r>
  <r>
    <x v="2"/>
    <s v="أكتوبر 24"/>
    <n v="99300"/>
    <n v="82000"/>
    <n v="-820"/>
    <m/>
    <m/>
    <n v="-4500"/>
    <n v="-200"/>
    <n v="-20000"/>
    <n v="-10000"/>
    <n v="-400"/>
    <n v="-500"/>
    <m/>
    <m/>
    <m/>
    <n v="0"/>
    <n v="-500"/>
    <n v="-1000"/>
    <n v="-100"/>
    <m/>
    <n v="-750"/>
    <n v="142530"/>
  </r>
  <r>
    <x v="2"/>
    <s v="نوفمبر 24"/>
    <n v="14253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69130"/>
  </r>
  <r>
    <x v="2"/>
    <s v="ديسمبر 24"/>
    <n v="169130"/>
    <n v="45000"/>
    <n v="-45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71230"/>
  </r>
  <r>
    <x v="3"/>
    <s v="يناير 25"/>
    <n v="17123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177830"/>
  </r>
  <r>
    <x v="3"/>
    <s v="فبراير 25"/>
    <n v="17783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184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B945B-5FBB-47B3-8AB6-20274BB6CA56}" name="PivotTable1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:B7" firstHeaderRow="1" firstDataRow="1" firstDataCol="1"/>
  <pivotFields count="23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3" baseField="0" baseItem="0"/>
  </dataFields>
  <chartFormats count="5"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CAE920-1561-4824-B4C7-56E973E3D6B2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0:B13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Item_Val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3925E7-8F73-44B0-9992-21F1E0B1CFAF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0:B47" firstHeaderRow="1" firstDataRow="1" firstDataCol="1"/>
  <pivotFields count="2">
    <pivotField axis="axisRow" showAll="0">
      <items count="7">
        <item x="0"/>
        <item x="1"/>
        <item x="3"/>
        <item x="5"/>
        <item x="2"/>
        <item x="4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easurem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2BD19-C58D-44C9-9081-35E47D6BEE91}" name="Budget_Table" displayName="Budget_Table" ref="A1:W38" totalsRowCount="1" headerRowDxfId="82" dataDxfId="81">
  <autoFilter ref="A1:W37" xr:uid="{3312BD19-C58D-44C9-9081-35E47D6BEE91}">
    <filterColumn colId="3">
      <filters>
        <filter val="40000"/>
      </filters>
    </filterColumn>
  </autoFilter>
  <tableColumns count="23">
    <tableColumn id="24" xr3:uid="{F923AF45-9D46-4D18-B925-38B8BEB86059}" name="Year" dataDxfId="80" totalsRowDxfId="79"/>
    <tableColumn id="1" xr3:uid="{8EBBE7C2-C046-4B4A-B640-ED5DBC962B6F}" name="Month" totalsRowFunction="count" dataDxfId="78" totalsRowDxfId="77"/>
    <tableColumn id="2" xr3:uid="{8A63691D-8589-42E7-A686-3BD5BB74A8B1}" name="Bank_Balance" totalsRowFunction="max" dataDxfId="76" totalsRowDxfId="75"/>
    <tableColumn id="5" xr3:uid="{1203E385-0896-49BE-86F3-C5477688602A}" name="Revenue" totalsRowFunction="average" dataDxfId="74" totalsRowDxfId="73"/>
    <tableColumn id="16" xr3:uid="{508C90CE-22D3-4800-8230-DA9F8D2CA19B}" name="Bonus" totalsRowFunction="average" dataDxfId="72" totalsRowDxfId="71">
      <calculatedColumnFormula>IF(Budget_Table[[#This Row],[Revenue]]&gt;39999,Budget_Table[[#This Row],[Revenue]]*-0.01,0)</calculatedColumnFormula>
    </tableColumn>
    <tableColumn id="14" xr3:uid="{73A5A091-CE88-421D-B76E-51199219B2B8}" name="Gammiat" dataDxfId="70" totalsRowDxfId="69"/>
    <tableColumn id="23" xr3:uid="{8B037BAA-9974-45EB-87C6-912132963841}" name="ZAKAT" dataDxfId="68" totalsRowDxfId="67"/>
    <tableColumn id="3" xr3:uid="{4268231F-3502-48F5-9ECC-1EF1B54B200D}" name="Salaries" totalsRowFunction="sum" dataDxfId="66" totalsRowDxfId="65"/>
    <tableColumn id="4" xr3:uid="{B4D2DED4-25E4-4438-BCAA-3CAEBD7F2E68}" name="Maint" totalsRowFunction="sum" dataDxfId="64" totalsRowDxfId="63"/>
    <tableColumn id="6" xr3:uid="{66310BEE-AE75-45F0-B222-7003746C065A}" name="Stock" totalsRowFunction="sum" dataDxfId="62" totalsRowDxfId="61"/>
    <tableColumn id="7" xr3:uid="{0D7FFC00-3FC9-484D-A5E1-85ECA7D816E7}" name="Home_Expenses" totalsRowFunction="sum" dataDxfId="60" totalsRowDxfId="59"/>
    <tableColumn id="19" xr3:uid="{D0F0DF57-5B43-4740-831F-228734FC7DE7}" name="Cleanind" dataDxfId="58" totalsRowDxfId="57"/>
    <tableColumn id="18" xr3:uid="{036C41B7-0FB1-43D6-9089-3A790919B056}" name="Medicines" dataDxfId="56" totalsRowDxfId="55"/>
    <tableColumn id="22" xr3:uid="{6F9E872C-9774-4953-B865-B1AAEEDC7EBB}" name="Club" dataDxfId="54" totalsRowDxfId="53"/>
    <tableColumn id="17" xr3:uid="{ED175497-748B-40EC-B0AF-DE5405F441D1}" name="Cloths" totalsRowFunction="average" dataDxfId="52" totalsRowDxfId="51">
      <calculatedColumnFormula>-1500*3</calculatedColumnFormula>
    </tableColumn>
    <tableColumn id="12" xr3:uid="{257E32F4-CFAD-49C5-A482-67A4E94CC271}" name="Schools" totalsRowFunction="sum" dataDxfId="50" totalsRowDxfId="49"/>
    <tableColumn id="13" xr3:uid="{406538B9-50A6-4920-BC9A-8CFF81111415}" name="Education" totalsRowFunction="sum" dataDxfId="48" totalsRowDxfId="47"/>
    <tableColumn id="15" xr3:uid="{96F05650-A0B8-48FD-9FF2-0CF2D042920F}" name="Internet" totalsRowFunction="sum" dataDxfId="46" totalsRowDxfId="45"/>
    <tableColumn id="8" xr3:uid="{95C77D14-0A76-4D03-A378-9A2F9589D3A9}" name="Electric" totalsRowFunction="sum" dataDxfId="44" totalsRowDxfId="43"/>
    <tableColumn id="9" xr3:uid="{8B1308FF-6556-45E1-B5DF-82DBE6BD17DD}" name="Gas" totalsRowFunction="sum" dataDxfId="42" totalsRowDxfId="41"/>
    <tableColumn id="21" xr3:uid="{8C97B4B6-F32B-4BEB-96DE-ABF8666A8064}" name="Add_Expenses" dataDxfId="40" totalsRowDxfId="39"/>
    <tableColumn id="10" xr3:uid="{3232CB77-E33A-4499-B61C-DE4C55BD1427}" name="Fuel" totalsRowFunction="sum" dataDxfId="38" totalsRowDxfId="37"/>
    <tableColumn id="11" xr3:uid="{49E26DD5-7DCC-4DE2-9A44-D49E5EA1A831}" name="Balance" totalsRowFunction="max" dataDxfId="36" totalsRowDxfId="35">
      <calculatedColumnFormula>SUM(Budget_Table[[#This Row],[Bank_Balance]:[Fuel]])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65939-9DDE-49D0-B16D-992584708B59}" name="Gold_Forecasting" displayName="Gold_Forecasting" ref="A1:D65" totalsRowShown="0" headerRowDxfId="33" dataDxfId="32">
  <autoFilter ref="A1:D65" xr:uid="{C3265939-9DDE-49D0-B16D-992584708B59}"/>
  <tableColumns count="4">
    <tableColumn id="1" xr3:uid="{C1615512-B305-443E-B90D-B937DDC12AAD}" name="Date" dataDxfId="31"/>
    <tableColumn id="4" xr3:uid="{CD51677C-1FFD-4666-8219-66C9FA06991E}" name="Item" dataDxfId="30"/>
    <tableColumn id="2" xr3:uid="{0763EF00-2B55-43F7-ABF4-D1736C803D76}" name="Item_Val" dataDxfId="29"/>
    <tableColumn id="3" xr3:uid="{48268654-5DAF-481F-8F79-BFA62E4DE8CF}" name="Growth" dataDxfId="28">
      <calculatedColumnFormula>(C2-C1)/C1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5D201E-D7C4-4A70-B04C-58DAFE9F33CA}" name="Table5" displayName="Table5" ref="A1:F14" totalsRowShown="0" headerRowDxfId="26" dataDxfId="25">
  <autoFilter ref="A1:F14" xr:uid="{295D201E-D7C4-4A70-B04C-58DAFE9F33CA}"/>
  <tableColumns count="6">
    <tableColumn id="1" xr3:uid="{2BB46849-9F9D-4DF6-A2B9-97B67F7EBBCE}" name="Attribute" dataDxfId="24"/>
    <tableColumn id="5" xr3:uid="{D3B47D54-C984-4A64-81BD-BFB3E291E849}" name="Object" dataDxfId="23"/>
    <tableColumn id="4" xr3:uid="{C0CFD872-AE2C-4A70-ADCE-553B5A5141BA}" name="Attribute_Desc" dataDxfId="22"/>
    <tableColumn id="2" xr3:uid="{0414412C-1674-4CB5-BC78-E617BCDAADBC}" name="Question" dataDxfId="21"/>
    <tableColumn id="6" xr3:uid="{7E7A64D1-692D-49BD-B53A-18EFBB427A10}" name="Answer Approach" dataDxfId="20"/>
    <tableColumn id="3" xr3:uid="{A422447F-2544-4757-8822-5241B7C0C8B4}" name="Type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1C5359-9FAD-4C6C-A48B-ED0F315A7D69}" name="Table3" displayName="Table3" ref="A1:BV4" totalsRowShown="0" headerRowDxfId="18">
  <autoFilter ref="A1:BV4" xr:uid="{C51C5359-9FAD-4C6C-A48B-ED0F315A7D69}"/>
  <tableColumns count="74">
    <tableColumn id="1" xr3:uid="{BDE661C0-CE9A-43B6-9DB0-D0E627A191B5}" name="Item"/>
    <tableColumn id="74" xr3:uid="{0E260874-7995-4CAA-95B6-8C15C986A211}" name="Image"/>
    <tableColumn id="2" xr3:uid="{7EAE29D5-4DA5-4544-A37B-998280055762}" name="Jan-00"/>
    <tableColumn id="3" xr3:uid="{5A772EF9-3289-4A67-BBD1-6D4DE31F2E38}" name="Feb-00"/>
    <tableColumn id="4" xr3:uid="{A40703FC-5C59-46C2-85BF-B693E2918DE8}" name="Mar-00"/>
    <tableColumn id="5" xr3:uid="{79E9E41B-6827-4592-BAE2-59B4530F364D}" name="Apr-00"/>
    <tableColumn id="6" xr3:uid="{C431E924-8BE4-46BC-8B0E-12019EB88610}" name="May-00"/>
    <tableColumn id="7" xr3:uid="{AFAF989C-5A26-4D6B-8457-B4480DE5010F}" name="Jun-00"/>
    <tableColumn id="8" xr3:uid="{E6C8C9DB-4752-45C8-B99F-20BCF3271041}" name="Jul-00"/>
    <tableColumn id="9" xr3:uid="{5E9B1AAD-9AD5-4B7E-BF50-E1CA35452BDF}" name="Aug-00"/>
    <tableColumn id="10" xr3:uid="{EC44AD41-8E01-4FC2-AD73-F3BFF6532375}" name="Sep-00"/>
    <tableColumn id="11" xr3:uid="{0B5B3425-8872-4883-B0EE-04C1C7319BCB}" name="Oct-00"/>
    <tableColumn id="12" xr3:uid="{3B6A2A9B-316F-463C-A383-3C23AC425F95}" name="Nov-00"/>
    <tableColumn id="13" xr3:uid="{5F6444B4-969B-463B-BF32-9D74CCC43533}" name="Dec-00"/>
    <tableColumn id="14" xr3:uid="{88AE15A7-223E-4229-8262-EED271689DA4}" name="Jan-01"/>
    <tableColumn id="15" xr3:uid="{51006E21-46D8-4F42-A4FC-6C699AFC569E}" name="Feb-01"/>
    <tableColumn id="16" xr3:uid="{5D34C2D9-6183-453B-A60B-D3262C0B61DF}" name="Mar-01"/>
    <tableColumn id="17" xr3:uid="{2367C2C3-1FA3-424C-BF3D-728080003948}" name="Apr-01"/>
    <tableColumn id="18" xr3:uid="{6541E8A5-937E-467B-BBA9-5E7B86F6030C}" name="May-01"/>
    <tableColumn id="19" xr3:uid="{C76DAA12-4AFA-4027-B250-6A77EE80BE92}" name="Jun-01"/>
    <tableColumn id="20" xr3:uid="{0195F973-76A1-43C9-8E21-7769755C06B5}" name="Jul-01"/>
    <tableColumn id="21" xr3:uid="{27AA08D3-25C7-4963-9D30-ABC1B717265F}" name="Aug-01"/>
    <tableColumn id="22" xr3:uid="{437308A3-8CCA-4E4E-9937-00E3C17352E9}" name="Sep-01"/>
    <tableColumn id="23" xr3:uid="{00F01929-DB9B-493F-BE97-6C6013517BDD}" name="Oct-01"/>
    <tableColumn id="24" xr3:uid="{6BC06221-1808-4790-BFF1-C440EB145515}" name="Nov-01"/>
    <tableColumn id="25" xr3:uid="{C3F1F86B-BFA1-4EA7-BE04-B76B336B23DC}" name="Dec-01"/>
    <tableColumn id="26" xr3:uid="{97E3B988-B9E3-42F5-95F8-86DB0AA726A3}" name="Jan-02"/>
    <tableColumn id="27" xr3:uid="{F05CE14A-E083-4227-805E-7F69D4CDF6F3}" name="Feb-02"/>
    <tableColumn id="28" xr3:uid="{9D9E05ED-9468-4FF0-9B20-9FFB51E86353}" name="Mar-02"/>
    <tableColumn id="29" xr3:uid="{E31ED442-3B91-4DA8-BE1C-82CABE840742}" name="Apr-02"/>
    <tableColumn id="30" xr3:uid="{19A38646-DE69-4418-9564-2A5778EEC364}" name="May-02"/>
    <tableColumn id="31" xr3:uid="{4F9A671F-8A85-4B20-8CE3-186EDF193219}" name="Jun-02"/>
    <tableColumn id="32" xr3:uid="{A18C1785-D1E4-4A86-B2A4-28F82481C917}" name="Jul-02"/>
    <tableColumn id="33" xr3:uid="{FFC00FE8-501E-44B0-8C24-ED128F2105A9}" name="Aug-02"/>
    <tableColumn id="34" xr3:uid="{A8ACB41E-7714-4D08-91DA-4EF88B94FF51}" name="Sep-02"/>
    <tableColumn id="35" xr3:uid="{1BF1A94D-9078-4FCD-9536-B4E2AB819184}" name="Oct-02"/>
    <tableColumn id="36" xr3:uid="{FA5C9A05-7CB9-4C58-B776-8A63A249E380}" name="Nov-02"/>
    <tableColumn id="37" xr3:uid="{0849F1A2-B259-407C-A4C4-2352F7D5FC23}" name="Dec-02"/>
    <tableColumn id="38" xr3:uid="{E6E3AB89-AC25-4067-B6E6-DCFA539511CB}" name="Jan-03"/>
    <tableColumn id="39" xr3:uid="{3751DC2C-D9E1-4E66-A88D-C87ECBA86D87}" name="Feb-03"/>
    <tableColumn id="40" xr3:uid="{FB8A6BA7-F1E5-416F-9D53-6B9B8D5C9D1C}" name="Mar-03"/>
    <tableColumn id="41" xr3:uid="{B06FACF9-6EC6-4D53-A686-39EFB21292C9}" name="Apr-03"/>
    <tableColumn id="42" xr3:uid="{42BD959A-A8CF-4BA6-A64D-2E6344755DB7}" name="May-03"/>
    <tableColumn id="43" xr3:uid="{23A307C8-3192-4703-8EDB-1D64467E489E}" name="Jun-03"/>
    <tableColumn id="44" xr3:uid="{9F83AFF7-89D3-4F7D-A7AE-9A4CBF2D72C6}" name="Jul-03"/>
    <tableColumn id="45" xr3:uid="{FED71AB0-43CC-4A96-858F-9FCFE4CD7A15}" name="Aug-03"/>
    <tableColumn id="46" xr3:uid="{6DF7266A-2346-4984-B802-5F47C89F6A12}" name="Sep-03"/>
    <tableColumn id="47" xr3:uid="{15F08C4E-DB0A-462D-B7F9-1C1BA68C283E}" name="Oct-03"/>
    <tableColumn id="48" xr3:uid="{3E7CEC27-A730-47FF-A759-E0EC9987E76C}" name="Nov-03"/>
    <tableColumn id="49" xr3:uid="{40735881-A48D-4FFA-8E6C-2177138E4BDA}" name="Dec-03"/>
    <tableColumn id="50" xr3:uid="{0D8262C3-9D26-4B73-8DA1-1E038DECBC05}" name="Jan-04"/>
    <tableColumn id="51" xr3:uid="{8D11255E-2C20-4690-850D-38BD61289783}" name="Feb-04"/>
    <tableColumn id="52" xr3:uid="{24C4A675-2991-4970-8F1F-431916028995}" name="Mar-04"/>
    <tableColumn id="53" xr3:uid="{08F9C50A-B6A5-4BE3-8BF5-6BE4C36ECE37}" name="Apr-04"/>
    <tableColumn id="54" xr3:uid="{C3EA6E49-8AF7-41AE-B833-BFE97E7A2655}" name="May-04"/>
    <tableColumn id="55" xr3:uid="{FD44CC26-76C1-4F14-8B8F-7B871EB3A35F}" name="Jun-04"/>
    <tableColumn id="56" xr3:uid="{463A067E-EB6B-43AA-BE36-8B195DDE654C}" name="Jul-04"/>
    <tableColumn id="57" xr3:uid="{E47BEA10-36B8-4D9C-9E9F-7C6B67AFCA78}" name="Aug-04"/>
    <tableColumn id="58" xr3:uid="{223893AB-FC44-4BE2-8FC0-9500037CFA5C}" name="Sep-04"/>
    <tableColumn id="59" xr3:uid="{B0E32737-CB7F-4062-B5D6-11BB6FAF631D}" name="Oct-04"/>
    <tableColumn id="60" xr3:uid="{BAD9A346-BF81-45E0-8FB0-547D7C5EC8EA}" name="Nov-04"/>
    <tableColumn id="61" xr3:uid="{4435CC80-441B-41DB-9D4E-62B3D0DECCE0}" name="Dec-04"/>
    <tableColumn id="62" xr3:uid="{77E35EE6-80AD-4ABD-BC86-A8C25F4C11E4}" name="Jan-05"/>
    <tableColumn id="63" xr3:uid="{ED80CE30-18C8-4370-A4C5-AED9A5E846E8}" name="Feb-05"/>
    <tableColumn id="64" xr3:uid="{7A6326FB-1FD8-47FF-95CE-A2AE67EB4740}" name="Mar-05"/>
    <tableColumn id="65" xr3:uid="{A2D68FC0-07AF-448D-9EB3-C6B322DA281C}" name="Apr-05"/>
    <tableColumn id="66" xr3:uid="{60C0DCF3-8E44-44C9-A975-FBA777B6627F}" name="May-05"/>
    <tableColumn id="67" xr3:uid="{08C2F39F-1358-4BA4-84FE-5B453970D6EB}" name="Jun-05"/>
    <tableColumn id="68" xr3:uid="{CC75A80F-B975-405F-B784-5AB833A9B230}" name="Jul-05"/>
    <tableColumn id="69" xr3:uid="{6EFC45EB-0BC6-474F-999F-5AAE7A7F07CC}" name="Aug-05"/>
    <tableColumn id="70" xr3:uid="{386CC360-36DD-4F0D-B798-34F6F53BE47A}" name="Sep-05"/>
    <tableColumn id="71" xr3:uid="{54C38815-AA76-4906-BC94-5E19CB68D7A1}" name="Oct-05"/>
    <tableColumn id="72" xr3:uid="{BF53DAFF-E4A9-41B2-B62C-38FB421BB1BB}" name="Nov-05"/>
    <tableColumn id="73" xr3:uid="{89B5545A-C4FB-4F64-A4A3-15B659F5BB9B}" name="Dec-0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D949C8-7183-46B8-B8DE-C8500CEA663F}" name="Measurements_Table" displayName="Measurements_Table" ref="A1:E37" totalsRowCount="1" headerRowDxfId="16" dataDxfId="15">
  <autoFilter ref="A1:E36" xr:uid="{08D949C8-7183-46B8-B8DE-C8500CEA663F}"/>
  <tableColumns count="5">
    <tableColumn id="1" xr3:uid="{3DE165E8-C653-49B1-B9FF-7DF40D0C7678}" name="Measurements Types" totalsRowLabel="Count" dataDxfId="14" totalsRowDxfId="13"/>
    <tableColumn id="2" xr3:uid="{24E7BC82-A5E3-4B02-AB56-BCA40829095C}" name="Measurement" totalsRowFunction="count" dataDxfId="12" totalsRowDxfId="11"/>
    <tableColumn id="3" xr3:uid="{43D487C5-6DD1-4CBA-8692-C9C781D0BAA9}" name="Value" totalsRowFunction="count" dataDxfId="10" totalsRowDxfId="9"/>
    <tableColumn id="4" xr3:uid="{E4F9C1FF-E028-4100-B23F-AD155885FE70}" name="Description" totalsRowFunction="count" dataDxfId="8" totalsRowDxfId="7"/>
    <tableColumn id="5" xr3:uid="{15DB07C0-D3A2-4E9F-8472-87FB97F1E68B}" name="Why We need It" totalsRowFunction="count" dataDxfId="6" totalsRow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0EDD48-DF6B-42AE-AC77-8C772E5BA9E5}" name="Table6" displayName="Table6" ref="A1:C9" totalsRowShown="0" headerRowDxfId="4" dataDxfId="3">
  <autoFilter ref="A1:C9" xr:uid="{AE0EDD48-DF6B-42AE-AC77-8C772E5BA9E5}"/>
  <tableColumns count="3">
    <tableColumn id="1" xr3:uid="{F09306D3-A1F2-41E1-86DC-67EDFBC18722}" name="Year" dataDxfId="2"/>
    <tableColumn id="2" xr3:uid="{2BC120C4-42A7-4B5F-B780-E61305548892}" name="Generated" dataDxfId="1"/>
    <tableColumn id="3" xr3:uid="{E28AE0CD-4C45-4B53-BFFA-03DDE4A9CBD4}" name="U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interlakemecalux.cdnwm.com/documents/20197/5214836/M12P11_12+El+stock+m%C3%ADnimo+asegura+la+continua+reposici%C3%B3n+de+mercanc%C3%ADas/af1fd247-04b8-cb3f-af66-98e6a8f27089?t=1637927892000&amp;e=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F799-B63A-49DC-A527-F22F0BF78544}">
  <dimension ref="A1:W47"/>
  <sheetViews>
    <sheetView workbookViewId="0">
      <selection activeCell="B46" sqref="B46"/>
    </sheetView>
  </sheetViews>
  <sheetFormatPr defaultRowHeight="15" x14ac:dyDescent="0.25"/>
  <cols>
    <col min="1" max="1" width="15.28515625" bestFit="1" customWidth="1"/>
    <col min="2" max="2" width="11.7109375" bestFit="1" customWidth="1"/>
    <col min="3" max="3" width="42.42578125" bestFit="1" customWidth="1"/>
    <col min="4" max="4" width="22.42578125" bestFit="1" customWidth="1"/>
    <col min="5" max="5" width="20.85546875" bestFit="1" customWidth="1"/>
    <col min="6" max="6" width="12.42578125" customWidth="1"/>
    <col min="9" max="9" width="13.42578125" customWidth="1"/>
    <col min="10" max="10" width="15.7109375" customWidth="1"/>
    <col min="11" max="11" width="13.140625" customWidth="1"/>
    <col min="12" max="17" width="12.42578125" customWidth="1"/>
    <col min="18" max="18" width="17.42578125" bestFit="1" customWidth="1"/>
    <col min="19" max="22" width="17.42578125" customWidth="1"/>
    <col min="25" max="25" width="9.140625" customWidth="1"/>
    <col min="26" max="26" width="12.42578125" customWidth="1"/>
  </cols>
  <sheetData>
    <row r="1" spans="1:23" x14ac:dyDescent="0.25">
      <c r="A1" s="1" t="s">
        <v>49</v>
      </c>
      <c r="B1" s="1" t="s">
        <v>12</v>
      </c>
      <c r="C1" s="1" t="s">
        <v>200</v>
      </c>
      <c r="D1" s="1" t="s">
        <v>199</v>
      </c>
      <c r="E1" s="1" t="s">
        <v>202</v>
      </c>
      <c r="F1" s="1" t="s">
        <v>219</v>
      </c>
      <c r="G1" s="1" t="s">
        <v>218</v>
      </c>
      <c r="H1" s="1" t="s">
        <v>217</v>
      </c>
      <c r="I1" s="1" t="s">
        <v>216</v>
      </c>
      <c r="J1" s="1" t="s">
        <v>57</v>
      </c>
      <c r="K1" s="1" t="s">
        <v>215</v>
      </c>
      <c r="L1" s="1" t="s">
        <v>214</v>
      </c>
      <c r="M1" s="1" t="s">
        <v>213</v>
      </c>
      <c r="N1" s="1" t="s">
        <v>212</v>
      </c>
      <c r="O1" s="1" t="s">
        <v>211</v>
      </c>
      <c r="P1" s="1" t="s">
        <v>210</v>
      </c>
      <c r="Q1" s="1" t="s">
        <v>209</v>
      </c>
      <c r="R1" s="1" t="s">
        <v>208</v>
      </c>
      <c r="S1" s="1" t="s">
        <v>207</v>
      </c>
      <c r="T1" s="1" t="s">
        <v>206</v>
      </c>
      <c r="U1" s="1" t="s">
        <v>205</v>
      </c>
      <c r="V1" s="1" t="s">
        <v>204</v>
      </c>
      <c r="W1" s="1" t="s">
        <v>203</v>
      </c>
    </row>
    <row r="2" spans="1:23" hidden="1" x14ac:dyDescent="0.25">
      <c r="A2" s="1">
        <v>2022</v>
      </c>
      <c r="B2" s="1" t="s">
        <v>0</v>
      </c>
      <c r="C2" s="1">
        <v>70000</v>
      </c>
      <c r="D2" s="1">
        <v>30000</v>
      </c>
      <c r="E2" s="1">
        <f>IF(Budget_Table[[#This Row],[Revenue]]&gt;39999,Budget_Table[[#This Row],[Revenue]]*-0.01,0)</f>
        <v>0</v>
      </c>
      <c r="F2" s="1"/>
      <c r="G2" s="1"/>
      <c r="H2" s="1">
        <v>-3500</v>
      </c>
      <c r="I2" s="1">
        <v>-200</v>
      </c>
      <c r="J2" s="1"/>
      <c r="K2" s="1">
        <v>-6500</v>
      </c>
      <c r="L2" s="1">
        <v>-400</v>
      </c>
      <c r="M2" s="1">
        <v>-500</v>
      </c>
      <c r="N2" s="1"/>
      <c r="O2" s="1"/>
      <c r="P2" s="1"/>
      <c r="Q2" s="1">
        <v>-3000</v>
      </c>
      <c r="R2" s="1">
        <v>-250</v>
      </c>
      <c r="S2" s="1">
        <v>-400</v>
      </c>
      <c r="T2" s="1">
        <v>-100</v>
      </c>
      <c r="U2" s="1">
        <v>-1500</v>
      </c>
      <c r="V2" s="1">
        <v>-600</v>
      </c>
      <c r="W2" s="1">
        <f>SUM(Budget_Table[[#This Row],[Bank_Balance]:[Fuel]])</f>
        <v>83050</v>
      </c>
    </row>
    <row r="3" spans="1:23" hidden="1" x14ac:dyDescent="0.25">
      <c r="A3" s="1">
        <v>2022</v>
      </c>
      <c r="B3" s="1" t="s">
        <v>1</v>
      </c>
      <c r="C3" s="1">
        <f>W2</f>
        <v>83050</v>
      </c>
      <c r="D3" s="1">
        <v>39000</v>
      </c>
      <c r="E3" s="1">
        <f>IF(Budget_Table[[#This Row],[Revenue]]&gt;39999,Budget_Table[[#This Row],[Revenue]]*-0.01,0)</f>
        <v>0</v>
      </c>
      <c r="F3" s="1">
        <v>-4000</v>
      </c>
      <c r="G3" s="1"/>
      <c r="H3" s="1">
        <v>-3500</v>
      </c>
      <c r="I3" s="1">
        <v>-200</v>
      </c>
      <c r="J3" s="1">
        <v>-20000</v>
      </c>
      <c r="K3" s="1">
        <v>-12000</v>
      </c>
      <c r="L3" s="1">
        <v>-400</v>
      </c>
      <c r="M3" s="1">
        <v>-500</v>
      </c>
      <c r="N3" s="1"/>
      <c r="O3" s="1">
        <f t="shared" ref="O3:O35" si="0">-1500*3</f>
        <v>-4500</v>
      </c>
      <c r="P3" s="1"/>
      <c r="Q3" s="1">
        <v>-3000</v>
      </c>
      <c r="R3" s="1">
        <v>-500</v>
      </c>
      <c r="S3" s="1">
        <v>-1000</v>
      </c>
      <c r="T3" s="1">
        <v>-100</v>
      </c>
      <c r="U3" s="1"/>
      <c r="V3" s="1">
        <v>-750</v>
      </c>
      <c r="W3" s="1">
        <f>SUM(Budget_Table[[#This Row],[Bank_Balance]:[Fuel]])</f>
        <v>71600</v>
      </c>
    </row>
    <row r="4" spans="1:23" hidden="1" x14ac:dyDescent="0.25">
      <c r="A4" s="1">
        <v>2022</v>
      </c>
      <c r="B4" s="1" t="s">
        <v>2</v>
      </c>
      <c r="C4" s="1">
        <f t="shared" ref="C4:C37" si="1">W3</f>
        <v>71600</v>
      </c>
      <c r="D4" s="1">
        <v>41000</v>
      </c>
      <c r="E4" s="1">
        <f>IF(Budget_Table[[#This Row],[Revenue]]&gt;39999,Budget_Table[[#This Row],[Revenue]]*-0.01,0)</f>
        <v>-410</v>
      </c>
      <c r="F4" s="1">
        <v>-4000</v>
      </c>
      <c r="G4" s="1"/>
      <c r="H4" s="1">
        <v>-3500</v>
      </c>
      <c r="I4" s="1">
        <v>-200</v>
      </c>
      <c r="J4" s="1"/>
      <c r="K4" s="1">
        <v>-10000</v>
      </c>
      <c r="L4" s="1">
        <v>-400</v>
      </c>
      <c r="M4" s="1">
        <v>-500</v>
      </c>
      <c r="N4" s="1"/>
      <c r="O4" s="1"/>
      <c r="P4" s="1"/>
      <c r="Q4" s="1">
        <v>0</v>
      </c>
      <c r="R4" s="1">
        <v>-500</v>
      </c>
      <c r="S4" s="1">
        <v>-1000</v>
      </c>
      <c r="T4" s="1">
        <v>-100</v>
      </c>
      <c r="U4" s="1"/>
      <c r="V4" s="1">
        <v>-750</v>
      </c>
      <c r="W4" s="1">
        <f>SUM(Budget_Table[[#This Row],[Bank_Balance]:[Fuel]])</f>
        <v>91240</v>
      </c>
    </row>
    <row r="5" spans="1:23" hidden="1" x14ac:dyDescent="0.25">
      <c r="A5" s="1">
        <v>2022</v>
      </c>
      <c r="B5" s="1" t="s">
        <v>3</v>
      </c>
      <c r="C5" s="1">
        <f t="shared" si="1"/>
        <v>91240</v>
      </c>
      <c r="D5" s="1">
        <v>39000</v>
      </c>
      <c r="E5" s="1">
        <f>IF(Budget_Table[[#This Row],[Revenue]]&gt;39999,Budget_Table[[#This Row],[Revenue]]*-0.01,0)</f>
        <v>0</v>
      </c>
      <c r="F5" s="1">
        <v>-4000</v>
      </c>
      <c r="G5" s="1"/>
      <c r="H5" s="1">
        <v>-3500</v>
      </c>
      <c r="I5" s="1">
        <v>-200</v>
      </c>
      <c r="J5" s="1">
        <v>-20000</v>
      </c>
      <c r="K5" s="1">
        <v>-10000</v>
      </c>
      <c r="L5" s="1">
        <v>-400</v>
      </c>
      <c r="M5" s="1">
        <v>-500</v>
      </c>
      <c r="N5" s="1"/>
      <c r="O5" s="1"/>
      <c r="P5" s="1"/>
      <c r="Q5" s="1">
        <v>0</v>
      </c>
      <c r="R5" s="1">
        <v>-500</v>
      </c>
      <c r="S5" s="1">
        <v>-1000</v>
      </c>
      <c r="T5" s="1">
        <v>-100</v>
      </c>
      <c r="U5" s="1"/>
      <c r="V5" s="1">
        <v>-750</v>
      </c>
      <c r="W5" s="1">
        <f>SUM(Budget_Table[[#This Row],[Bank_Balance]:[Fuel]])</f>
        <v>89290</v>
      </c>
    </row>
    <row r="6" spans="1:23" hidden="1" x14ac:dyDescent="0.25">
      <c r="A6" s="1">
        <v>2022</v>
      </c>
      <c r="B6" s="1" t="s">
        <v>4</v>
      </c>
      <c r="C6" s="1">
        <f t="shared" si="1"/>
        <v>89290</v>
      </c>
      <c r="D6" s="1">
        <v>43000</v>
      </c>
      <c r="E6" s="1">
        <f>IF(Budget_Table[[#This Row],[Revenue]]&gt;39999,Budget_Table[[#This Row],[Revenue]]*-0.01,0)</f>
        <v>-430</v>
      </c>
      <c r="F6" s="1">
        <v>-4000</v>
      </c>
      <c r="G6" s="1"/>
      <c r="H6" s="1">
        <v>-3500</v>
      </c>
      <c r="I6" s="1">
        <v>-200</v>
      </c>
      <c r="J6" s="1"/>
      <c r="K6" s="1">
        <v>-10000</v>
      </c>
      <c r="L6" s="1">
        <v>-400</v>
      </c>
      <c r="M6" s="1">
        <v>-500</v>
      </c>
      <c r="N6" s="1"/>
      <c r="O6" s="1"/>
      <c r="P6" s="1">
        <v>-8000</v>
      </c>
      <c r="Q6" s="1">
        <v>0</v>
      </c>
      <c r="R6" s="1">
        <v>-500</v>
      </c>
      <c r="S6" s="1">
        <v>-1000</v>
      </c>
      <c r="T6" s="1">
        <v>-100</v>
      </c>
      <c r="U6" s="1"/>
      <c r="V6" s="1">
        <v>-750</v>
      </c>
      <c r="W6" s="1">
        <f>SUM(Budget_Table[[#This Row],[Bank_Balance]:[Fuel]])</f>
        <v>102910</v>
      </c>
    </row>
    <row r="7" spans="1:23" hidden="1" x14ac:dyDescent="0.25">
      <c r="A7" s="1">
        <v>2022</v>
      </c>
      <c r="B7" s="1" t="s">
        <v>5</v>
      </c>
      <c r="C7" s="1">
        <f t="shared" si="1"/>
        <v>102910</v>
      </c>
      <c r="D7" s="1">
        <v>39000</v>
      </c>
      <c r="E7" s="1">
        <f>IF(Budget_Table[[#This Row],[Revenue]]&gt;39999,Budget_Table[[#This Row],[Revenue]]*-0.01,0)</f>
        <v>0</v>
      </c>
      <c r="F7" s="1">
        <v>20000</v>
      </c>
      <c r="G7" s="1">
        <v>-8000</v>
      </c>
      <c r="H7" s="1">
        <v>-3500</v>
      </c>
      <c r="I7" s="1">
        <v>-200</v>
      </c>
      <c r="J7" s="1">
        <v>-60000</v>
      </c>
      <c r="K7" s="1">
        <v>-10000</v>
      </c>
      <c r="L7" s="1">
        <v>-400</v>
      </c>
      <c r="M7" s="1">
        <v>-500</v>
      </c>
      <c r="N7" s="1">
        <v>-1200</v>
      </c>
      <c r="O7" s="1">
        <f t="shared" si="0"/>
        <v>-4500</v>
      </c>
      <c r="P7" s="1"/>
      <c r="Q7" s="1">
        <v>0</v>
      </c>
      <c r="R7" s="1">
        <v>-500</v>
      </c>
      <c r="S7" s="1">
        <v>-1000</v>
      </c>
      <c r="T7" s="1">
        <v>-100</v>
      </c>
      <c r="U7" s="1"/>
      <c r="V7" s="1">
        <v>-750</v>
      </c>
      <c r="W7" s="1">
        <f>SUM(Budget_Table[[#This Row],[Bank_Balance]:[Fuel]])</f>
        <v>71260</v>
      </c>
    </row>
    <row r="8" spans="1:23" hidden="1" x14ac:dyDescent="0.25">
      <c r="A8" s="1">
        <v>2022</v>
      </c>
      <c r="B8" s="1" t="s">
        <v>6</v>
      </c>
      <c r="C8" s="1">
        <f t="shared" si="1"/>
        <v>71260</v>
      </c>
      <c r="D8" s="1">
        <v>50000</v>
      </c>
      <c r="E8" s="1">
        <f>IF(Budget_Table[[#This Row],[Revenue]]&gt;39999,Budget_Table[[#This Row],[Revenue]]*-0.01,0)</f>
        <v>-500</v>
      </c>
      <c r="F8" s="1"/>
      <c r="G8" s="1"/>
      <c r="H8" s="1">
        <v>-3500</v>
      </c>
      <c r="I8" s="1">
        <v>-200</v>
      </c>
      <c r="J8" s="1"/>
      <c r="K8" s="1">
        <v>-10000</v>
      </c>
      <c r="L8" s="1">
        <v>-400</v>
      </c>
      <c r="M8" s="1">
        <v>-500</v>
      </c>
      <c r="N8" s="1"/>
      <c r="O8" s="1"/>
      <c r="P8" s="1">
        <v>-40000</v>
      </c>
      <c r="Q8" s="1">
        <v>-3000</v>
      </c>
      <c r="R8" s="1">
        <v>-500</v>
      </c>
      <c r="S8" s="1">
        <v>-1000</v>
      </c>
      <c r="T8" s="1">
        <v>-100</v>
      </c>
      <c r="U8" s="1"/>
      <c r="V8" s="1">
        <v>-750</v>
      </c>
      <c r="W8" s="1">
        <f>SUM(Budget_Table[[#This Row],[Bank_Balance]:[Fuel]])</f>
        <v>60810</v>
      </c>
    </row>
    <row r="9" spans="1:23" hidden="1" x14ac:dyDescent="0.25">
      <c r="A9" s="1">
        <v>2022</v>
      </c>
      <c r="B9" s="1" t="s">
        <v>7</v>
      </c>
      <c r="C9" s="1">
        <f t="shared" si="1"/>
        <v>60810</v>
      </c>
      <c r="D9" s="1">
        <v>80000</v>
      </c>
      <c r="E9" s="1">
        <f>IF(Budget_Table[[#This Row],[Revenue]]&gt;39999,Budget_Table[[#This Row],[Revenue]]*-0.01,0)</f>
        <v>-800</v>
      </c>
      <c r="F9" s="1"/>
      <c r="G9" s="1"/>
      <c r="H9" s="1">
        <v>-3500</v>
      </c>
      <c r="I9" s="1">
        <v>-200</v>
      </c>
      <c r="J9" s="1">
        <v>-20000</v>
      </c>
      <c r="K9" s="1">
        <v>-10000</v>
      </c>
      <c r="L9" s="1">
        <v>-400</v>
      </c>
      <c r="M9" s="1">
        <v>-500</v>
      </c>
      <c r="N9" s="1"/>
      <c r="O9" s="1"/>
      <c r="P9" s="1"/>
      <c r="Q9" s="1">
        <v>-3000</v>
      </c>
      <c r="R9" s="1">
        <v>-500</v>
      </c>
      <c r="S9" s="1">
        <v>-1000</v>
      </c>
      <c r="T9" s="1">
        <v>-100</v>
      </c>
      <c r="U9" s="1"/>
      <c r="V9" s="1">
        <v>-750</v>
      </c>
      <c r="W9" s="1">
        <f>SUM(Budget_Table[[#This Row],[Bank_Balance]:[Fuel]])</f>
        <v>100060</v>
      </c>
    </row>
    <row r="10" spans="1:23" hidden="1" x14ac:dyDescent="0.25">
      <c r="A10" s="1">
        <v>2022</v>
      </c>
      <c r="B10" s="1" t="s">
        <v>8</v>
      </c>
      <c r="C10" s="1">
        <f t="shared" si="1"/>
        <v>100060</v>
      </c>
      <c r="D10" s="1">
        <v>39000</v>
      </c>
      <c r="E10" s="1">
        <f>IF(Budget_Table[[#This Row],[Revenue]]&gt;39999,Budget_Table[[#This Row],[Revenue]]*-0.01,0)</f>
        <v>0</v>
      </c>
      <c r="F10" s="1"/>
      <c r="G10" s="1"/>
      <c r="H10" s="1">
        <v>-3500</v>
      </c>
      <c r="I10" s="1">
        <v>-200</v>
      </c>
      <c r="J10" s="1"/>
      <c r="K10" s="1">
        <v>-10000</v>
      </c>
      <c r="L10" s="1">
        <v>-400</v>
      </c>
      <c r="M10" s="1">
        <v>-500</v>
      </c>
      <c r="N10" s="1"/>
      <c r="O10" s="1"/>
      <c r="P10" s="1"/>
      <c r="Q10" s="1">
        <v>-3000</v>
      </c>
      <c r="R10" s="1">
        <v>-500</v>
      </c>
      <c r="S10" s="1">
        <v>-1000</v>
      </c>
      <c r="T10" s="1">
        <v>-100</v>
      </c>
      <c r="U10" s="1"/>
      <c r="V10" s="1">
        <v>-750</v>
      </c>
      <c r="W10" s="1">
        <f>SUM(Budget_Table[[#This Row],[Bank_Balance]:[Fuel]])</f>
        <v>119110</v>
      </c>
    </row>
    <row r="11" spans="1:23" hidden="1" x14ac:dyDescent="0.25">
      <c r="A11" s="1">
        <v>2022</v>
      </c>
      <c r="B11" s="1" t="s">
        <v>9</v>
      </c>
      <c r="C11" s="1">
        <f t="shared" si="1"/>
        <v>119110</v>
      </c>
      <c r="D11" s="1">
        <v>41000</v>
      </c>
      <c r="E11" s="1">
        <f>IF(Budget_Table[[#This Row],[Revenue]]&gt;39999,Budget_Table[[#This Row],[Revenue]]*-0.01,0)</f>
        <v>-410</v>
      </c>
      <c r="F11" s="1"/>
      <c r="G11" s="1"/>
      <c r="H11" s="1">
        <v>-3500</v>
      </c>
      <c r="I11" s="1">
        <v>-200</v>
      </c>
      <c r="J11" s="1">
        <v>-20000</v>
      </c>
      <c r="K11" s="1">
        <v>-10000</v>
      </c>
      <c r="L11" s="1">
        <v>-400</v>
      </c>
      <c r="M11" s="1">
        <v>-500</v>
      </c>
      <c r="N11" s="1"/>
      <c r="O11" s="1">
        <f t="shared" si="0"/>
        <v>-4500</v>
      </c>
      <c r="P11" s="1"/>
      <c r="Q11" s="1">
        <v>-3000</v>
      </c>
      <c r="R11" s="1">
        <v>-500</v>
      </c>
      <c r="S11" s="1">
        <v>-1000</v>
      </c>
      <c r="T11" s="1">
        <v>-100</v>
      </c>
      <c r="U11" s="1"/>
      <c r="V11" s="1">
        <v>-750</v>
      </c>
      <c r="W11" s="1">
        <f>SUM(Budget_Table[[#This Row],[Bank_Balance]:[Fuel]])</f>
        <v>115250</v>
      </c>
    </row>
    <row r="12" spans="1:23" hidden="1" x14ac:dyDescent="0.25">
      <c r="A12" s="1">
        <v>2023</v>
      </c>
      <c r="B12" s="1" t="s">
        <v>14</v>
      </c>
      <c r="C12" s="1">
        <f t="shared" si="1"/>
        <v>115250</v>
      </c>
      <c r="D12" s="1">
        <v>30000</v>
      </c>
      <c r="E12" s="1">
        <f>IF(Budget_Table[[#This Row],[Revenue]]&gt;39999,Budget_Table[[#This Row],[Revenue]]*-0.01,0)</f>
        <v>0</v>
      </c>
      <c r="F12" s="1"/>
      <c r="G12" s="1"/>
      <c r="H12" s="1">
        <v>-4500</v>
      </c>
      <c r="I12" s="1">
        <v>-200</v>
      </c>
      <c r="J12" s="1"/>
      <c r="K12" s="1">
        <v>-10000</v>
      </c>
      <c r="L12" s="1">
        <v>-400</v>
      </c>
      <c r="M12" s="1">
        <v>-500</v>
      </c>
      <c r="N12" s="1"/>
      <c r="O12" s="1"/>
      <c r="P12" s="1"/>
      <c r="Q12" s="1">
        <v>-3000</v>
      </c>
      <c r="R12" s="1">
        <v>-500</v>
      </c>
      <c r="S12" s="1">
        <v>-1000</v>
      </c>
      <c r="T12" s="1">
        <v>-100</v>
      </c>
      <c r="U12" s="1"/>
      <c r="V12" s="1">
        <v>-750</v>
      </c>
      <c r="W12" s="1">
        <f>SUM(Budget_Table[[#This Row],[Bank_Balance]:[Fuel]])</f>
        <v>124300</v>
      </c>
    </row>
    <row r="13" spans="1:23" hidden="1" x14ac:dyDescent="0.25">
      <c r="A13" s="1">
        <v>2023</v>
      </c>
      <c r="B13" s="1" t="s">
        <v>15</v>
      </c>
      <c r="C13" s="1">
        <f t="shared" si="1"/>
        <v>124300</v>
      </c>
      <c r="D13" s="1">
        <v>50000</v>
      </c>
      <c r="E13" s="1">
        <f>IF(Budget_Table[[#This Row],[Revenue]]&gt;39999,Budget_Table[[#This Row],[Revenue]]*-0.01,0)</f>
        <v>-500</v>
      </c>
      <c r="F13" s="1"/>
      <c r="G13" s="1"/>
      <c r="H13" s="1">
        <v>-4500</v>
      </c>
      <c r="I13" s="1">
        <v>-200</v>
      </c>
      <c r="J13" s="1">
        <v>-30000</v>
      </c>
      <c r="K13" s="1">
        <v>-10000</v>
      </c>
      <c r="L13" s="1">
        <v>-400</v>
      </c>
      <c r="M13" s="1">
        <v>-500</v>
      </c>
      <c r="N13" s="1"/>
      <c r="O13" s="1"/>
      <c r="P13" s="1">
        <v>-30000</v>
      </c>
      <c r="Q13" s="1">
        <v>-3000</v>
      </c>
      <c r="R13" s="1">
        <v>-500</v>
      </c>
      <c r="S13" s="1">
        <v>-1000</v>
      </c>
      <c r="T13" s="1">
        <v>-100</v>
      </c>
      <c r="U13" s="1"/>
      <c r="V13" s="1">
        <v>-750</v>
      </c>
      <c r="W13" s="1">
        <f>SUM(Budget_Table[[#This Row],[Bank_Balance]:[Fuel]])</f>
        <v>92850</v>
      </c>
    </row>
    <row r="14" spans="1:23" hidden="1" x14ac:dyDescent="0.25">
      <c r="A14" s="1">
        <v>2023</v>
      </c>
      <c r="B14" s="1" t="s">
        <v>16</v>
      </c>
      <c r="C14" s="1">
        <f t="shared" si="1"/>
        <v>92850</v>
      </c>
      <c r="D14" s="1">
        <v>33000</v>
      </c>
      <c r="E14" s="1">
        <f>IF(Budget_Table[[#This Row],[Revenue]]&gt;39999,Budget_Table[[#This Row],[Revenue]]*-0.01,0)</f>
        <v>0</v>
      </c>
      <c r="F14" s="1"/>
      <c r="G14" s="1"/>
      <c r="H14" s="1">
        <v>-4500</v>
      </c>
      <c r="I14" s="1">
        <v>-200</v>
      </c>
      <c r="J14" s="1"/>
      <c r="K14" s="1">
        <v>-15000</v>
      </c>
      <c r="L14" s="1">
        <v>-400</v>
      </c>
      <c r="M14" s="1">
        <v>-500</v>
      </c>
      <c r="N14" s="1"/>
      <c r="O14" s="1"/>
      <c r="P14" s="1"/>
      <c r="Q14" s="1">
        <v>-3000</v>
      </c>
      <c r="R14" s="1">
        <v>-500</v>
      </c>
      <c r="S14" s="1">
        <v>-1000</v>
      </c>
      <c r="T14" s="1">
        <v>-100</v>
      </c>
      <c r="U14" s="1">
        <v>-1000</v>
      </c>
      <c r="V14" s="1">
        <v>-750</v>
      </c>
      <c r="W14" s="1">
        <f>SUM(Budget_Table[[#This Row],[Bank_Balance]:[Fuel]])</f>
        <v>98900</v>
      </c>
    </row>
    <row r="15" spans="1:23" hidden="1" x14ac:dyDescent="0.25">
      <c r="A15" s="1">
        <v>2023</v>
      </c>
      <c r="B15" s="1" t="s">
        <v>17</v>
      </c>
      <c r="C15" s="1">
        <f t="shared" si="1"/>
        <v>98900</v>
      </c>
      <c r="D15" s="1">
        <v>39000</v>
      </c>
      <c r="E15" s="1">
        <f>IF(Budget_Table[[#This Row],[Revenue]]&gt;39999,Budget_Table[[#This Row],[Revenue]]*-0.01,0)</f>
        <v>0</v>
      </c>
      <c r="F15" s="1"/>
      <c r="G15" s="1"/>
      <c r="H15" s="1">
        <v>-4500</v>
      </c>
      <c r="I15" s="1">
        <v>-200</v>
      </c>
      <c r="J15" s="1">
        <v>-20000</v>
      </c>
      <c r="K15" s="1">
        <v>-10000</v>
      </c>
      <c r="L15" s="1">
        <v>-400</v>
      </c>
      <c r="M15" s="1">
        <v>-500</v>
      </c>
      <c r="N15" s="1"/>
      <c r="O15" s="1">
        <f t="shared" si="0"/>
        <v>-4500</v>
      </c>
      <c r="P15" s="1"/>
      <c r="Q15" s="1">
        <v>-3000</v>
      </c>
      <c r="R15" s="1">
        <v>-500</v>
      </c>
      <c r="S15" s="1">
        <v>-1000</v>
      </c>
      <c r="T15" s="1">
        <v>-100</v>
      </c>
      <c r="U15" s="1"/>
      <c r="V15" s="1">
        <v>-750</v>
      </c>
      <c r="W15" s="1">
        <f>SUM(Budget_Table[[#This Row],[Bank_Balance]:[Fuel]])</f>
        <v>92450</v>
      </c>
    </row>
    <row r="16" spans="1:23" hidden="1" x14ac:dyDescent="0.25">
      <c r="A16" s="1">
        <v>2023</v>
      </c>
      <c r="B16" s="1" t="s">
        <v>10</v>
      </c>
      <c r="C16" s="1">
        <f t="shared" si="1"/>
        <v>92450</v>
      </c>
      <c r="D16" s="1">
        <v>36000</v>
      </c>
      <c r="E16" s="1">
        <f>IF(Budget_Table[[#This Row],[Revenue]]&gt;39999,Budget_Table[[#This Row],[Revenue]]*-0.01,0)</f>
        <v>0</v>
      </c>
      <c r="F16" s="1"/>
      <c r="G16" s="1"/>
      <c r="H16" s="1">
        <v>-4500</v>
      </c>
      <c r="I16" s="1">
        <v>-200</v>
      </c>
      <c r="J16" s="1"/>
      <c r="K16" s="1">
        <v>-10000</v>
      </c>
      <c r="L16" s="1">
        <v>-400</v>
      </c>
      <c r="M16" s="1">
        <v>-500</v>
      </c>
      <c r="N16" s="1"/>
      <c r="O16" s="1"/>
      <c r="P16" s="1"/>
      <c r="Q16" s="1">
        <v>-3000</v>
      </c>
      <c r="R16" s="1">
        <v>-500</v>
      </c>
      <c r="S16" s="1">
        <v>-1000</v>
      </c>
      <c r="T16" s="1">
        <v>-100</v>
      </c>
      <c r="U16" s="1"/>
      <c r="V16" s="1">
        <v>-750</v>
      </c>
      <c r="W16" s="1">
        <f>SUM(Budget_Table[[#This Row],[Bank_Balance]:[Fuel]])</f>
        <v>107500</v>
      </c>
    </row>
    <row r="17" spans="1:23" hidden="1" x14ac:dyDescent="0.25">
      <c r="A17" s="1">
        <v>2023</v>
      </c>
      <c r="B17" s="1" t="s">
        <v>18</v>
      </c>
      <c r="C17" s="1">
        <f t="shared" si="1"/>
        <v>107500</v>
      </c>
      <c r="D17" s="1">
        <v>36000</v>
      </c>
      <c r="E17" s="1">
        <f>IF(Budget_Table[[#This Row],[Revenue]]&gt;39999,Budget_Table[[#This Row],[Revenue]]*-0.01,0)</f>
        <v>0</v>
      </c>
      <c r="F17" s="1"/>
      <c r="G17" s="1"/>
      <c r="H17" s="1">
        <v>-4500</v>
      </c>
      <c r="I17" s="1">
        <v>-200</v>
      </c>
      <c r="J17" s="1">
        <v>-20000</v>
      </c>
      <c r="K17" s="1">
        <v>-10000</v>
      </c>
      <c r="L17" s="1">
        <v>-400</v>
      </c>
      <c r="M17" s="1">
        <v>-500</v>
      </c>
      <c r="N17" s="1"/>
      <c r="O17" s="1"/>
      <c r="P17" s="1"/>
      <c r="Q17" s="1">
        <v>-3000</v>
      </c>
      <c r="R17" s="1">
        <v>-500</v>
      </c>
      <c r="S17" s="1">
        <v>-1000</v>
      </c>
      <c r="T17" s="1">
        <v>-100</v>
      </c>
      <c r="U17" s="1"/>
      <c r="V17" s="1">
        <v>-750</v>
      </c>
      <c r="W17" s="1">
        <f>SUM(Budget_Table[[#This Row],[Bank_Balance]:[Fuel]])</f>
        <v>102550</v>
      </c>
    </row>
    <row r="18" spans="1:23" hidden="1" x14ac:dyDescent="0.25">
      <c r="A18" s="1">
        <v>2023</v>
      </c>
      <c r="B18" s="1" t="s">
        <v>19</v>
      </c>
      <c r="C18" s="1">
        <f t="shared" si="1"/>
        <v>102550</v>
      </c>
      <c r="D18" s="1">
        <v>36000</v>
      </c>
      <c r="E18" s="1">
        <f>IF(Budget_Table[[#This Row],[Revenue]]&gt;39999,Budget_Table[[#This Row],[Revenue]]*-0.01,0)</f>
        <v>0</v>
      </c>
      <c r="F18" s="1"/>
      <c r="G18" s="1">
        <v>-8000</v>
      </c>
      <c r="H18" s="1">
        <v>-4500</v>
      </c>
      <c r="I18" s="1">
        <v>-200</v>
      </c>
      <c r="J18" s="1"/>
      <c r="K18" s="1">
        <v>-10000</v>
      </c>
      <c r="L18" s="1">
        <v>-400</v>
      </c>
      <c r="M18" s="1">
        <v>-500</v>
      </c>
      <c r="N18" s="1"/>
      <c r="O18" s="1"/>
      <c r="P18" s="1"/>
      <c r="Q18" s="1">
        <v>0</v>
      </c>
      <c r="R18" s="1">
        <v>-500</v>
      </c>
      <c r="S18" s="1">
        <v>-1000</v>
      </c>
      <c r="T18" s="1">
        <v>-100</v>
      </c>
      <c r="U18" s="1"/>
      <c r="V18" s="1">
        <v>-750</v>
      </c>
      <c r="W18" s="1">
        <f>SUM(Budget_Table[[#This Row],[Bank_Balance]:[Fuel]])</f>
        <v>112600</v>
      </c>
    </row>
    <row r="19" spans="1:23" x14ac:dyDescent="0.25">
      <c r="A19" s="1">
        <v>2023</v>
      </c>
      <c r="B19" s="1" t="s">
        <v>20</v>
      </c>
      <c r="C19" s="1">
        <f t="shared" si="1"/>
        <v>112600</v>
      </c>
      <c r="D19" s="1">
        <v>40000</v>
      </c>
      <c r="E19" s="1">
        <f>IF(Budget_Table[[#This Row],[Revenue]]&gt;39999,Budget_Table[[#This Row],[Revenue]]*-0.01,0)</f>
        <v>-400</v>
      </c>
      <c r="F19" s="1"/>
      <c r="G19" s="1"/>
      <c r="H19" s="1">
        <v>-4500</v>
      </c>
      <c r="I19" s="1">
        <v>-200</v>
      </c>
      <c r="J19" s="1">
        <v>-60000</v>
      </c>
      <c r="K19" s="1">
        <v>-10000</v>
      </c>
      <c r="L19" s="1">
        <v>-400</v>
      </c>
      <c r="M19" s="1">
        <v>-500</v>
      </c>
      <c r="N19" s="1">
        <v>-1200</v>
      </c>
      <c r="O19" s="1">
        <f t="shared" si="0"/>
        <v>-4500</v>
      </c>
      <c r="P19" s="1"/>
      <c r="Q19" s="1">
        <v>0</v>
      </c>
      <c r="R19" s="1">
        <v>-500</v>
      </c>
      <c r="S19" s="1">
        <v>-1000</v>
      </c>
      <c r="T19" s="1">
        <v>-100</v>
      </c>
      <c r="U19" s="1"/>
      <c r="V19" s="1">
        <v>-750</v>
      </c>
      <c r="W19" s="1">
        <f>SUM(Budget_Table[[#This Row],[Bank_Balance]:[Fuel]])</f>
        <v>68550</v>
      </c>
    </row>
    <row r="20" spans="1:23" hidden="1" x14ac:dyDescent="0.25">
      <c r="A20" s="1">
        <v>2023</v>
      </c>
      <c r="B20" s="1" t="s">
        <v>21</v>
      </c>
      <c r="C20" s="1">
        <f t="shared" si="1"/>
        <v>68550</v>
      </c>
      <c r="D20" s="1">
        <v>50000</v>
      </c>
      <c r="E20" s="1">
        <f>IF(Budget_Table[[#This Row],[Revenue]]&gt;39999,Budget_Table[[#This Row],[Revenue]]*-0.01,0)</f>
        <v>-500</v>
      </c>
      <c r="F20" s="1"/>
      <c r="G20" s="1"/>
      <c r="H20" s="1">
        <v>-4500</v>
      </c>
      <c r="I20" s="1">
        <v>-200</v>
      </c>
      <c r="J20" s="1"/>
      <c r="K20" s="1">
        <v>-10000</v>
      </c>
      <c r="L20" s="1">
        <v>-400</v>
      </c>
      <c r="M20" s="1">
        <v>-500</v>
      </c>
      <c r="N20" s="1"/>
      <c r="O20" s="1"/>
      <c r="P20" s="1">
        <v>-40000</v>
      </c>
      <c r="Q20" s="1">
        <v>0</v>
      </c>
      <c r="R20" s="1">
        <v>-500</v>
      </c>
      <c r="S20" s="1">
        <v>-1000</v>
      </c>
      <c r="T20" s="1">
        <v>-100</v>
      </c>
      <c r="U20" s="1"/>
      <c r="V20" s="1">
        <v>-750</v>
      </c>
      <c r="W20" s="1">
        <f>SUM(Budget_Table[[#This Row],[Bank_Balance]:[Fuel]])</f>
        <v>60100</v>
      </c>
    </row>
    <row r="21" spans="1:23" hidden="1" x14ac:dyDescent="0.25">
      <c r="A21" s="1">
        <v>2023</v>
      </c>
      <c r="B21" s="1" t="s">
        <v>22</v>
      </c>
      <c r="C21" s="1">
        <f t="shared" si="1"/>
        <v>60100</v>
      </c>
      <c r="D21" s="1">
        <v>80000</v>
      </c>
      <c r="E21" s="1">
        <f>IF(Budget_Table[[#This Row],[Revenue]]&gt;39999,Budget_Table[[#This Row],[Revenue]]*-0.01,0)</f>
        <v>-800</v>
      </c>
      <c r="F21" s="1"/>
      <c r="G21" s="1"/>
      <c r="H21" s="1">
        <v>-4500</v>
      </c>
      <c r="I21" s="1">
        <v>-200</v>
      </c>
      <c r="J21" s="1">
        <v>-20000</v>
      </c>
      <c r="K21" s="1">
        <v>-10000</v>
      </c>
      <c r="L21" s="1">
        <v>-400</v>
      </c>
      <c r="M21" s="1">
        <v>-500</v>
      </c>
      <c r="N21" s="1"/>
      <c r="O21" s="1"/>
      <c r="P21" s="1"/>
      <c r="Q21" s="1">
        <v>0</v>
      </c>
      <c r="R21" s="1">
        <v>-500</v>
      </c>
      <c r="S21" s="1">
        <v>-1000</v>
      </c>
      <c r="T21" s="1">
        <v>-100</v>
      </c>
      <c r="U21" s="1"/>
      <c r="V21" s="1">
        <v>-750</v>
      </c>
      <c r="W21" s="1">
        <f>SUM(Budget_Table[[#This Row],[Bank_Balance]:[Fuel]])</f>
        <v>101350</v>
      </c>
    </row>
    <row r="22" spans="1:23" hidden="1" x14ac:dyDescent="0.25">
      <c r="A22" s="1">
        <v>2023</v>
      </c>
      <c r="B22" s="1" t="s">
        <v>23</v>
      </c>
      <c r="C22" s="1">
        <f t="shared" si="1"/>
        <v>101350</v>
      </c>
      <c r="D22" s="1">
        <v>45000</v>
      </c>
      <c r="E22" s="1">
        <f>IF(Budget_Table[[#This Row],[Revenue]]&gt;39999,Budget_Table[[#This Row],[Revenue]]*-0.01,0)</f>
        <v>-450</v>
      </c>
      <c r="F22" s="1"/>
      <c r="G22" s="1"/>
      <c r="H22" s="1">
        <v>-4500</v>
      </c>
      <c r="I22" s="1">
        <v>-200</v>
      </c>
      <c r="J22" s="1"/>
      <c r="K22" s="1">
        <v>-10000</v>
      </c>
      <c r="L22" s="1">
        <v>-400</v>
      </c>
      <c r="M22" s="1">
        <v>-500</v>
      </c>
      <c r="N22" s="1"/>
      <c r="O22" s="1"/>
      <c r="P22" s="1"/>
      <c r="Q22" s="1">
        <v>0</v>
      </c>
      <c r="R22" s="1">
        <v>-500</v>
      </c>
      <c r="S22" s="1">
        <v>-1000</v>
      </c>
      <c r="T22" s="1">
        <v>-100</v>
      </c>
      <c r="U22" s="1"/>
      <c r="V22" s="1">
        <v>-750</v>
      </c>
      <c r="W22" s="1">
        <f>SUM(Budget_Table[[#This Row],[Bank_Balance]:[Fuel]])</f>
        <v>127950</v>
      </c>
    </row>
    <row r="23" spans="1:23" hidden="1" x14ac:dyDescent="0.25">
      <c r="A23" s="1">
        <v>2023</v>
      </c>
      <c r="B23" s="1" t="s">
        <v>24</v>
      </c>
      <c r="C23" s="1">
        <f t="shared" si="1"/>
        <v>127950</v>
      </c>
      <c r="D23" s="1">
        <v>45000</v>
      </c>
      <c r="E23" s="1">
        <f>IF(Budget_Table[[#This Row],[Revenue]]&gt;39999,Budget_Table[[#This Row],[Revenue]]*-0.01,0)</f>
        <v>-450</v>
      </c>
      <c r="F23" s="1"/>
      <c r="G23" s="1"/>
      <c r="H23" s="1">
        <v>-4500</v>
      </c>
      <c r="I23" s="1">
        <v>-200</v>
      </c>
      <c r="J23" s="1">
        <v>-40000</v>
      </c>
      <c r="K23" s="1">
        <v>-10000</v>
      </c>
      <c r="L23" s="1">
        <v>-400</v>
      </c>
      <c r="M23" s="1">
        <v>-500</v>
      </c>
      <c r="N23" s="1"/>
      <c r="O23" s="1">
        <f t="shared" si="0"/>
        <v>-4500</v>
      </c>
      <c r="P23" s="1"/>
      <c r="Q23" s="1">
        <v>0</v>
      </c>
      <c r="R23" s="1">
        <v>-500</v>
      </c>
      <c r="S23" s="1">
        <v>-1000</v>
      </c>
      <c r="T23" s="1">
        <v>-100</v>
      </c>
      <c r="U23" s="1"/>
      <c r="V23" s="1">
        <v>-750</v>
      </c>
      <c r="W23" s="1">
        <f>SUM(Budget_Table[[#This Row],[Bank_Balance]:[Fuel]])</f>
        <v>110050</v>
      </c>
    </row>
    <row r="24" spans="1:23" hidden="1" x14ac:dyDescent="0.25">
      <c r="A24" s="1">
        <v>2024</v>
      </c>
      <c r="B24" s="1" t="s">
        <v>25</v>
      </c>
      <c r="C24" s="1">
        <f t="shared" si="1"/>
        <v>110050</v>
      </c>
      <c r="D24" s="1">
        <v>30000</v>
      </c>
      <c r="E24" s="1">
        <f>IF(Budget_Table[[#This Row],[Revenue]]&gt;39999,Budget_Table[[#This Row],[Revenue]]*-0.01,0)</f>
        <v>0</v>
      </c>
      <c r="F24" s="1"/>
      <c r="G24" s="1"/>
      <c r="H24" s="1">
        <v>-4500</v>
      </c>
      <c r="I24" s="1">
        <v>-200</v>
      </c>
      <c r="J24" s="1"/>
      <c r="K24" s="1">
        <v>-10000</v>
      </c>
      <c r="L24" s="1">
        <v>-400</v>
      </c>
      <c r="M24" s="1">
        <v>-500</v>
      </c>
      <c r="N24" s="1"/>
      <c r="O24" s="1"/>
      <c r="P24" s="1"/>
      <c r="Q24" s="1">
        <v>0</v>
      </c>
      <c r="R24" s="1">
        <v>-500</v>
      </c>
      <c r="S24" s="1">
        <v>-1000</v>
      </c>
      <c r="T24" s="1">
        <v>-100</v>
      </c>
      <c r="U24" s="1"/>
      <c r="V24" s="1">
        <v>-750</v>
      </c>
      <c r="W24" s="2">
        <f>SUM(Budget_Table[[#This Row],[Bank_Balance]:[Fuel]])</f>
        <v>122100</v>
      </c>
    </row>
    <row r="25" spans="1:23" hidden="1" x14ac:dyDescent="0.25">
      <c r="A25" s="1">
        <v>2024</v>
      </c>
      <c r="B25" s="1" t="s">
        <v>26</v>
      </c>
      <c r="C25" s="1">
        <f t="shared" si="1"/>
        <v>122100</v>
      </c>
      <c r="D25" s="1">
        <v>50000</v>
      </c>
      <c r="E25" s="1">
        <f>IF(Budget_Table[[#This Row],[Revenue]]&gt;39999,Budget_Table[[#This Row],[Revenue]]*-0.01,0)</f>
        <v>-500</v>
      </c>
      <c r="F25" s="1"/>
      <c r="G25" s="1"/>
      <c r="H25" s="1">
        <v>-4500</v>
      </c>
      <c r="I25" s="1">
        <v>-200</v>
      </c>
      <c r="J25" s="1">
        <v>-20000</v>
      </c>
      <c r="K25" s="1">
        <v>-10000</v>
      </c>
      <c r="L25" s="1">
        <v>-400</v>
      </c>
      <c r="M25" s="1">
        <v>-500</v>
      </c>
      <c r="N25" s="1"/>
      <c r="O25" s="1"/>
      <c r="P25" s="1">
        <v>-30000</v>
      </c>
      <c r="Q25" s="1">
        <v>0</v>
      </c>
      <c r="R25" s="1">
        <v>-500</v>
      </c>
      <c r="S25" s="1">
        <v>-1000</v>
      </c>
      <c r="T25" s="1">
        <v>-100</v>
      </c>
      <c r="U25" s="1"/>
      <c r="V25" s="1">
        <v>-750</v>
      </c>
      <c r="W25" s="2">
        <f>SUM(Budget_Table[[#This Row],[Bank_Balance]:[Fuel]])</f>
        <v>103650</v>
      </c>
    </row>
    <row r="26" spans="1:23" hidden="1" x14ac:dyDescent="0.25">
      <c r="A26" s="1">
        <v>2024</v>
      </c>
      <c r="B26" s="1" t="s">
        <v>35</v>
      </c>
      <c r="C26" s="1">
        <f t="shared" si="1"/>
        <v>103650</v>
      </c>
      <c r="D26" s="1">
        <v>33000</v>
      </c>
      <c r="E26" s="1">
        <f>IF(Budget_Table[[#This Row],[Revenue]]&gt;39999,Budget_Table[[#This Row],[Revenue]]*-0.01,0)</f>
        <v>0</v>
      </c>
      <c r="F26" s="1"/>
      <c r="G26" s="1"/>
      <c r="H26" s="1">
        <v>-4500</v>
      </c>
      <c r="I26" s="1">
        <v>-200</v>
      </c>
      <c r="J26" s="1"/>
      <c r="K26" s="1">
        <v>-10000</v>
      </c>
      <c r="L26" s="1">
        <v>-400</v>
      </c>
      <c r="M26" s="1">
        <v>-500</v>
      </c>
      <c r="N26" s="1"/>
      <c r="O26" s="1"/>
      <c r="P26" s="1"/>
      <c r="Q26" s="1">
        <v>0</v>
      </c>
      <c r="R26" s="1">
        <v>-500</v>
      </c>
      <c r="S26" s="1">
        <v>-1000</v>
      </c>
      <c r="T26" s="1">
        <v>-100</v>
      </c>
      <c r="U26" s="1">
        <v>-1000</v>
      </c>
      <c r="V26" s="1">
        <v>-750</v>
      </c>
      <c r="W26" s="2">
        <f>SUM(Budget_Table[[#This Row],[Bank_Balance]:[Fuel]])</f>
        <v>117700</v>
      </c>
    </row>
    <row r="27" spans="1:23" x14ac:dyDescent="0.25">
      <c r="A27" s="1">
        <v>2024</v>
      </c>
      <c r="B27" s="1" t="s">
        <v>34</v>
      </c>
      <c r="C27" s="1">
        <f t="shared" si="1"/>
        <v>117700</v>
      </c>
      <c r="D27" s="1">
        <v>40000</v>
      </c>
      <c r="E27" s="1">
        <f>IF(Budget_Table[[#This Row],[Revenue]]&gt;39999,Budget_Table[[#This Row],[Revenue]]*-0.01,0)</f>
        <v>-400</v>
      </c>
      <c r="F27" s="1"/>
      <c r="G27" s="1"/>
      <c r="H27" s="1">
        <v>-4500</v>
      </c>
      <c r="I27" s="1">
        <v>-200</v>
      </c>
      <c r="J27" s="1">
        <v>-20000</v>
      </c>
      <c r="K27" s="1">
        <v>-10000</v>
      </c>
      <c r="L27" s="1">
        <v>-400</v>
      </c>
      <c r="M27" s="1">
        <v>-500</v>
      </c>
      <c r="N27" s="1"/>
      <c r="O27" s="1">
        <f t="shared" si="0"/>
        <v>-4500</v>
      </c>
      <c r="P27" s="1"/>
      <c r="Q27" s="1">
        <v>0</v>
      </c>
      <c r="R27" s="1">
        <v>-500</v>
      </c>
      <c r="S27" s="1">
        <v>-1000</v>
      </c>
      <c r="T27" s="1">
        <v>-100</v>
      </c>
      <c r="U27" s="1"/>
      <c r="V27" s="1">
        <v>-750</v>
      </c>
      <c r="W27" s="2">
        <f>SUM(Budget_Table[[#This Row],[Bank_Balance]:[Fuel]])</f>
        <v>114850</v>
      </c>
    </row>
    <row r="28" spans="1:23" x14ac:dyDescent="0.25">
      <c r="A28" s="1">
        <v>2024</v>
      </c>
      <c r="B28" s="1" t="s">
        <v>11</v>
      </c>
      <c r="C28" s="1">
        <f t="shared" si="1"/>
        <v>114850</v>
      </c>
      <c r="D28" s="1">
        <v>40000</v>
      </c>
      <c r="E28" s="1">
        <f>IF(Budget_Table[[#This Row],[Revenue]]&gt;39999,Budget_Table[[#This Row],[Revenue]]*-0.01,0)</f>
        <v>-400</v>
      </c>
      <c r="F28" s="1"/>
      <c r="G28" s="1"/>
      <c r="H28" s="1">
        <v>-4500</v>
      </c>
      <c r="I28" s="1">
        <v>-200</v>
      </c>
      <c r="J28" s="1"/>
      <c r="K28" s="1">
        <v>-10000</v>
      </c>
      <c r="L28" s="1">
        <v>-400</v>
      </c>
      <c r="M28" s="1">
        <v>-500</v>
      </c>
      <c r="N28" s="1"/>
      <c r="O28" s="1"/>
      <c r="P28" s="1"/>
      <c r="Q28" s="1">
        <v>0</v>
      </c>
      <c r="R28" s="1">
        <v>-500</v>
      </c>
      <c r="S28" s="1">
        <v>-1000</v>
      </c>
      <c r="T28" s="1">
        <v>-100</v>
      </c>
      <c r="U28" s="1"/>
      <c r="V28" s="1">
        <v>-750</v>
      </c>
      <c r="W28" s="2">
        <f>SUM(Budget_Table[[#This Row],[Bank_Balance]:[Fuel]])</f>
        <v>136500</v>
      </c>
    </row>
    <row r="29" spans="1:23" x14ac:dyDescent="0.25">
      <c r="A29" s="1">
        <v>2024</v>
      </c>
      <c r="B29" s="1" t="s">
        <v>33</v>
      </c>
      <c r="C29" s="1">
        <f t="shared" si="1"/>
        <v>136500</v>
      </c>
      <c r="D29" s="1">
        <v>40000</v>
      </c>
      <c r="E29" s="1">
        <f>IF(Budget_Table[[#This Row],[Revenue]]&gt;39999,Budget_Table[[#This Row],[Revenue]]*-0.01,0)</f>
        <v>-400</v>
      </c>
      <c r="F29" s="1"/>
      <c r="G29" s="1"/>
      <c r="H29" s="1">
        <v>-4500</v>
      </c>
      <c r="I29" s="1">
        <v>-200</v>
      </c>
      <c r="J29" s="1">
        <v>-20000</v>
      </c>
      <c r="K29" s="1">
        <v>-10000</v>
      </c>
      <c r="L29" s="1">
        <v>-400</v>
      </c>
      <c r="M29" s="1">
        <v>-500</v>
      </c>
      <c r="N29" s="1"/>
      <c r="O29" s="1"/>
      <c r="P29" s="1"/>
      <c r="Q29" s="1">
        <v>0</v>
      </c>
      <c r="R29" s="1">
        <v>-500</v>
      </c>
      <c r="S29" s="1">
        <v>-1000</v>
      </c>
      <c r="T29" s="1">
        <v>-100</v>
      </c>
      <c r="U29" s="1"/>
      <c r="V29" s="1">
        <v>-750</v>
      </c>
      <c r="W29" s="2">
        <f>SUM(Budget_Table[[#This Row],[Bank_Balance]:[Fuel]])</f>
        <v>138150</v>
      </c>
    </row>
    <row r="30" spans="1:23" x14ac:dyDescent="0.25">
      <c r="A30" s="1">
        <v>2024</v>
      </c>
      <c r="B30" s="1" t="s">
        <v>32</v>
      </c>
      <c r="C30" s="1">
        <f t="shared" si="1"/>
        <v>138150</v>
      </c>
      <c r="D30" s="1">
        <v>40000</v>
      </c>
      <c r="E30" s="1">
        <f>IF(Budget_Table[[#This Row],[Revenue]]&gt;39999,Budget_Table[[#This Row],[Revenue]]*-0.01,0)</f>
        <v>-400</v>
      </c>
      <c r="F30" s="1"/>
      <c r="G30" s="1">
        <v>-8000</v>
      </c>
      <c r="H30" s="1">
        <v>-4500</v>
      </c>
      <c r="I30" s="1">
        <v>-200</v>
      </c>
      <c r="J30" s="1"/>
      <c r="K30" s="1">
        <v>-10000</v>
      </c>
      <c r="L30" s="1">
        <v>-400</v>
      </c>
      <c r="M30" s="1">
        <v>-500</v>
      </c>
      <c r="N30" s="1"/>
      <c r="O30" s="1"/>
      <c r="P30" s="1"/>
      <c r="Q30" s="1">
        <v>0</v>
      </c>
      <c r="R30" s="1">
        <v>-500</v>
      </c>
      <c r="S30" s="1">
        <v>-1000</v>
      </c>
      <c r="T30" s="1">
        <v>-100</v>
      </c>
      <c r="U30" s="1"/>
      <c r="V30" s="1">
        <v>-750</v>
      </c>
      <c r="W30" s="2">
        <f>SUM(Budget_Table[[#This Row],[Bank_Balance]:[Fuel]])</f>
        <v>151800</v>
      </c>
    </row>
    <row r="31" spans="1:23" x14ac:dyDescent="0.25">
      <c r="A31" s="1">
        <v>2024</v>
      </c>
      <c r="B31" s="1" t="s">
        <v>31</v>
      </c>
      <c r="C31" s="1">
        <f t="shared" si="1"/>
        <v>151800</v>
      </c>
      <c r="D31" s="1">
        <v>40000</v>
      </c>
      <c r="E31" s="1">
        <f>IF(Budget_Table[[#This Row],[Revenue]]&gt;39999,Budget_Table[[#This Row],[Revenue]]*-0.01,0)</f>
        <v>-400</v>
      </c>
      <c r="F31" s="1"/>
      <c r="G31" s="1"/>
      <c r="H31" s="1">
        <v>-4500</v>
      </c>
      <c r="I31" s="1">
        <v>-200</v>
      </c>
      <c r="J31" s="1">
        <v>-60000</v>
      </c>
      <c r="K31" s="1">
        <v>-10000</v>
      </c>
      <c r="L31" s="1">
        <v>-400</v>
      </c>
      <c r="M31" s="1">
        <v>-500</v>
      </c>
      <c r="N31" s="1">
        <v>-1200</v>
      </c>
      <c r="O31" s="1">
        <f t="shared" si="0"/>
        <v>-4500</v>
      </c>
      <c r="P31" s="1"/>
      <c r="Q31" s="1">
        <v>0</v>
      </c>
      <c r="R31" s="1">
        <v>-500</v>
      </c>
      <c r="S31" s="1">
        <v>-1000</v>
      </c>
      <c r="T31" s="1">
        <v>-100</v>
      </c>
      <c r="U31" s="1"/>
      <c r="V31" s="1">
        <v>-750</v>
      </c>
      <c r="W31" s="2">
        <f>SUM(Budget_Table[[#This Row],[Bank_Balance]:[Fuel]])</f>
        <v>107750</v>
      </c>
    </row>
    <row r="32" spans="1:23" hidden="1" x14ac:dyDescent="0.25">
      <c r="A32" s="1">
        <v>2024</v>
      </c>
      <c r="B32" s="1" t="s">
        <v>30</v>
      </c>
      <c r="C32" s="1">
        <f t="shared" si="1"/>
        <v>107750</v>
      </c>
      <c r="D32" s="1">
        <v>50000</v>
      </c>
      <c r="E32" s="1">
        <f>IF(Budget_Table[[#This Row],[Revenue]]&gt;39999,Budget_Table[[#This Row],[Revenue]]*-0.01,0)</f>
        <v>-500</v>
      </c>
      <c r="F32" s="1"/>
      <c r="G32" s="1"/>
      <c r="H32" s="1">
        <v>-4500</v>
      </c>
      <c r="I32" s="1">
        <v>-200</v>
      </c>
      <c r="J32" s="1"/>
      <c r="K32" s="1">
        <v>-10000</v>
      </c>
      <c r="L32" s="1">
        <v>-400</v>
      </c>
      <c r="M32" s="1">
        <v>-500</v>
      </c>
      <c r="N32" s="1"/>
      <c r="O32" s="1"/>
      <c r="P32" s="1">
        <v>-40000</v>
      </c>
      <c r="Q32" s="1">
        <v>0</v>
      </c>
      <c r="R32" s="1">
        <v>-500</v>
      </c>
      <c r="S32" s="1">
        <v>-1000</v>
      </c>
      <c r="T32" s="1">
        <v>-100</v>
      </c>
      <c r="U32" s="1"/>
      <c r="V32" s="1">
        <v>-750</v>
      </c>
      <c r="W32" s="2">
        <f>SUM(Budget_Table[[#This Row],[Bank_Balance]:[Fuel]])</f>
        <v>99300</v>
      </c>
    </row>
    <row r="33" spans="1:23" hidden="1" x14ac:dyDescent="0.25">
      <c r="A33" s="1">
        <v>2024</v>
      </c>
      <c r="B33" s="1" t="s">
        <v>29</v>
      </c>
      <c r="C33" s="1">
        <f t="shared" si="1"/>
        <v>99300</v>
      </c>
      <c r="D33" s="1">
        <v>82000</v>
      </c>
      <c r="E33" s="1">
        <f>IF(Budget_Table[[#This Row],[Revenue]]&gt;39999,Budget_Table[[#This Row],[Revenue]]*-0.01,0)</f>
        <v>-820</v>
      </c>
      <c r="F33" s="1"/>
      <c r="G33" s="1"/>
      <c r="H33" s="1">
        <v>-4500</v>
      </c>
      <c r="I33" s="1">
        <v>-200</v>
      </c>
      <c r="J33" s="1">
        <v>-20000</v>
      </c>
      <c r="K33" s="1">
        <v>-10000</v>
      </c>
      <c r="L33" s="1">
        <v>-400</v>
      </c>
      <c r="M33" s="1">
        <v>-500</v>
      </c>
      <c r="N33" s="1"/>
      <c r="O33" s="1"/>
      <c r="P33" s="1"/>
      <c r="Q33" s="1">
        <v>0</v>
      </c>
      <c r="R33" s="1">
        <v>-500</v>
      </c>
      <c r="S33" s="1">
        <v>-1000</v>
      </c>
      <c r="T33" s="1">
        <v>-100</v>
      </c>
      <c r="U33" s="1"/>
      <c r="V33" s="1">
        <v>-750</v>
      </c>
      <c r="W33" s="2">
        <f>SUM(Budget_Table[[#This Row],[Bank_Balance]:[Fuel]])</f>
        <v>142530</v>
      </c>
    </row>
    <row r="34" spans="1:23" hidden="1" x14ac:dyDescent="0.25">
      <c r="A34" s="1">
        <v>2024</v>
      </c>
      <c r="B34" s="1" t="s">
        <v>28</v>
      </c>
      <c r="C34" s="1">
        <f t="shared" si="1"/>
        <v>142530</v>
      </c>
      <c r="D34" s="1">
        <v>45000</v>
      </c>
      <c r="E34" s="1">
        <f>IF(Budget_Table[[#This Row],[Revenue]]&gt;39999,Budget_Table[[#This Row],[Revenue]]*-0.01,0)</f>
        <v>-450</v>
      </c>
      <c r="F34" s="1"/>
      <c r="G34" s="1"/>
      <c r="H34" s="1">
        <v>-4500</v>
      </c>
      <c r="I34" s="1">
        <v>-200</v>
      </c>
      <c r="J34" s="1"/>
      <c r="K34" s="1">
        <v>-10000</v>
      </c>
      <c r="L34" s="1">
        <v>-400</v>
      </c>
      <c r="M34" s="1">
        <v>-500</v>
      </c>
      <c r="N34" s="1"/>
      <c r="O34" s="1"/>
      <c r="P34" s="1"/>
      <c r="Q34" s="1">
        <v>0</v>
      </c>
      <c r="R34" s="1">
        <v>-500</v>
      </c>
      <c r="S34" s="1">
        <v>-1000</v>
      </c>
      <c r="T34" s="1">
        <v>-100</v>
      </c>
      <c r="U34" s="1"/>
      <c r="V34" s="1">
        <v>-750</v>
      </c>
      <c r="W34" s="2">
        <f>SUM(Budget_Table[[#This Row],[Bank_Balance]:[Fuel]])</f>
        <v>169130</v>
      </c>
    </row>
    <row r="35" spans="1:23" hidden="1" x14ac:dyDescent="0.25">
      <c r="A35" s="1">
        <v>2024</v>
      </c>
      <c r="B35" s="1" t="s">
        <v>27</v>
      </c>
      <c r="C35" s="1">
        <f t="shared" si="1"/>
        <v>169130</v>
      </c>
      <c r="D35" s="1">
        <v>45000</v>
      </c>
      <c r="E35" s="1">
        <f>IF(Budget_Table[[#This Row],[Revenue]]&gt;39999,Budget_Table[[#This Row],[Revenue]]*-0.01,0)</f>
        <v>-450</v>
      </c>
      <c r="F35" s="1"/>
      <c r="G35" s="1"/>
      <c r="H35" s="1">
        <v>-4500</v>
      </c>
      <c r="I35" s="1">
        <v>-200</v>
      </c>
      <c r="J35" s="1">
        <v>-20000</v>
      </c>
      <c r="K35" s="1">
        <v>-10000</v>
      </c>
      <c r="L35" s="1">
        <v>-400</v>
      </c>
      <c r="M35" s="1">
        <v>-500</v>
      </c>
      <c r="N35" s="1"/>
      <c r="O35" s="1">
        <f t="shared" si="0"/>
        <v>-4500</v>
      </c>
      <c r="P35" s="1"/>
      <c r="Q35" s="1">
        <v>0</v>
      </c>
      <c r="R35" s="1">
        <v>-500</v>
      </c>
      <c r="S35" s="1">
        <v>-1000</v>
      </c>
      <c r="T35" s="1">
        <v>-100</v>
      </c>
      <c r="U35" s="1"/>
      <c r="V35" s="1">
        <v>-750</v>
      </c>
      <c r="W35" s="2">
        <f>SUM(Budget_Table[[#This Row],[Bank_Balance]:[Fuel]])</f>
        <v>171230</v>
      </c>
    </row>
    <row r="36" spans="1:23" hidden="1" x14ac:dyDescent="0.25">
      <c r="A36" s="1">
        <v>2025</v>
      </c>
      <c r="B36" s="1" t="s">
        <v>43</v>
      </c>
      <c r="C36" s="1">
        <f t="shared" si="1"/>
        <v>171230</v>
      </c>
      <c r="D36" s="1">
        <v>45000</v>
      </c>
      <c r="E36" s="1">
        <f>IF(Budget_Table[[#This Row],[Revenue]]&gt;39999,Budget_Table[[#This Row],[Revenue]]*-0.01,0)</f>
        <v>-450</v>
      </c>
      <c r="F36" s="1"/>
      <c r="G36" s="1"/>
      <c r="H36" s="1">
        <v>-4500</v>
      </c>
      <c r="I36" s="1">
        <v>-200</v>
      </c>
      <c r="J36" s="1">
        <v>-20000</v>
      </c>
      <c r="K36" s="1">
        <v>-10000</v>
      </c>
      <c r="L36" s="1">
        <v>-400</v>
      </c>
      <c r="M36" s="1">
        <v>-500</v>
      </c>
      <c r="N36" s="1"/>
      <c r="O36" s="1"/>
      <c r="P36" s="1"/>
      <c r="Q36" s="1"/>
      <c r="R36" s="1">
        <v>-500</v>
      </c>
      <c r="S36" s="1">
        <v>-1000</v>
      </c>
      <c r="T36" s="1">
        <v>-100</v>
      </c>
      <c r="U36" s="1"/>
      <c r="V36" s="1">
        <v>-750</v>
      </c>
      <c r="W36" s="2">
        <f>SUM(Budget_Table[[#This Row],[Bank_Balance]:[Fuel]])</f>
        <v>177830</v>
      </c>
    </row>
    <row r="37" spans="1:23" hidden="1" x14ac:dyDescent="0.25">
      <c r="A37" s="1">
        <v>2025</v>
      </c>
      <c r="B37" s="1" t="s">
        <v>44</v>
      </c>
      <c r="C37" s="1">
        <f t="shared" si="1"/>
        <v>177830</v>
      </c>
      <c r="D37" s="1">
        <v>45000</v>
      </c>
      <c r="E37" s="1">
        <f>IF(Budget_Table[[#This Row],[Revenue]]&gt;39999,Budget_Table[[#This Row],[Revenue]]*-0.01,0)</f>
        <v>-450</v>
      </c>
      <c r="F37" s="1"/>
      <c r="G37" s="1"/>
      <c r="H37" s="1">
        <v>-4500</v>
      </c>
      <c r="I37" s="1">
        <v>-200</v>
      </c>
      <c r="J37" s="1">
        <v>-20000</v>
      </c>
      <c r="K37" s="1">
        <v>-10000</v>
      </c>
      <c r="L37" s="1">
        <v>-400</v>
      </c>
      <c r="M37" s="1">
        <v>-500</v>
      </c>
      <c r="N37" s="1"/>
      <c r="O37" s="1"/>
      <c r="P37" s="1"/>
      <c r="Q37" s="1"/>
      <c r="R37" s="1">
        <v>-500</v>
      </c>
      <c r="S37" s="1">
        <v>-1000</v>
      </c>
      <c r="T37" s="1">
        <v>-100</v>
      </c>
      <c r="U37" s="1"/>
      <c r="V37" s="1">
        <v>-750</v>
      </c>
      <c r="W37" s="2">
        <f>SUM(Budget_Table[[#This Row],[Bank_Balance]:[Fuel]])</f>
        <v>184430</v>
      </c>
    </row>
    <row r="38" spans="1:23" x14ac:dyDescent="0.25">
      <c r="A38" s="1"/>
      <c r="B38" s="1">
        <f>SUBTOTAL(103,Budget_Table[Month])</f>
        <v>6</v>
      </c>
      <c r="C38" s="1">
        <f>SUBTOTAL(104,Budget_Table[Bank_Balance])</f>
        <v>151800</v>
      </c>
      <c r="D38" s="1">
        <f>SUBTOTAL(101,Budget_Table[Revenue])</f>
        <v>40000</v>
      </c>
      <c r="E38" s="1">
        <f>SUBTOTAL(101,Budget_Table[Bonus])</f>
        <v>-400</v>
      </c>
      <c r="F38" s="1"/>
      <c r="G38" s="1"/>
      <c r="H38" s="1">
        <f>SUBTOTAL(109,Budget_Table[Salaries])</f>
        <v>-27000</v>
      </c>
      <c r="I38" s="1">
        <f>SUBTOTAL(109,Budget_Table[Maint])</f>
        <v>-1200</v>
      </c>
      <c r="J38" s="1">
        <f>SUBTOTAL(109,Budget_Table[Stock])</f>
        <v>-160000</v>
      </c>
      <c r="K38" s="1">
        <f>SUBTOTAL(109,Budget_Table[Home_Expenses])</f>
        <v>-60000</v>
      </c>
      <c r="L38" s="1"/>
      <c r="M38" s="1"/>
      <c r="N38" s="1"/>
      <c r="O38" s="1">
        <f>SUBTOTAL(101,Budget_Table[Cloths])</f>
        <v>-4500</v>
      </c>
      <c r="P38" s="1">
        <f>SUBTOTAL(109,Budget_Table[Schools])</f>
        <v>0</v>
      </c>
      <c r="Q38" s="1">
        <f>SUBTOTAL(109,Budget_Table[Education])</f>
        <v>0</v>
      </c>
      <c r="R38" s="1">
        <f>SUBTOTAL(109,Budget_Table[Internet])</f>
        <v>-3000</v>
      </c>
      <c r="S38" s="1">
        <f>SUBTOTAL(109,Budget_Table[Electric])</f>
        <v>-6000</v>
      </c>
      <c r="T38" s="1">
        <f>SUBTOTAL(109,Budget_Table[Gas])</f>
        <v>-600</v>
      </c>
      <c r="U38" s="1"/>
      <c r="V38" s="1">
        <f>SUBTOTAL(109,Budget_Table[Fuel])</f>
        <v>-4500</v>
      </c>
      <c r="W38" s="1">
        <f>SUBTOTAL(104,Budget_Table[Balance])</f>
        <v>151800</v>
      </c>
    </row>
    <row r="44" spans="1:23" x14ac:dyDescent="0.25">
      <c r="A44" s="22" t="s">
        <v>240</v>
      </c>
      <c r="B44">
        <f t="array" ref="B44:B46">_xlfn.MODE.MULT(D2:D37)</f>
        <v>40000</v>
      </c>
    </row>
    <row r="45" spans="1:23" x14ac:dyDescent="0.25">
      <c r="B45">
        <v>45000</v>
      </c>
      <c r="E45" s="22"/>
    </row>
    <row r="46" spans="1:23" x14ac:dyDescent="0.25">
      <c r="B46" t="e">
        <v>#N/A</v>
      </c>
    </row>
    <row r="47" spans="1:23" x14ac:dyDescent="0.25">
      <c r="A47" s="22" t="s">
        <v>255</v>
      </c>
      <c r="B47" t="str">
        <f>CONCATENATE(B44,",",B45)</f>
        <v>40000,45000</v>
      </c>
    </row>
  </sheetData>
  <phoneticPr fontId="2" type="noConversion"/>
  <conditionalFormatting sqref="E2:E38 H2:V38 F2:G5 F6 F7:G22">
    <cfRule type="cellIs" dxfId="86" priority="11" operator="lessThan">
      <formula>0</formula>
    </cfRule>
  </conditionalFormatting>
  <conditionalFormatting sqref="W2:W37">
    <cfRule type="top10" dxfId="85" priority="12" percent="1" bottom="1" rank="10"/>
    <cfRule type="top10" dxfId="84" priority="13" percent="1" rank="10"/>
  </conditionalFormatting>
  <conditionalFormatting sqref="C2:C38">
    <cfRule type="cellIs" dxfId="83" priority="1" operator="lessThan">
      <formula>0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44E8-9C70-4018-BA08-A3D7E2B79E76}">
  <dimension ref="A1:D69"/>
  <sheetViews>
    <sheetView topLeftCell="A31" workbookViewId="0">
      <selection activeCell="C32" sqref="C32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6.5703125" customWidth="1"/>
    <col min="4" max="4" width="18.140625" customWidth="1"/>
  </cols>
  <sheetData>
    <row r="1" spans="1:4" x14ac:dyDescent="0.25">
      <c r="A1" s="1" t="s">
        <v>36</v>
      </c>
      <c r="B1" s="1" t="s">
        <v>55</v>
      </c>
      <c r="C1" s="1" t="s">
        <v>135</v>
      </c>
      <c r="D1" s="1" t="s">
        <v>37</v>
      </c>
    </row>
    <row r="2" spans="1:4" x14ac:dyDescent="0.25">
      <c r="A2" s="3">
        <v>44621</v>
      </c>
      <c r="B2" s="3" t="s">
        <v>54</v>
      </c>
      <c r="C2" s="1">
        <v>990</v>
      </c>
      <c r="D2" s="4">
        <v>0</v>
      </c>
    </row>
    <row r="3" spans="1:4" x14ac:dyDescent="0.25">
      <c r="A3" s="5">
        <v>44622</v>
      </c>
      <c r="B3" s="3" t="s">
        <v>54</v>
      </c>
      <c r="C3" s="1">
        <v>991</v>
      </c>
      <c r="D3" s="4" t="e">
        <f>(C3-C2)/C66</f>
        <v>#DIV/0!</v>
      </c>
    </row>
    <row r="4" spans="1:4" x14ac:dyDescent="0.25">
      <c r="A4" s="3">
        <v>44623</v>
      </c>
      <c r="B4" s="3" t="s">
        <v>54</v>
      </c>
      <c r="C4" s="1">
        <v>992</v>
      </c>
      <c r="D4" s="4" t="e">
        <f>(C4-C3)/C66</f>
        <v>#DIV/0!</v>
      </c>
    </row>
    <row r="5" spans="1:4" x14ac:dyDescent="0.25">
      <c r="A5" s="5">
        <v>44624</v>
      </c>
      <c r="B5" s="3" t="s">
        <v>54</v>
      </c>
      <c r="C5" s="1">
        <v>995</v>
      </c>
      <c r="D5" s="4">
        <f>(C5-C2)/C2</f>
        <v>5.0505050505050509E-3</v>
      </c>
    </row>
    <row r="6" spans="1:4" x14ac:dyDescent="0.25">
      <c r="A6" s="3">
        <v>44625</v>
      </c>
      <c r="B6" s="3" t="s">
        <v>54</v>
      </c>
      <c r="C6" s="1">
        <v>997</v>
      </c>
      <c r="D6" s="4">
        <f>(C6-C2)/C2</f>
        <v>7.0707070707070711E-3</v>
      </c>
    </row>
    <row r="7" spans="1:4" x14ac:dyDescent="0.25">
      <c r="A7" s="5">
        <v>44626</v>
      </c>
      <c r="B7" s="3" t="s">
        <v>54</v>
      </c>
      <c r="C7" s="1">
        <v>999</v>
      </c>
      <c r="D7" s="4">
        <f>(C7-C2)/C2</f>
        <v>9.0909090909090905E-3</v>
      </c>
    </row>
    <row r="8" spans="1:4" x14ac:dyDescent="0.25">
      <c r="A8" s="3">
        <v>44627</v>
      </c>
      <c r="B8" s="3" t="s">
        <v>54</v>
      </c>
      <c r="C8" s="1">
        <v>1001</v>
      </c>
      <c r="D8" s="4">
        <f>(C8-C2)/C2</f>
        <v>1.1111111111111112E-2</v>
      </c>
    </row>
    <row r="9" spans="1:4" x14ac:dyDescent="0.25">
      <c r="A9" s="5">
        <v>44628</v>
      </c>
      <c r="B9" s="3" t="s">
        <v>54</v>
      </c>
      <c r="C9" s="1">
        <v>1003</v>
      </c>
      <c r="D9" s="4">
        <f>(C9-C2)/C2</f>
        <v>1.3131313131313131E-2</v>
      </c>
    </row>
    <row r="10" spans="1:4" x14ac:dyDescent="0.25">
      <c r="A10" s="3">
        <v>44629</v>
      </c>
      <c r="B10" s="3" t="s">
        <v>54</v>
      </c>
      <c r="C10" s="1">
        <v>1005</v>
      </c>
      <c r="D10" s="4">
        <f>(C10-C2)/C2</f>
        <v>1.5151515151515152E-2</v>
      </c>
    </row>
    <row r="11" spans="1:4" x14ac:dyDescent="0.25">
      <c r="A11" s="5">
        <v>44630</v>
      </c>
      <c r="B11" s="3" t="s">
        <v>54</v>
      </c>
      <c r="C11" s="1">
        <v>1005</v>
      </c>
      <c r="D11" s="4">
        <f>(C11-C2)/C2</f>
        <v>1.5151515151515152E-2</v>
      </c>
    </row>
    <row r="12" spans="1:4" x14ac:dyDescent="0.25">
      <c r="A12" s="3">
        <v>44631</v>
      </c>
      <c r="B12" s="3" t="s">
        <v>54</v>
      </c>
      <c r="C12" s="1">
        <v>1010</v>
      </c>
      <c r="D12" s="4">
        <f>(C12-C2)/C2</f>
        <v>2.0202020202020204E-2</v>
      </c>
    </row>
    <row r="13" spans="1:4" x14ac:dyDescent="0.25">
      <c r="A13" s="5">
        <v>44632</v>
      </c>
      <c r="B13" s="3" t="s">
        <v>54</v>
      </c>
      <c r="C13" s="1">
        <v>1014</v>
      </c>
      <c r="D13" s="4">
        <f>(C13-C2)/C2</f>
        <v>2.4242424242424242E-2</v>
      </c>
    </row>
    <row r="14" spans="1:4" x14ac:dyDescent="0.25">
      <c r="A14" s="3">
        <v>44633</v>
      </c>
      <c r="B14" s="3" t="s">
        <v>54</v>
      </c>
      <c r="C14" s="1">
        <v>1015</v>
      </c>
      <c r="D14" s="4">
        <f>(C14-C2)/C2</f>
        <v>2.5252525252525252E-2</v>
      </c>
    </row>
    <row r="15" spans="1:4" x14ac:dyDescent="0.25">
      <c r="A15" s="5">
        <v>44634</v>
      </c>
      <c r="B15" s="3" t="s">
        <v>54</v>
      </c>
      <c r="C15" s="1">
        <v>1014</v>
      </c>
      <c r="D15" s="4">
        <f>(C15-C2)/C2</f>
        <v>2.4242424242424242E-2</v>
      </c>
    </row>
    <row r="16" spans="1:4" x14ac:dyDescent="0.25">
      <c r="A16" s="3">
        <v>44635</v>
      </c>
      <c r="B16" s="3" t="s">
        <v>54</v>
      </c>
      <c r="C16" s="1">
        <v>1015</v>
      </c>
      <c r="D16" s="4">
        <f>(C16-C2)/C2</f>
        <v>2.5252525252525252E-2</v>
      </c>
    </row>
    <row r="17" spans="1:4" x14ac:dyDescent="0.25">
      <c r="A17" s="5">
        <v>44636</v>
      </c>
      <c r="B17" s="3" t="s">
        <v>54</v>
      </c>
      <c r="C17" s="1">
        <v>1018</v>
      </c>
      <c r="D17" s="4">
        <f>(C17-C2)/C2</f>
        <v>2.8282828282828285E-2</v>
      </c>
    </row>
    <row r="18" spans="1:4" x14ac:dyDescent="0.25">
      <c r="A18" s="3">
        <v>44637</v>
      </c>
      <c r="B18" s="3" t="s">
        <v>54</v>
      </c>
      <c r="C18" s="1">
        <v>1020</v>
      </c>
      <c r="D18" s="4">
        <f>(C18-C2)/C2</f>
        <v>3.0303030303030304E-2</v>
      </c>
    </row>
    <row r="19" spans="1:4" x14ac:dyDescent="0.25">
      <c r="A19" s="5">
        <v>44638</v>
      </c>
      <c r="B19" s="3" t="s">
        <v>54</v>
      </c>
      <c r="C19" s="1">
        <v>1020</v>
      </c>
      <c r="D19" s="4">
        <f>(C19-C2)/C2</f>
        <v>3.0303030303030304E-2</v>
      </c>
    </row>
    <row r="20" spans="1:4" x14ac:dyDescent="0.25">
      <c r="A20" s="3">
        <v>44639</v>
      </c>
      <c r="B20" s="3" t="s">
        <v>54</v>
      </c>
      <c r="C20" s="1">
        <v>1021</v>
      </c>
      <c r="D20" s="4">
        <f>(C20-C2)/C2</f>
        <v>3.1313131313131314E-2</v>
      </c>
    </row>
    <row r="21" spans="1:4" x14ac:dyDescent="0.25">
      <c r="A21" s="5">
        <v>44640</v>
      </c>
      <c r="B21" s="3" t="s">
        <v>54</v>
      </c>
      <c r="C21" s="1">
        <v>1030</v>
      </c>
      <c r="D21" s="4">
        <f>(C21-C2)/C2</f>
        <v>4.0404040404040407E-2</v>
      </c>
    </row>
    <row r="22" spans="1:4" x14ac:dyDescent="0.25">
      <c r="A22" s="3">
        <v>44641</v>
      </c>
      <c r="B22" s="3" t="s">
        <v>54</v>
      </c>
      <c r="C22" s="1">
        <v>1068</v>
      </c>
      <c r="D22" s="4">
        <f>(C22-C2)/C2</f>
        <v>7.8787878787878782E-2</v>
      </c>
    </row>
    <row r="23" spans="1:4" x14ac:dyDescent="0.25">
      <c r="A23" s="5">
        <v>44642</v>
      </c>
      <c r="B23" s="3" t="s">
        <v>54</v>
      </c>
      <c r="C23" s="1">
        <v>1172</v>
      </c>
      <c r="D23" s="4">
        <f>(C23-C2)/C2</f>
        <v>0.18383838383838383</v>
      </c>
    </row>
    <row r="24" spans="1:4" x14ac:dyDescent="0.25">
      <c r="A24" s="3">
        <v>44643</v>
      </c>
      <c r="B24" s="3" t="s">
        <v>54</v>
      </c>
      <c r="C24" s="1">
        <v>1154</v>
      </c>
      <c r="D24" s="4">
        <f>(C24-C2)/C2</f>
        <v>0.16565656565656567</v>
      </c>
    </row>
    <row r="25" spans="1:4" x14ac:dyDescent="0.25">
      <c r="A25" s="5">
        <v>44644</v>
      </c>
      <c r="B25" s="3" t="s">
        <v>54</v>
      </c>
      <c r="C25" s="1">
        <v>1140</v>
      </c>
      <c r="D25" s="4">
        <f>(C25-C2)/C2</f>
        <v>0.15151515151515152</v>
      </c>
    </row>
    <row r="26" spans="1:4" x14ac:dyDescent="0.25">
      <c r="A26" s="3">
        <v>44645</v>
      </c>
      <c r="B26" s="3" t="s">
        <v>54</v>
      </c>
      <c r="C26" s="1">
        <v>1135</v>
      </c>
      <c r="D26" s="4">
        <f>(C26-C2)/C2</f>
        <v>0.14646464646464646</v>
      </c>
    </row>
    <row r="27" spans="1:4" x14ac:dyDescent="0.25">
      <c r="A27" s="5">
        <v>44646</v>
      </c>
      <c r="B27" s="3" t="s">
        <v>54</v>
      </c>
      <c r="C27" s="1">
        <v>1130</v>
      </c>
      <c r="D27" s="4">
        <f>(C27-C2)/C2</f>
        <v>0.14141414141414141</v>
      </c>
    </row>
    <row r="28" spans="1:4" x14ac:dyDescent="0.25">
      <c r="A28" s="3">
        <v>44647</v>
      </c>
      <c r="B28" s="3" t="s">
        <v>54</v>
      </c>
      <c r="C28" s="1">
        <f t="shared" ref="C28:C33" si="0">_xlfn.FORECAST.LINEAR(A28,C21:C27,A21:A27)</f>
        <v>1175.8571428570431</v>
      </c>
      <c r="D28" s="4">
        <f>(C28-C2)/C2</f>
        <v>0.18773448773438695</v>
      </c>
    </row>
    <row r="29" spans="1:4" x14ac:dyDescent="0.25">
      <c r="A29" s="5">
        <v>44648</v>
      </c>
      <c r="B29" s="3" t="s">
        <v>54</v>
      </c>
      <c r="C29" s="1">
        <f t="shared" si="0"/>
        <v>1170.7755102040246</v>
      </c>
      <c r="D29" s="4">
        <f>(C29-C2)/C2</f>
        <v>0.18260152545861072</v>
      </c>
    </row>
    <row r="30" spans="1:4" x14ac:dyDescent="0.25">
      <c r="A30" s="3">
        <v>44649</v>
      </c>
      <c r="B30" s="3" t="s">
        <v>54</v>
      </c>
      <c r="C30" s="1">
        <f t="shared" si="0"/>
        <v>1158.2390670553214</v>
      </c>
      <c r="D30" s="4">
        <f>(C30-C2)/C2</f>
        <v>0.16993845157103168</v>
      </c>
    </row>
    <row r="31" spans="1:4" x14ac:dyDescent="0.25">
      <c r="A31" s="5">
        <v>44650</v>
      </c>
      <c r="B31" s="3" t="s">
        <v>54</v>
      </c>
      <c r="C31" s="1">
        <f t="shared" si="0"/>
        <v>1168.4281549353327</v>
      </c>
      <c r="D31" s="4">
        <f>(C31-C2)/C2</f>
        <v>0.1802304595306391</v>
      </c>
    </row>
    <row r="32" spans="1:4" x14ac:dyDescent="0.25">
      <c r="A32" s="3">
        <v>44651</v>
      </c>
      <c r="B32" s="3" t="s">
        <v>54</v>
      </c>
      <c r="C32" s="1">
        <f t="shared" si="0"/>
        <v>1178.6911405960564</v>
      </c>
      <c r="D32" s="4">
        <f>(C32-C2)/C2</f>
        <v>0.19059711171318824</v>
      </c>
    </row>
    <row r="33" spans="1:4" x14ac:dyDescent="0.25">
      <c r="A33" s="3">
        <v>45747</v>
      </c>
      <c r="B33" s="3" t="s">
        <v>54</v>
      </c>
      <c r="C33" s="1">
        <f t="shared" si="0"/>
        <v>8629.3026374842157</v>
      </c>
      <c r="D33" s="4">
        <f>(C33-C32)/C32</f>
        <v>6.3210889097888989</v>
      </c>
    </row>
    <row r="34" spans="1:4" x14ac:dyDescent="0.25">
      <c r="A34" s="3">
        <v>44621</v>
      </c>
      <c r="B34" s="3" t="s">
        <v>56</v>
      </c>
      <c r="C34" s="1">
        <v>990</v>
      </c>
      <c r="D34" s="4">
        <f>(C34-C33)/C33</f>
        <v>-0.88527462280675973</v>
      </c>
    </row>
    <row r="35" spans="1:4" x14ac:dyDescent="0.25">
      <c r="A35" s="5">
        <v>44622</v>
      </c>
      <c r="B35" s="3" t="s">
        <v>56</v>
      </c>
      <c r="C35" s="1">
        <v>991</v>
      </c>
      <c r="D35" s="4">
        <f t="shared" ref="D35:D65" si="1">(C35-C34)/C34</f>
        <v>1.0101010101010101E-3</v>
      </c>
    </row>
    <row r="36" spans="1:4" x14ac:dyDescent="0.25">
      <c r="A36" s="3">
        <v>44623</v>
      </c>
      <c r="B36" s="3" t="s">
        <v>56</v>
      </c>
      <c r="C36" s="1">
        <v>992</v>
      </c>
      <c r="D36" s="4">
        <f t="shared" si="1"/>
        <v>1.0090817356205853E-3</v>
      </c>
    </row>
    <row r="37" spans="1:4" x14ac:dyDescent="0.25">
      <c r="A37" s="5">
        <v>44624</v>
      </c>
      <c r="B37" s="3" t="s">
        <v>56</v>
      </c>
      <c r="C37" s="1">
        <v>995</v>
      </c>
      <c r="D37" s="4">
        <f t="shared" si="1"/>
        <v>3.0241935483870967E-3</v>
      </c>
    </row>
    <row r="38" spans="1:4" x14ac:dyDescent="0.25">
      <c r="A38" s="3">
        <v>44625</v>
      </c>
      <c r="B38" s="3" t="s">
        <v>56</v>
      </c>
      <c r="C38" s="1">
        <v>997</v>
      </c>
      <c r="D38" s="4">
        <f t="shared" si="1"/>
        <v>2.0100502512562816E-3</v>
      </c>
    </row>
    <row r="39" spans="1:4" x14ac:dyDescent="0.25">
      <c r="A39" s="5">
        <v>44626</v>
      </c>
      <c r="B39" s="3" t="s">
        <v>56</v>
      </c>
      <c r="C39" s="1">
        <v>999</v>
      </c>
      <c r="D39" s="4">
        <f t="shared" si="1"/>
        <v>2.0060180541624875E-3</v>
      </c>
    </row>
    <row r="40" spans="1:4" x14ac:dyDescent="0.25">
      <c r="A40" s="3">
        <v>44627</v>
      </c>
      <c r="B40" s="3" t="s">
        <v>56</v>
      </c>
      <c r="C40" s="1">
        <v>1001</v>
      </c>
      <c r="D40" s="4">
        <f t="shared" si="1"/>
        <v>2.002002002002002E-3</v>
      </c>
    </row>
    <row r="41" spans="1:4" x14ac:dyDescent="0.25">
      <c r="A41" s="5">
        <v>44628</v>
      </c>
      <c r="B41" s="3" t="s">
        <v>56</v>
      </c>
      <c r="C41" s="1">
        <v>1003</v>
      </c>
      <c r="D41" s="4">
        <f t="shared" si="1"/>
        <v>1.998001998001998E-3</v>
      </c>
    </row>
    <row r="42" spans="1:4" x14ac:dyDescent="0.25">
      <c r="A42" s="3">
        <v>44629</v>
      </c>
      <c r="B42" s="3" t="s">
        <v>56</v>
      </c>
      <c r="C42" s="1">
        <v>1005</v>
      </c>
      <c r="D42" s="4">
        <f t="shared" si="1"/>
        <v>1.9940179461615153E-3</v>
      </c>
    </row>
    <row r="43" spans="1:4" x14ac:dyDescent="0.25">
      <c r="A43" s="5">
        <v>44630</v>
      </c>
      <c r="B43" s="3" t="s">
        <v>56</v>
      </c>
      <c r="C43" s="1">
        <v>1005</v>
      </c>
      <c r="D43" s="4">
        <f t="shared" si="1"/>
        <v>0</v>
      </c>
    </row>
    <row r="44" spans="1:4" x14ac:dyDescent="0.25">
      <c r="A44" s="3">
        <v>44631</v>
      </c>
      <c r="B44" s="3" t="s">
        <v>56</v>
      </c>
      <c r="C44" s="1">
        <v>1010</v>
      </c>
      <c r="D44" s="4">
        <f t="shared" si="1"/>
        <v>4.9751243781094526E-3</v>
      </c>
    </row>
    <row r="45" spans="1:4" x14ac:dyDescent="0.25">
      <c r="A45" s="5">
        <v>44632</v>
      </c>
      <c r="B45" s="3" t="s">
        <v>56</v>
      </c>
      <c r="C45" s="1">
        <v>1014</v>
      </c>
      <c r="D45" s="4">
        <f t="shared" si="1"/>
        <v>3.9603960396039604E-3</v>
      </c>
    </row>
    <row r="46" spans="1:4" x14ac:dyDescent="0.25">
      <c r="A46" s="3">
        <v>44633</v>
      </c>
      <c r="B46" s="3" t="s">
        <v>56</v>
      </c>
      <c r="C46" s="1">
        <v>1015</v>
      </c>
      <c r="D46" s="4">
        <f t="shared" si="1"/>
        <v>9.8619329388560163E-4</v>
      </c>
    </row>
    <row r="47" spans="1:4" x14ac:dyDescent="0.25">
      <c r="A47" s="5">
        <v>44634</v>
      </c>
      <c r="B47" s="3" t="s">
        <v>56</v>
      </c>
      <c r="C47" s="1">
        <v>1014</v>
      </c>
      <c r="D47" s="4">
        <f t="shared" si="1"/>
        <v>-9.8522167487684722E-4</v>
      </c>
    </row>
    <row r="48" spans="1:4" x14ac:dyDescent="0.25">
      <c r="A48" s="3">
        <v>44635</v>
      </c>
      <c r="B48" s="3" t="s">
        <v>56</v>
      </c>
      <c r="C48" s="1">
        <v>1015</v>
      </c>
      <c r="D48" s="4">
        <f t="shared" si="1"/>
        <v>9.8619329388560163E-4</v>
      </c>
    </row>
    <row r="49" spans="1:4" x14ac:dyDescent="0.25">
      <c r="A49" s="5">
        <v>44636</v>
      </c>
      <c r="B49" s="3" t="s">
        <v>56</v>
      </c>
      <c r="C49" s="1">
        <v>1018</v>
      </c>
      <c r="D49" s="4">
        <f t="shared" si="1"/>
        <v>2.9556650246305421E-3</v>
      </c>
    </row>
    <row r="50" spans="1:4" x14ac:dyDescent="0.25">
      <c r="A50" s="3">
        <v>44637</v>
      </c>
      <c r="B50" s="3" t="s">
        <v>56</v>
      </c>
      <c r="C50" s="1">
        <v>1020</v>
      </c>
      <c r="D50" s="4">
        <f t="shared" si="1"/>
        <v>1.9646365422396855E-3</v>
      </c>
    </row>
    <row r="51" spans="1:4" x14ac:dyDescent="0.25">
      <c r="A51" s="5">
        <v>44638</v>
      </c>
      <c r="B51" s="3" t="s">
        <v>56</v>
      </c>
      <c r="C51" s="1">
        <v>1020</v>
      </c>
      <c r="D51" s="4">
        <f t="shared" si="1"/>
        <v>0</v>
      </c>
    </row>
    <row r="52" spans="1:4" x14ac:dyDescent="0.25">
      <c r="A52" s="3">
        <v>44639</v>
      </c>
      <c r="B52" s="3" t="s">
        <v>56</v>
      </c>
      <c r="C52" s="1">
        <v>1021</v>
      </c>
      <c r="D52" s="4">
        <f t="shared" si="1"/>
        <v>9.8039215686274508E-4</v>
      </c>
    </row>
    <row r="53" spans="1:4" x14ac:dyDescent="0.25">
      <c r="A53" s="5">
        <v>44640</v>
      </c>
      <c r="B53" s="3" t="s">
        <v>56</v>
      </c>
      <c r="C53" s="1">
        <v>1030</v>
      </c>
      <c r="D53" s="4">
        <f t="shared" si="1"/>
        <v>8.8148873653281102E-3</v>
      </c>
    </row>
    <row r="54" spans="1:4" x14ac:dyDescent="0.25">
      <c r="A54" s="3">
        <v>44641</v>
      </c>
      <c r="B54" s="3" t="s">
        <v>56</v>
      </c>
      <c r="C54" s="1">
        <v>1068</v>
      </c>
      <c r="D54" s="4">
        <f t="shared" si="1"/>
        <v>3.6893203883495145E-2</v>
      </c>
    </row>
    <row r="55" spans="1:4" x14ac:dyDescent="0.25">
      <c r="A55" s="5">
        <v>44642</v>
      </c>
      <c r="B55" s="3" t="s">
        <v>56</v>
      </c>
      <c r="C55" s="1">
        <v>1172</v>
      </c>
      <c r="D55" s="4">
        <f t="shared" si="1"/>
        <v>9.7378277153558054E-2</v>
      </c>
    </row>
    <row r="56" spans="1:4" x14ac:dyDescent="0.25">
      <c r="A56" s="3">
        <v>44643</v>
      </c>
      <c r="B56" s="3" t="s">
        <v>56</v>
      </c>
      <c r="C56" s="1">
        <v>1175</v>
      </c>
      <c r="D56" s="4">
        <f t="shared" si="1"/>
        <v>2.5597269624573378E-3</v>
      </c>
    </row>
    <row r="57" spans="1:4" x14ac:dyDescent="0.25">
      <c r="A57" s="5">
        <v>44644</v>
      </c>
      <c r="B57" s="3" t="s">
        <v>56</v>
      </c>
      <c r="C57" s="1">
        <v>1511</v>
      </c>
      <c r="D57" s="4">
        <f t="shared" si="1"/>
        <v>0.28595744680851065</v>
      </c>
    </row>
    <row r="58" spans="1:4" x14ac:dyDescent="0.25">
      <c r="A58" s="3">
        <v>44645</v>
      </c>
      <c r="B58" s="3" t="s">
        <v>56</v>
      </c>
      <c r="C58" s="1">
        <f t="shared" ref="C58:C65" si="2">_xlfn.FORECAST.LINEAR(A58,C51:C57,A51:A57)</f>
        <v>1417.1428571427241</v>
      </c>
      <c r="D58" s="4">
        <f t="shared" si="1"/>
        <v>-6.2115911884365257E-2</v>
      </c>
    </row>
    <row r="59" spans="1:4" x14ac:dyDescent="0.25">
      <c r="A59" s="5">
        <v>44646</v>
      </c>
      <c r="B59" s="3" t="s">
        <v>56</v>
      </c>
      <c r="C59" s="1">
        <f t="shared" si="2"/>
        <v>1521.6530612241477</v>
      </c>
      <c r="D59" s="4">
        <f t="shared" si="1"/>
        <v>7.374711981552759E-2</v>
      </c>
    </row>
    <row r="60" spans="1:4" x14ac:dyDescent="0.25">
      <c r="A60" s="3">
        <v>44647</v>
      </c>
      <c r="B60" s="3" t="s">
        <v>56</v>
      </c>
      <c r="C60" s="1">
        <f t="shared" si="2"/>
        <v>1629.5772594753653</v>
      </c>
      <c r="D60" s="4">
        <f t="shared" si="1"/>
        <v>7.0925627530623939E-2</v>
      </c>
    </row>
    <row r="61" spans="1:4" x14ac:dyDescent="0.25">
      <c r="A61" s="5">
        <v>44648</v>
      </c>
      <c r="B61" s="3" t="s">
        <v>56</v>
      </c>
      <c r="C61" s="1">
        <f t="shared" si="2"/>
        <v>1731.5077051231638</v>
      </c>
      <c r="D61" s="4">
        <f t="shared" si="1"/>
        <v>6.2550238140052658E-2</v>
      </c>
    </row>
    <row r="62" spans="1:4" x14ac:dyDescent="0.25">
      <c r="A62" s="3">
        <v>44649</v>
      </c>
      <c r="B62" s="3" t="s">
        <v>56</v>
      </c>
      <c r="C62" s="1">
        <f t="shared" si="2"/>
        <v>1822.3159397873096</v>
      </c>
      <c r="D62" s="4">
        <f t="shared" si="1"/>
        <v>5.2444603275783049E-2</v>
      </c>
    </row>
    <row r="63" spans="1:4" x14ac:dyDescent="0.25">
      <c r="A63" s="5">
        <v>44650</v>
      </c>
      <c r="B63" s="3" t="s">
        <v>56</v>
      </c>
      <c r="C63" s="1">
        <f t="shared" si="2"/>
        <v>1914.7992078135721</v>
      </c>
      <c r="D63" s="4">
        <f t="shared" si="1"/>
        <v>5.0750402829191431E-2</v>
      </c>
    </row>
    <row r="64" spans="1:4" x14ac:dyDescent="0.25">
      <c r="A64" s="3">
        <v>44651</v>
      </c>
      <c r="B64" s="3" t="s">
        <v>56</v>
      </c>
      <c r="C64" s="1">
        <f t="shared" si="2"/>
        <v>1968.5134947421029</v>
      </c>
      <c r="D64" s="4">
        <f t="shared" si="1"/>
        <v>2.8052177329791591E-2</v>
      </c>
    </row>
    <row r="65" spans="1:4" x14ac:dyDescent="0.25">
      <c r="A65" s="3">
        <v>45747</v>
      </c>
      <c r="B65" s="3" t="s">
        <v>56</v>
      </c>
      <c r="C65" s="1">
        <f t="shared" si="2"/>
        <v>105065.93107617088</v>
      </c>
      <c r="D65" s="4">
        <f t="shared" si="1"/>
        <v>52.373233842085334</v>
      </c>
    </row>
    <row r="66" spans="1:4" x14ac:dyDescent="0.25">
      <c r="A66" t="s">
        <v>39</v>
      </c>
      <c r="D66">
        <v>280.5</v>
      </c>
    </row>
    <row r="67" spans="1:4" x14ac:dyDescent="0.25">
      <c r="A67" t="s">
        <v>41</v>
      </c>
      <c r="D67">
        <f t="shared" ref="D67" si="3">D66*1000</f>
        <v>280500</v>
      </c>
    </row>
    <row r="68" spans="1:4" x14ac:dyDescent="0.25">
      <c r="A68" t="s">
        <v>40</v>
      </c>
      <c r="D68">
        <f>D66*C33</f>
        <v>2420519.3898143223</v>
      </c>
    </row>
    <row r="69" spans="1:4" x14ac:dyDescent="0.25">
      <c r="A69" t="s">
        <v>42</v>
      </c>
      <c r="D69">
        <f t="shared" ref="D69" si="4">D68-D67</f>
        <v>2140019.3898143223</v>
      </c>
    </row>
  </sheetData>
  <conditionalFormatting sqref="E37 C69:D69">
    <cfRule type="cellIs" dxfId="34" priority="18" operator="greaterThan">
      <formula>$C$67*0.03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9955-F7CC-45EE-A2F7-B2CD935E0DE3}">
  <dimension ref="A1:F14"/>
  <sheetViews>
    <sheetView workbookViewId="0">
      <selection activeCell="A12" sqref="A12:XFD12"/>
    </sheetView>
  </sheetViews>
  <sheetFormatPr defaultRowHeight="15" x14ac:dyDescent="0.25"/>
  <cols>
    <col min="1" max="1" width="18.42578125" style="1" bestFit="1" customWidth="1"/>
    <col min="2" max="3" width="18.42578125" style="1" customWidth="1"/>
    <col min="4" max="4" width="27.85546875" style="1" bestFit="1" customWidth="1"/>
    <col min="5" max="5" width="27.85546875" style="1" customWidth="1"/>
    <col min="6" max="6" width="9.85546875" style="1" customWidth="1"/>
  </cols>
  <sheetData>
    <row r="1" spans="1:6" x14ac:dyDescent="0.25">
      <c r="A1" s="1" t="s">
        <v>196</v>
      </c>
      <c r="B1" s="1" t="s">
        <v>224</v>
      </c>
      <c r="C1" s="1" t="s">
        <v>222</v>
      </c>
      <c r="D1" s="1" t="s">
        <v>197</v>
      </c>
      <c r="E1" s="1" t="s">
        <v>228</v>
      </c>
      <c r="F1" s="1" t="s">
        <v>198</v>
      </c>
    </row>
    <row r="2" spans="1:6" ht="60" x14ac:dyDescent="0.25">
      <c r="A2" s="1" t="s">
        <v>12</v>
      </c>
      <c r="B2" s="1" t="s">
        <v>225</v>
      </c>
      <c r="C2" s="1" t="s">
        <v>233</v>
      </c>
      <c r="D2" s="1" t="s">
        <v>230</v>
      </c>
      <c r="E2" s="20" t="s">
        <v>229</v>
      </c>
      <c r="F2" s="1" t="s">
        <v>227</v>
      </c>
    </row>
    <row r="3" spans="1:6" x14ac:dyDescent="0.25">
      <c r="A3" s="1" t="s">
        <v>220</v>
      </c>
      <c r="B3" s="1" t="s">
        <v>225</v>
      </c>
      <c r="C3" s="1" t="s">
        <v>234</v>
      </c>
      <c r="F3" s="1" t="s">
        <v>227</v>
      </c>
    </row>
    <row r="4" spans="1:6" ht="45" x14ac:dyDescent="0.25">
      <c r="A4" s="1" t="s">
        <v>199</v>
      </c>
      <c r="B4" s="1" t="s">
        <v>225</v>
      </c>
      <c r="D4" s="20" t="s">
        <v>239</v>
      </c>
      <c r="F4" s="1" t="s">
        <v>227</v>
      </c>
    </row>
    <row r="5" spans="1:6" x14ac:dyDescent="0.25">
      <c r="A5" s="1" t="s">
        <v>202</v>
      </c>
      <c r="B5" s="1" t="s">
        <v>225</v>
      </c>
    </row>
    <row r="6" spans="1:6" x14ac:dyDescent="0.25">
      <c r="A6" s="1" t="s">
        <v>217</v>
      </c>
      <c r="B6" s="1" t="s">
        <v>225</v>
      </c>
      <c r="D6" s="1" t="s">
        <v>238</v>
      </c>
    </row>
    <row r="7" spans="1:6" x14ac:dyDescent="0.25">
      <c r="A7" s="1" t="s">
        <v>254</v>
      </c>
      <c r="B7" s="1" t="s">
        <v>225</v>
      </c>
    </row>
    <row r="8" spans="1:6" x14ac:dyDescent="0.25">
      <c r="A8" s="1" t="s">
        <v>218</v>
      </c>
      <c r="B8" s="1" t="s">
        <v>225</v>
      </c>
    </row>
    <row r="9" spans="1:6" x14ac:dyDescent="0.25">
      <c r="A9" s="1" t="s">
        <v>216</v>
      </c>
      <c r="B9" s="1" t="s">
        <v>225</v>
      </c>
    </row>
    <row r="10" spans="1:6" x14ac:dyDescent="0.25">
      <c r="A10" s="1" t="s">
        <v>57</v>
      </c>
      <c r="B10" s="1" t="s">
        <v>225</v>
      </c>
    </row>
    <row r="11" spans="1:6" x14ac:dyDescent="0.25">
      <c r="A11" s="1" t="s">
        <v>215</v>
      </c>
      <c r="B11" s="1" t="s">
        <v>225</v>
      </c>
    </row>
    <row r="12" spans="1:6" x14ac:dyDescent="0.25">
      <c r="A12" s="1" t="s">
        <v>221</v>
      </c>
      <c r="B12" s="1" t="s">
        <v>225</v>
      </c>
      <c r="D12" s="1" t="s">
        <v>223</v>
      </c>
    </row>
    <row r="13" spans="1:6" x14ac:dyDescent="0.25">
      <c r="A13" s="1" t="s">
        <v>36</v>
      </c>
      <c r="B13" s="1" t="s">
        <v>226</v>
      </c>
      <c r="D13" s="1" t="s">
        <v>231</v>
      </c>
    </row>
    <row r="14" spans="1:6" x14ac:dyDescent="0.25">
      <c r="A14" s="1" t="s">
        <v>135</v>
      </c>
      <c r="B14" s="1" t="s">
        <v>226</v>
      </c>
      <c r="D14" s="1" t="s">
        <v>232</v>
      </c>
    </row>
  </sheetData>
  <conditionalFormatting sqref="B7">
    <cfRule type="duplicateValues" dxfId="27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653-80A9-4EAF-A67B-2DD74A77995D}">
  <dimension ref="A1:BV4"/>
  <sheetViews>
    <sheetView workbookViewId="0">
      <selection activeCell="A4" sqref="A4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16.28515625" bestFit="1" customWidth="1"/>
    <col min="4" max="7" width="12" bestFit="1" customWidth="1"/>
    <col min="8" max="8" width="11.28515625" bestFit="1" customWidth="1"/>
    <col min="9" max="33" width="16.28515625" bestFit="1" customWidth="1"/>
    <col min="34" max="34" width="11.28515625" bestFit="1" customWidth="1"/>
    <col min="37" max="37" width="9.42578125" customWidth="1"/>
    <col min="41" max="41" width="9.42578125" customWidth="1"/>
    <col min="43" max="43" width="9.7109375" customWidth="1"/>
    <col min="46" max="46" width="9.28515625" customWidth="1"/>
    <col min="49" max="49" width="9.42578125" customWidth="1"/>
    <col min="53" max="53" width="9.42578125" customWidth="1"/>
    <col min="55" max="55" width="9.7109375" customWidth="1"/>
    <col min="58" max="58" width="9.28515625" customWidth="1"/>
    <col min="61" max="61" width="9.42578125" customWidth="1"/>
    <col min="65" max="65" width="9.42578125" customWidth="1"/>
    <col min="67" max="67" width="9.7109375" customWidth="1"/>
    <col min="70" max="70" width="9.28515625" customWidth="1"/>
    <col min="73" max="73" width="9.42578125" customWidth="1"/>
  </cols>
  <sheetData>
    <row r="1" spans="1:74" x14ac:dyDescent="0.25">
      <c r="A1" t="s">
        <v>55</v>
      </c>
      <c r="B1" t="s">
        <v>131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68</v>
      </c>
      <c r="N1" s="17" t="s">
        <v>69</v>
      </c>
      <c r="O1" s="17" t="s">
        <v>70</v>
      </c>
      <c r="P1" s="17" t="s">
        <v>71</v>
      </c>
      <c r="Q1" s="17" t="s">
        <v>72</v>
      </c>
      <c r="R1" s="17" t="s">
        <v>73</v>
      </c>
      <c r="S1" s="17" t="s">
        <v>74</v>
      </c>
      <c r="T1" s="17" t="s">
        <v>75</v>
      </c>
      <c r="U1" s="17" t="s">
        <v>76</v>
      </c>
      <c r="V1" s="17" t="s">
        <v>77</v>
      </c>
      <c r="W1" s="17" t="s">
        <v>78</v>
      </c>
      <c r="X1" s="17" t="s">
        <v>79</v>
      </c>
      <c r="Y1" s="17" t="s">
        <v>80</v>
      </c>
      <c r="Z1" s="17" t="s">
        <v>81</v>
      </c>
      <c r="AA1" s="17" t="s">
        <v>82</v>
      </c>
      <c r="AB1" s="17" t="s">
        <v>83</v>
      </c>
      <c r="AC1" s="17" t="s">
        <v>84</v>
      </c>
      <c r="AD1" s="17" t="s">
        <v>85</v>
      </c>
      <c r="AE1" s="17" t="s">
        <v>86</v>
      </c>
      <c r="AF1" s="17" t="s">
        <v>87</v>
      </c>
      <c r="AG1" s="17" t="s">
        <v>88</v>
      </c>
      <c r="AH1" s="17" t="s">
        <v>89</v>
      </c>
      <c r="AI1" s="17" t="s">
        <v>90</v>
      </c>
      <c r="AJ1" s="17" t="s">
        <v>91</v>
      </c>
      <c r="AK1" s="17" t="s">
        <v>92</v>
      </c>
      <c r="AL1" s="17" t="s">
        <v>93</v>
      </c>
      <c r="AM1" s="17" t="s">
        <v>94</v>
      </c>
      <c r="AN1" s="17" t="s">
        <v>95</v>
      </c>
      <c r="AO1" s="17" t="s">
        <v>96</v>
      </c>
      <c r="AP1" s="17" t="s">
        <v>97</v>
      </c>
      <c r="AQ1" s="17" t="s">
        <v>98</v>
      </c>
      <c r="AR1" s="17" t="s">
        <v>99</v>
      </c>
      <c r="AS1" s="17" t="s">
        <v>100</v>
      </c>
      <c r="AT1" s="17" t="s">
        <v>101</v>
      </c>
      <c r="AU1" s="17" t="s">
        <v>102</v>
      </c>
      <c r="AV1" s="17" t="s">
        <v>103</v>
      </c>
      <c r="AW1" s="17" t="s">
        <v>104</v>
      </c>
      <c r="AX1" s="17" t="s">
        <v>105</v>
      </c>
      <c r="AY1" s="17" t="s">
        <v>106</v>
      </c>
      <c r="AZ1" s="17" t="s">
        <v>107</v>
      </c>
      <c r="BA1" s="17" t="s">
        <v>108</v>
      </c>
      <c r="BB1" s="17" t="s">
        <v>109</v>
      </c>
      <c r="BC1" s="17" t="s">
        <v>110</v>
      </c>
      <c r="BD1" s="17" t="s">
        <v>111</v>
      </c>
      <c r="BE1" s="17" t="s">
        <v>112</v>
      </c>
      <c r="BF1" s="17" t="s">
        <v>113</v>
      </c>
      <c r="BG1" s="17" t="s">
        <v>114</v>
      </c>
      <c r="BH1" s="17" t="s">
        <v>115</v>
      </c>
      <c r="BI1" s="17" t="s">
        <v>116</v>
      </c>
      <c r="BJ1" s="17" t="s">
        <v>117</v>
      </c>
      <c r="BK1" s="17" t="s">
        <v>118</v>
      </c>
      <c r="BL1" s="17" t="s">
        <v>119</v>
      </c>
      <c r="BM1" s="17" t="s">
        <v>120</v>
      </c>
      <c r="BN1" s="17" t="s">
        <v>121</v>
      </c>
      <c r="BO1" s="17" t="s">
        <v>122</v>
      </c>
      <c r="BP1" s="17" t="s">
        <v>123</v>
      </c>
      <c r="BQ1" s="17" t="s">
        <v>124</v>
      </c>
      <c r="BR1" s="17" t="s">
        <v>125</v>
      </c>
      <c r="BS1" s="17" t="s">
        <v>126</v>
      </c>
      <c r="BT1" s="17" t="s">
        <v>127</v>
      </c>
      <c r="BU1" s="17" t="s">
        <v>128</v>
      </c>
      <c r="BV1" s="17" t="s">
        <v>129</v>
      </c>
    </row>
    <row r="2" spans="1:74" x14ac:dyDescent="0.25">
      <c r="A2" t="s">
        <v>54</v>
      </c>
      <c r="B2" t="s">
        <v>132</v>
      </c>
      <c r="C2">
        <v>100000</v>
      </c>
      <c r="D2">
        <f>Table3[[#This Row],[Jan-00]]*1.05</f>
        <v>105000</v>
      </c>
      <c r="E2">
        <f>Table3[[#This Row],[Feb-00]]*1.05</f>
        <v>110250</v>
      </c>
      <c r="F2">
        <f>Table3[[#This Row],[Mar-00]]*1.05</f>
        <v>115762.5</v>
      </c>
      <c r="G2">
        <f>Table3[[#This Row],[Apr-00]]*1.05</f>
        <v>121550.625</v>
      </c>
      <c r="H2">
        <f>Table3[[#This Row],[May-00]]*1.05</f>
        <v>127628.15625</v>
      </c>
      <c r="I2">
        <f>Table3[[#This Row],[Jun-00]]*1.05</f>
        <v>134009.56406249999</v>
      </c>
      <c r="J2">
        <f>Table3[[#This Row],[Jul-00]]*1.05</f>
        <v>140710.042265625</v>
      </c>
      <c r="K2">
        <f>Table3[[#This Row],[Aug-00]]*1.05</f>
        <v>147745.54437890626</v>
      </c>
      <c r="L2">
        <f>Table3[[#This Row],[Sep-00]]*1.05</f>
        <v>155132.82159785158</v>
      </c>
      <c r="M2">
        <f>Table3[[#This Row],[Oct-00]]*1.05</f>
        <v>162889.46267774416</v>
      </c>
      <c r="N2">
        <f>Table3[[#This Row],[Nov-00]]*1.05</f>
        <v>171033.93581163138</v>
      </c>
      <c r="O2">
        <f>Table3[[#This Row],[Dec-00]]*1.05</f>
        <v>179585.63260221295</v>
      </c>
      <c r="P2">
        <f>Table3[[#This Row],[Jan-01]]*1.05</f>
        <v>188564.91423232362</v>
      </c>
      <c r="Q2">
        <f>Table3[[#This Row],[Feb-01]]*1.05</f>
        <v>197993.1599439398</v>
      </c>
      <c r="R2">
        <f>Table3[[#This Row],[Mar-01]]*1.05</f>
        <v>207892.8179411368</v>
      </c>
      <c r="S2">
        <f>Table3[[#This Row],[Apr-01]]*1.05</f>
        <v>218287.45883819365</v>
      </c>
      <c r="T2">
        <f>Table3[[#This Row],[May-01]]*1.05</f>
        <v>229201.83178010333</v>
      </c>
      <c r="U2">
        <f>Table3[[#This Row],[Jun-01]]*1.05</f>
        <v>240661.9233691085</v>
      </c>
      <c r="V2">
        <f>Table3[[#This Row],[Jul-01]]*1.05</f>
        <v>252695.01953756393</v>
      </c>
      <c r="W2">
        <f>Table3[[#This Row],[Aug-01]]*1.05</f>
        <v>265329.77051444212</v>
      </c>
      <c r="X2">
        <f>Table3[[#This Row],[Sep-01]]*1.05</f>
        <v>278596.25904016424</v>
      </c>
      <c r="Y2">
        <f>Table3[[#This Row],[Oct-01]]*1.05</f>
        <v>292526.07199217245</v>
      </c>
      <c r="Z2">
        <f>Table3[[#This Row],[Nov-01]]*1.05</f>
        <v>307152.37559178111</v>
      </c>
      <c r="AA2">
        <f>Table3[[#This Row],[Dec-01]]*1.05</f>
        <v>322509.99437137018</v>
      </c>
      <c r="AB2">
        <f>Table3[[#This Row],[Jan-02]]*1.05</f>
        <v>338635.4940899387</v>
      </c>
      <c r="AC2">
        <f>Table3[[#This Row],[Feb-02]]*1.05</f>
        <v>355567.26879443566</v>
      </c>
      <c r="AD2">
        <f>Table3[[#This Row],[Mar-02]]*1.05</f>
        <v>373345.63223415747</v>
      </c>
      <c r="AE2">
        <f>Table3[[#This Row],[Apr-02]]*1.05</f>
        <v>392012.91384586535</v>
      </c>
      <c r="AF2">
        <f>Table3[[#This Row],[May-02]]*1.05</f>
        <v>411613.55953815865</v>
      </c>
      <c r="AG2">
        <f>Table3[[#This Row],[Jun-02]]*1.05</f>
        <v>432194.23751506658</v>
      </c>
      <c r="AH2">
        <f>Table3[[#This Row],[Jul-02]]*1.05</f>
        <v>453803.94939081994</v>
      </c>
      <c r="AI2">
        <f>Table3[[#This Row],[Aug-02]]*1.05</f>
        <v>476494.14686036092</v>
      </c>
      <c r="AJ2">
        <f>Table3[[#This Row],[Sep-02]]*1.05</f>
        <v>500318.85420337901</v>
      </c>
      <c r="AK2">
        <f>Table3[[#This Row],[Oct-02]]*1.05</f>
        <v>525334.79691354802</v>
      </c>
      <c r="AL2">
        <f>Table3[[#This Row],[Nov-02]]*1.05</f>
        <v>551601.53675922542</v>
      </c>
      <c r="AM2">
        <f>Table3[[#This Row],[Dec-02]]*0.95</f>
        <v>524021.45992126415</v>
      </c>
      <c r="AN2">
        <f>Table3[[#This Row],[Jan-03]]*1.05</f>
        <v>550222.53291732736</v>
      </c>
      <c r="AO2">
        <f>Table3[[#This Row],[Feb-03]]*1.05</f>
        <v>577733.6595631938</v>
      </c>
      <c r="AP2">
        <f>Table3[[#This Row],[Mar-03]]*1.05</f>
        <v>606620.34254135354</v>
      </c>
      <c r="AQ2">
        <f>Table3[[#This Row],[Apr-03]]*1.05</f>
        <v>636951.35966842121</v>
      </c>
      <c r="AR2">
        <f>Table3[[#This Row],[May-03]]*1.05</f>
        <v>668798.92765184224</v>
      </c>
      <c r="AS2">
        <f>Table3[[#This Row],[Jun-03]]*1.05</f>
        <v>702238.87403443444</v>
      </c>
      <c r="AT2">
        <f>Table3[[#This Row],[Jul-03]]*1.05</f>
        <v>737350.81773615617</v>
      </c>
      <c r="AU2">
        <f>Table3[[#This Row],[Aug-03]]*1.05</f>
        <v>774218.35862296401</v>
      </c>
      <c r="AV2">
        <f>Table3[[#This Row],[Sep-03]]*1.05</f>
        <v>812929.27655411221</v>
      </c>
      <c r="AW2">
        <f>Table3[[#This Row],[Oct-03]]*1.05</f>
        <v>853575.7403818178</v>
      </c>
      <c r="AX2">
        <f>Table3[[#This Row],[Nov-03]]*1.05</f>
        <v>896254.52740090876</v>
      </c>
      <c r="AY2">
        <f>Table3[[#This Row],[Dec-03]]*0.95</f>
        <v>851441.80103086331</v>
      </c>
      <c r="AZ2">
        <f>Table3[[#This Row],[Jan-04]]*0.95</f>
        <v>808869.71097932011</v>
      </c>
      <c r="BA2">
        <f>Table3[[#This Row],[Feb-04]]*0.95</f>
        <v>768426.22543035401</v>
      </c>
      <c r="BB2">
        <f>Table3[[#This Row],[Mar-04]]*0.95</f>
        <v>730004.91415883624</v>
      </c>
      <c r="BC2">
        <f>Table3[[#This Row],[Apr-04]]*0.95</f>
        <v>693504.66845089442</v>
      </c>
      <c r="BD2">
        <f>Table3[[#This Row],[May-04]]*0.95</f>
        <v>658829.43502834963</v>
      </c>
      <c r="BE2">
        <f>Table3[[#This Row],[Jun-04]]*0.95</f>
        <v>625887.96327693213</v>
      </c>
      <c r="BF2">
        <f>Table3[[#This Row],[Jul-04]]*0.95</f>
        <v>594593.56511308555</v>
      </c>
      <c r="BG2">
        <f>Table3[[#This Row],[Aug-04]]*0.95</f>
        <v>564863.88685743127</v>
      </c>
      <c r="BH2">
        <f>Table3[[#This Row],[Jan-04]]*0.95</f>
        <v>808869.71097932011</v>
      </c>
      <c r="BI2">
        <f>Table3[[#This Row],[Feb-04]]*0.95</f>
        <v>768426.22543035401</v>
      </c>
      <c r="BJ2">
        <f>Table3[[#This Row],[Mar-04]]*0.95</f>
        <v>730004.91415883624</v>
      </c>
      <c r="BK2">
        <f>Table3[[#This Row],[Apr-04]]*0.95</f>
        <v>693504.66845089442</v>
      </c>
      <c r="BL2">
        <f>Table3[[#This Row],[May-04]]*0.95</f>
        <v>658829.43502834963</v>
      </c>
      <c r="BM2">
        <f>Table3[[#This Row],[Jun-04]]*0.95</f>
        <v>625887.96327693213</v>
      </c>
      <c r="BN2">
        <f>Table3[[#This Row],[Jul-04]]*0.95</f>
        <v>594593.56511308555</v>
      </c>
      <c r="BO2">
        <f>Table3[[#This Row],[Aug-04]]*0.95</f>
        <v>564863.88685743127</v>
      </c>
      <c r="BP2">
        <f>Table3[[#This Row],[Sep-04]]*0.95</f>
        <v>536620.69251455972</v>
      </c>
      <c r="BQ2">
        <f>Table3[[#This Row],[Feb-04]]*0.95</f>
        <v>768426.22543035401</v>
      </c>
      <c r="BR2">
        <f>Table3[[#This Row],[Mar-04]]*0.95</f>
        <v>730004.91415883624</v>
      </c>
      <c r="BS2">
        <f>Table3[[#This Row],[Apr-04]]*0.95</f>
        <v>693504.66845089442</v>
      </c>
      <c r="BT2">
        <f>Table3[[#This Row],[May-04]]*0.95</f>
        <v>658829.43502834963</v>
      </c>
      <c r="BU2">
        <f>Table3[[#This Row],[Jun-04]]*0.95</f>
        <v>625887.96327693213</v>
      </c>
      <c r="BV2">
        <f>Table3[[#This Row],[Jul-04]]*0.95</f>
        <v>594593.56511308555</v>
      </c>
    </row>
    <row r="3" spans="1:74" x14ac:dyDescent="0.25">
      <c r="A3" t="s">
        <v>57</v>
      </c>
      <c r="B3" s="18" t="s">
        <v>134</v>
      </c>
      <c r="C3">
        <v>105800</v>
      </c>
      <c r="D3">
        <f>Table3[[#This Row],[Jan-00]]*1.03</f>
        <v>108974</v>
      </c>
      <c r="E3">
        <f>Table3[[#This Row],[Feb-00]]*1.03</f>
        <v>112243.22</v>
      </c>
      <c r="F3">
        <f>Table3[[#This Row],[Mar-00]]*1.03</f>
        <v>115610.5166</v>
      </c>
      <c r="G3">
        <f>Table3[[#This Row],[Apr-00]]*1.03</f>
        <v>119078.832098</v>
      </c>
      <c r="H3">
        <f>Table3[[#This Row],[May-00]]*1.03</f>
        <v>122651.19706094</v>
      </c>
      <c r="I3">
        <f>Table3[[#This Row],[Jun-00]]*1.03</f>
        <v>126330.73297276821</v>
      </c>
      <c r="J3">
        <f>Table3[[#This Row],[Jul-00]]*1.03</f>
        <v>130120.65496195125</v>
      </c>
      <c r="K3">
        <f>Table3[[#This Row],[Aug-00]]*1.03</f>
        <v>134024.27461080978</v>
      </c>
      <c r="L3">
        <f>Table3[[#This Row],[Sep-00]]*1.03</f>
        <v>138045.00284913406</v>
      </c>
      <c r="M3">
        <f>Table3[[#This Row],[Oct-00]]*1.03</f>
        <v>142186.35293460809</v>
      </c>
      <c r="N3">
        <f>Table3[[#This Row],[Nov-00]]*1.03</f>
        <v>146451.94352264632</v>
      </c>
      <c r="O3">
        <f>Table3[[#This Row],[Dec-00]]*1.03</f>
        <v>150845.50182832571</v>
      </c>
      <c r="P3">
        <f>Table3[[#This Row],[Jan-01]]*1.03</f>
        <v>155370.86688317548</v>
      </c>
      <c r="Q3">
        <f>Table3[[#This Row],[Feb-01]]*1.03</f>
        <v>160031.99288967074</v>
      </c>
      <c r="R3">
        <f>Table3[[#This Row],[Mar-01]]*1.03</f>
        <v>164832.95267636087</v>
      </c>
      <c r="S3">
        <f>Table3[[#This Row],[Apr-01]]*1.03</f>
        <v>169777.94125665171</v>
      </c>
      <c r="T3">
        <f>Table3[[#This Row],[May-01]]*1.03</f>
        <v>174871.27949435127</v>
      </c>
      <c r="U3">
        <f>Table3[[#This Row],[Jun-01]]*1.03</f>
        <v>180117.41787918183</v>
      </c>
      <c r="V3">
        <f>Table3[[#This Row],[Jul-01]]*1.03</f>
        <v>185520.9404155573</v>
      </c>
      <c r="W3">
        <f>Table3[[#This Row],[Aug-01]]*1.03</f>
        <v>191086.56862802402</v>
      </c>
      <c r="X3">
        <f>Table3[[#This Row],[Sep-01]]*1.03</f>
        <v>196819.16568686476</v>
      </c>
      <c r="Y3">
        <f>Table3[[#This Row],[Oct-01]]*1.03</f>
        <v>202723.74065747071</v>
      </c>
      <c r="Z3">
        <f>Table3[[#This Row],[Nov-01]]*1.03</f>
        <v>208805.45287719485</v>
      </c>
      <c r="AA3">
        <f>Table3[[#This Row],[Dec-01]]*1.03</f>
        <v>215069.6164635107</v>
      </c>
      <c r="AB3">
        <f>Table3[[#This Row],[Jan-02]]*1.03</f>
        <v>221521.70495741602</v>
      </c>
      <c r="AC3">
        <f>Table3[[#This Row],[Feb-02]]*1.03</f>
        <v>228167.3561061385</v>
      </c>
      <c r="AD3">
        <f>Table3[[#This Row],[Mar-02]]*1.03</f>
        <v>235012.37678932265</v>
      </c>
      <c r="AE3">
        <f>Table3[[#This Row],[Apr-02]]*1.03</f>
        <v>242062.74809300233</v>
      </c>
      <c r="AF3">
        <f>Table3[[#This Row],[May-02]]*1.03</f>
        <v>249324.63053579241</v>
      </c>
      <c r="AG3">
        <f>Table3[[#This Row],[Jun-02]]*1.03</f>
        <v>256804.36945186619</v>
      </c>
      <c r="AH3">
        <f>Table3[[#This Row],[Jul-02]]*1.03</f>
        <v>264508.50053542218</v>
      </c>
      <c r="AI3">
        <f>Table3[[#This Row],[Aug-02]]*1.03</f>
        <v>272443.75555148488</v>
      </c>
      <c r="AJ3">
        <f>Table3[[#This Row],[Sep-02]]*1.03</f>
        <v>280617.06821802945</v>
      </c>
      <c r="AK3">
        <f>Table3[[#This Row],[Oct-02]]*1.03</f>
        <v>289035.58026457037</v>
      </c>
      <c r="AL3">
        <f>Table3[[#This Row],[Nov-02]]*1.03</f>
        <v>297706.6476725075</v>
      </c>
      <c r="AM3">
        <f>Table3[[#This Row],[Dec-02]]*1.03</f>
        <v>306637.84710268275</v>
      </c>
      <c r="AN3">
        <f>Table3[[#This Row],[Jan-03]]*1.03</f>
        <v>315836.98251576326</v>
      </c>
      <c r="AO3">
        <f>Table3[[#This Row],[Feb-03]]*1.03</f>
        <v>325312.09199123614</v>
      </c>
      <c r="AP3">
        <f>Table3[[#This Row],[Mar-03]]*1.03</f>
        <v>335071.45475097321</v>
      </c>
      <c r="AQ3">
        <f>Table3[[#This Row],[Apr-03]]*1.03</f>
        <v>345123.59839350241</v>
      </c>
      <c r="AR3">
        <f>Table3[[#This Row],[May-03]]*1.03</f>
        <v>355477.3063453075</v>
      </c>
      <c r="AS3">
        <f>Table3[[#This Row],[Jun-03]]*1.03</f>
        <v>366141.62553566671</v>
      </c>
      <c r="AT3">
        <f>Table3[[#This Row],[Jul-03]]*1.03</f>
        <v>377125.87430173671</v>
      </c>
      <c r="AU3">
        <f>Table3[[#This Row],[Aug-03]]*1.03</f>
        <v>388439.65053078881</v>
      </c>
      <c r="AV3">
        <f>Table3[[#This Row],[Sep-03]]*1.03</f>
        <v>400092.84004671249</v>
      </c>
      <c r="AW3">
        <f>Table3[[#This Row],[Oct-03]]*1.03</f>
        <v>412095.62524811388</v>
      </c>
      <c r="AX3">
        <f>Table3[[#This Row],[Nov-03]]*1.03</f>
        <v>424458.49400555732</v>
      </c>
      <c r="AY3">
        <f>Table3[[#This Row],[Dec-03]]*1.03</f>
        <v>437192.24882572406</v>
      </c>
      <c r="AZ3">
        <f>Table3[[#This Row],[Jan-04]]*1.03</f>
        <v>450308.01629049581</v>
      </c>
      <c r="BA3">
        <f>Table3[[#This Row],[Feb-04]]*1.03</f>
        <v>463817.2567792107</v>
      </c>
      <c r="BB3">
        <f>Table3[[#This Row],[Mar-04]]*1.03</f>
        <v>477731.77448258706</v>
      </c>
      <c r="BC3">
        <f>Table3[[#This Row],[Apr-04]]*1.03</f>
        <v>492063.72771706467</v>
      </c>
      <c r="BD3">
        <f>Table3[[#This Row],[May-04]]*1.03</f>
        <v>506825.63954857661</v>
      </c>
      <c r="BE3">
        <f>Table3[[#This Row],[Jun-04]]*1.03</f>
        <v>522030.40873503394</v>
      </c>
      <c r="BF3">
        <f>Table3[[#This Row],[Jul-04]]*1.03</f>
        <v>537691.32099708496</v>
      </c>
      <c r="BG3">
        <f>Table3[[#This Row],[Aug-04]]*1.03</f>
        <v>553822.0606269975</v>
      </c>
      <c r="BH3">
        <f>Table3[[#This Row],[Sep-04]]*1.03</f>
        <v>570436.72244580742</v>
      </c>
      <c r="BI3">
        <f>Table3[[#This Row],[Oct-04]]*1.03</f>
        <v>587549.82411918161</v>
      </c>
      <c r="BJ3">
        <f>Table3[[#This Row],[Nov-04]]*1.03</f>
        <v>605176.31884275703</v>
      </c>
      <c r="BK3">
        <f>Table3[[#This Row],[Dec-04]]*1.03</f>
        <v>623331.60840803978</v>
      </c>
      <c r="BL3">
        <f>Table3[[#This Row],[Jan-05]]*1.03</f>
        <v>642031.55666028103</v>
      </c>
      <c r="BM3">
        <f>Table3[[#This Row],[Feb-05]]*1.03</f>
        <v>661292.5033600895</v>
      </c>
      <c r="BN3">
        <f>Table3[[#This Row],[Mar-05]]*1.03</f>
        <v>681131.27846089215</v>
      </c>
      <c r="BO3">
        <f>Table3[[#This Row],[Apr-05]]*1.03</f>
        <v>701565.21681471891</v>
      </c>
      <c r="BP3">
        <f>Table3[[#This Row],[May-05]]*1.03</f>
        <v>722612.17331916047</v>
      </c>
      <c r="BQ3">
        <f>Table3[[#This Row],[Jun-05]]*1.03</f>
        <v>744290.53851873532</v>
      </c>
      <c r="BR3">
        <f>Table3[[#This Row],[Jul-05]]*1.03</f>
        <v>766619.25467429741</v>
      </c>
      <c r="BS3">
        <f>Table3[[#This Row],[Aug-05]]*1.03</f>
        <v>789617.83231452631</v>
      </c>
      <c r="BT3">
        <f>Table3[[#This Row],[Sep-05]]*1.03</f>
        <v>813306.36728396208</v>
      </c>
      <c r="BU3">
        <f>Table3[[#This Row],[Oct-05]]*1.03</f>
        <v>837705.55830248096</v>
      </c>
      <c r="BV3">
        <f>Table3[[#This Row],[Nov-05]]*1.03</f>
        <v>862836.72505155543</v>
      </c>
    </row>
    <row r="4" spans="1:74" x14ac:dyDescent="0.25">
      <c r="A4" t="s">
        <v>130</v>
      </c>
      <c r="B4" t="s">
        <v>133</v>
      </c>
      <c r="C4">
        <v>250000</v>
      </c>
      <c r="D4">
        <f>Table3[[#This Row],[Jan-00]]*1.005</f>
        <v>251249.99999999997</v>
      </c>
      <c r="E4">
        <f>Table3[[#This Row],[Feb-00]]*1.005</f>
        <v>252506.24999999994</v>
      </c>
      <c r="F4">
        <f>Table3[[#This Row],[Mar-00]]*1.005</f>
        <v>253768.78124999991</v>
      </c>
      <c r="G4">
        <f>Table3[[#This Row],[Apr-00]]*1.005</f>
        <v>255037.62515624988</v>
      </c>
      <c r="H4">
        <f>Table3[[#This Row],[May-00]]*1.005</f>
        <v>256312.8132820311</v>
      </c>
      <c r="I4">
        <f>Table3[[#This Row],[Jun-00]]*1.005</f>
        <v>257594.37734844122</v>
      </c>
      <c r="J4">
        <f>Table3[[#This Row],[Jul-00]]*1.005</f>
        <v>258882.34923518341</v>
      </c>
      <c r="K4">
        <f>Table3[[#This Row],[Aug-00]]*1.005</f>
        <v>260176.76098135932</v>
      </c>
      <c r="L4">
        <f>Table3[[#This Row],[Sep-00]]*1.005</f>
        <v>261477.64478626609</v>
      </c>
      <c r="M4">
        <f>Table3[[#This Row],[Oct-00]]*1.005</f>
        <v>262785.0330101974</v>
      </c>
      <c r="N4">
        <f>Table3[[#This Row],[Nov-00]]*1.005</f>
        <v>264098.95817524835</v>
      </c>
      <c r="O4">
        <f>Table3[[#This Row],[Dec-00]]*1.005</f>
        <v>265419.45296612458</v>
      </c>
      <c r="P4">
        <f>Table3[[#This Row],[Jan-01]]*1.005</f>
        <v>266746.55023095518</v>
      </c>
      <c r="Q4">
        <f>Table3[[#This Row],[Feb-01]]*1.005</f>
        <v>268080.28298210993</v>
      </c>
      <c r="R4">
        <f>Table3[[#This Row],[Mar-01]]*1.005</f>
        <v>269420.68439702044</v>
      </c>
      <c r="S4">
        <f>Table3[[#This Row],[Apr-01]]*1.005</f>
        <v>270767.78781900549</v>
      </c>
      <c r="T4">
        <f>Table3[[#This Row],[May-01]]*1.005</f>
        <v>272121.62675810046</v>
      </c>
      <c r="U4">
        <f>Table3[[#This Row],[Jun-01]]*1.005</f>
        <v>273482.23489189096</v>
      </c>
      <c r="V4">
        <f>Table3[[#This Row],[Jul-01]]*1.005</f>
        <v>274849.6460663504</v>
      </c>
      <c r="W4">
        <f>Table3[[#This Row],[Aug-01]]*1.005</f>
        <v>276223.89429668209</v>
      </c>
      <c r="X4">
        <f>Table3[[#This Row],[Sep-01]]*1.005</f>
        <v>277605.01376816549</v>
      </c>
      <c r="Y4">
        <f>Table3[[#This Row],[Oct-01]]*1.005</f>
        <v>278993.03883700632</v>
      </c>
      <c r="Z4">
        <f>Table3[[#This Row],[Nov-01]]*1.005</f>
        <v>280388.00403119129</v>
      </c>
      <c r="AA4">
        <f>Table3[[#This Row],[Dec-01]]*1.005</f>
        <v>281789.94405134721</v>
      </c>
      <c r="AB4">
        <f>Table3[[#This Row],[Jan-02]]*1.005</f>
        <v>283198.89377160394</v>
      </c>
      <c r="AC4">
        <f>Table3[[#This Row],[Feb-02]]*1.005</f>
        <v>284614.88824046194</v>
      </c>
      <c r="AD4">
        <f>Table3[[#This Row],[Mar-02]]*1.005</f>
        <v>286037.96268166421</v>
      </c>
      <c r="AE4">
        <f>Table3[[#This Row],[Apr-02]]*1.005</f>
        <v>287468.15249507251</v>
      </c>
      <c r="AF4">
        <f>Table3[[#This Row],[May-02]]*1.005</f>
        <v>288905.49325754785</v>
      </c>
      <c r="AG4">
        <f>Table3[[#This Row],[Jun-02]]*1.005</f>
        <v>290350.02072383557</v>
      </c>
      <c r="AH4">
        <f>Table3[[#This Row],[Jul-02]]*1.005</f>
        <v>291801.77082745469</v>
      </c>
      <c r="AI4">
        <f>Table3[[#This Row],[Aug-02]]*1.005</f>
        <v>293260.77968159196</v>
      </c>
      <c r="AJ4">
        <f>Table3[[#This Row],[Sep-02]]*1.005</f>
        <v>294727.08357999986</v>
      </c>
      <c r="AK4">
        <f>Table3[[#This Row],[Oct-02]]*1.005</f>
        <v>296200.71899789985</v>
      </c>
      <c r="AL4">
        <f>Table3[[#This Row],[Nov-02]]*1.005</f>
        <v>297681.72259288933</v>
      </c>
      <c r="AM4">
        <f>Table3[[#This Row],[Dec-02]]*1.005</f>
        <v>299170.13120585377</v>
      </c>
      <c r="AN4">
        <f>Table3[[#This Row],[Jan-03]]*1.005</f>
        <v>300665.98186188302</v>
      </c>
      <c r="AO4">
        <f>Table3[[#This Row],[Feb-03]]*1.005</f>
        <v>302169.31177119241</v>
      </c>
      <c r="AP4">
        <f>Table3[[#This Row],[Mar-03]]*1.005</f>
        <v>303680.15833004832</v>
      </c>
      <c r="AQ4">
        <f>Table3[[#This Row],[Apr-03]]*1.005</f>
        <v>305198.55912169855</v>
      </c>
      <c r="AR4">
        <f>Table3[[#This Row],[May-03]]*1.005</f>
        <v>306724.55191730702</v>
      </c>
      <c r="AS4">
        <f>Table3[[#This Row],[Jun-03]]*1.005</f>
        <v>308258.17467689351</v>
      </c>
      <c r="AT4">
        <f>Table3[[#This Row],[Jul-03]]*1.005</f>
        <v>309799.46555027796</v>
      </c>
      <c r="AU4">
        <f>Table3[[#This Row],[Aug-03]]*1.005</f>
        <v>311348.46287802933</v>
      </c>
      <c r="AV4">
        <f>Table3[[#This Row],[Sep-03]]*1.005</f>
        <v>312905.20519241947</v>
      </c>
      <c r="AW4">
        <f>Table3[[#This Row],[Oct-03]]*1.005</f>
        <v>314469.73121838155</v>
      </c>
      <c r="AX4">
        <f>Table3[[#This Row],[Nov-03]]*1.005</f>
        <v>316042.07987447345</v>
      </c>
      <c r="AY4">
        <f>Table3[[#This Row],[Dec-03]]*1.005</f>
        <v>317622.29027384578</v>
      </c>
      <c r="AZ4">
        <f>Table3[[#This Row],[Jan-04]]*1.005</f>
        <v>319210.40172521496</v>
      </c>
      <c r="BA4">
        <f>Table3[[#This Row],[Feb-04]]*1.005</f>
        <v>320806.45373384102</v>
      </c>
      <c r="BB4">
        <f>Table3[[#This Row],[Mar-04]]*1.005</f>
        <v>322410.48600251018</v>
      </c>
      <c r="BC4">
        <f>Table3[[#This Row],[Apr-04]]*1.005</f>
        <v>324022.53843252268</v>
      </c>
      <c r="BD4">
        <f>Table3[[#This Row],[May-04]]*1.005</f>
        <v>325642.65112468525</v>
      </c>
      <c r="BE4">
        <f>Table3[[#This Row],[Jun-04]]*1.005</f>
        <v>327270.86438030866</v>
      </c>
      <c r="BF4">
        <f>Table3[[#This Row],[Jul-04]]*1.005</f>
        <v>328907.21870221017</v>
      </c>
      <c r="BG4">
        <f>Table3[[#This Row],[Aug-04]]*1.005</f>
        <v>330551.75479572121</v>
      </c>
      <c r="BH4">
        <f>Table3[[#This Row],[Sep-04]]*1.005</f>
        <v>332204.51356969977</v>
      </c>
      <c r="BI4">
        <f>Table3[[#This Row],[Oct-04]]*1.005</f>
        <v>333865.53613754822</v>
      </c>
      <c r="BJ4">
        <f>Table3[[#This Row],[Nov-04]]*1.005</f>
        <v>335534.86381823593</v>
      </c>
      <c r="BK4">
        <f>Table3[[#This Row],[Dec-04]]*1.005</f>
        <v>337212.53813732706</v>
      </c>
      <c r="BL4">
        <f>Table3[[#This Row],[Jan-05]]*1.005</f>
        <v>338898.60082801367</v>
      </c>
      <c r="BM4">
        <f>Table3[[#This Row],[Feb-05]]*1.005</f>
        <v>340593.09383215371</v>
      </c>
      <c r="BN4">
        <f>Table3[[#This Row],[Mar-05]]*1.005</f>
        <v>342296.05930131447</v>
      </c>
      <c r="BO4">
        <f>Table3[[#This Row],[Apr-05]]*1.005</f>
        <v>344007.53959782101</v>
      </c>
      <c r="BP4">
        <f>Table3[[#This Row],[May-05]]*1.005</f>
        <v>345727.5772958101</v>
      </c>
      <c r="BQ4">
        <f>Table3[[#This Row],[Jun-05]]*1.005</f>
        <v>347456.21518228913</v>
      </c>
      <c r="BR4">
        <f>Table3[[#This Row],[Jul-05]]*1.005</f>
        <v>349193.49625820055</v>
      </c>
      <c r="BS4">
        <f>Table3[[#This Row],[Aug-05]]*1.005</f>
        <v>350939.46373949153</v>
      </c>
      <c r="BT4">
        <f>Table3[[#This Row],[Sep-05]]*1.005</f>
        <v>352694.16105818894</v>
      </c>
      <c r="BU4">
        <f>Table3[[#This Row],[Oct-05]]*1.005</f>
        <v>354457.63186347985</v>
      </c>
      <c r="BV4">
        <f>Table3[[#This Row],[Nov-05]]*1.005</f>
        <v>356229.92002279719</v>
      </c>
    </row>
  </sheetData>
  <hyperlinks>
    <hyperlink ref="B3" r:id="rId1" xr:uid="{C6691A44-B1F5-46C0-AB8D-789750FCA368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CCAC-CDEF-4238-8360-E65673389098}">
  <dimension ref="A1:B13"/>
  <sheetViews>
    <sheetView tabSelected="1" workbookViewId="0">
      <selection activeCell="B3" sqref="B3"/>
    </sheetView>
  </sheetViews>
  <sheetFormatPr defaultRowHeight="15" x14ac:dyDescent="0.25"/>
  <cols>
    <col min="1" max="1" width="31.140625" bestFit="1" customWidth="1"/>
    <col min="2" max="2" width="15.5703125" bestFit="1" customWidth="1"/>
  </cols>
  <sheetData>
    <row r="1" spans="1:2" ht="21" x14ac:dyDescent="0.35">
      <c r="A1" s="19" t="s">
        <v>137</v>
      </c>
    </row>
    <row r="2" spans="1:2" x14ac:dyDescent="0.25">
      <c r="A2" s="7" t="s">
        <v>50</v>
      </c>
      <c r="B2" t="s">
        <v>201</v>
      </c>
    </row>
    <row r="3" spans="1:2" x14ac:dyDescent="0.25">
      <c r="A3" s="8">
        <v>2022</v>
      </c>
      <c r="B3" s="9">
        <v>441000</v>
      </c>
    </row>
    <row r="4" spans="1:2" x14ac:dyDescent="0.25">
      <c r="A4" s="8">
        <v>2023</v>
      </c>
      <c r="B4" s="9">
        <v>520000</v>
      </c>
    </row>
    <row r="5" spans="1:2" x14ac:dyDescent="0.25">
      <c r="A5" s="8">
        <v>2024</v>
      </c>
      <c r="B5" s="9">
        <v>535000</v>
      </c>
    </row>
    <row r="6" spans="1:2" x14ac:dyDescent="0.25">
      <c r="A6" s="8">
        <v>2025</v>
      </c>
      <c r="B6" s="9">
        <v>90000</v>
      </c>
    </row>
    <row r="7" spans="1:2" x14ac:dyDescent="0.25">
      <c r="A7" s="8" t="s">
        <v>51</v>
      </c>
      <c r="B7" s="9">
        <v>1586000</v>
      </c>
    </row>
    <row r="8" spans="1:2" x14ac:dyDescent="0.25">
      <c r="A8" s="8"/>
      <c r="B8" s="9"/>
    </row>
    <row r="9" spans="1:2" ht="21" x14ac:dyDescent="0.35">
      <c r="A9" s="19" t="s">
        <v>138</v>
      </c>
    </row>
    <row r="10" spans="1:2" x14ac:dyDescent="0.25">
      <c r="A10" s="7" t="s">
        <v>50</v>
      </c>
      <c r="B10" t="s">
        <v>136</v>
      </c>
    </row>
    <row r="11" spans="1:2" x14ac:dyDescent="0.25">
      <c r="A11" s="8" t="s">
        <v>54</v>
      </c>
      <c r="B11" s="9">
        <v>41435.293653131994</v>
      </c>
    </row>
    <row r="12" spans="1:2" x14ac:dyDescent="0.25">
      <c r="A12" s="8" t="s">
        <v>56</v>
      </c>
      <c r="B12" s="9">
        <v>142152.44060147926</v>
      </c>
    </row>
    <row r="13" spans="1:2" x14ac:dyDescent="0.25">
      <c r="A13" s="8" t="s">
        <v>51</v>
      </c>
      <c r="B13" s="9">
        <v>183587.73425461125</v>
      </c>
    </row>
  </sheetData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756D-43EE-4B93-A1AF-4696439E3974}">
  <dimension ref="A1:E47"/>
  <sheetViews>
    <sheetView topLeftCell="A12" zoomScale="85" zoomScaleNormal="85" workbookViewId="0">
      <selection sqref="A1:D37"/>
    </sheetView>
  </sheetViews>
  <sheetFormatPr defaultRowHeight="15" x14ac:dyDescent="0.25"/>
  <cols>
    <col min="1" max="1" width="30.7109375" bestFit="1" customWidth="1"/>
    <col min="2" max="2" width="23" customWidth="1"/>
    <col min="3" max="3" width="16.42578125" customWidth="1"/>
    <col min="4" max="4" width="68" bestFit="1" customWidth="1"/>
    <col min="5" max="5" width="46.28515625" bestFit="1" customWidth="1"/>
  </cols>
  <sheetData>
    <row r="1" spans="1:5" x14ac:dyDescent="0.25">
      <c r="A1" s="6" t="s">
        <v>145</v>
      </c>
      <c r="B1" s="1" t="s">
        <v>173</v>
      </c>
      <c r="C1" s="1" t="s">
        <v>174</v>
      </c>
      <c r="D1" s="1" t="s">
        <v>175</v>
      </c>
      <c r="E1" s="1" t="s">
        <v>178</v>
      </c>
    </row>
    <row r="2" spans="1:5" ht="60" x14ac:dyDescent="0.25">
      <c r="A2" s="6" t="s">
        <v>139</v>
      </c>
      <c r="B2" s="6" t="s">
        <v>146</v>
      </c>
      <c r="C2" s="1">
        <f>AVERAGE(Budget_Table[Revenue])</f>
        <v>44055.555555555555</v>
      </c>
      <c r="D2" s="20" t="s">
        <v>195</v>
      </c>
      <c r="E2" s="20"/>
    </row>
    <row r="3" spans="1:5" x14ac:dyDescent="0.25">
      <c r="A3" s="6" t="s">
        <v>139</v>
      </c>
      <c r="B3" s="6" t="s">
        <v>172</v>
      </c>
      <c r="C3" s="1">
        <f>GEOMEAN(Budget_Table[Revenue])</f>
        <v>42707.466797173474</v>
      </c>
      <c r="D3" s="1"/>
      <c r="E3" s="1"/>
    </row>
    <row r="4" spans="1:5" x14ac:dyDescent="0.25">
      <c r="A4" s="6" t="s">
        <v>139</v>
      </c>
      <c r="B4" s="6" t="s">
        <v>148</v>
      </c>
      <c r="C4" s="1">
        <f>HARMEAN(Budget_Table[Revenue])</f>
        <v>41632.489515816051</v>
      </c>
      <c r="D4" s="1"/>
      <c r="E4" s="1"/>
    </row>
    <row r="5" spans="1:5" x14ac:dyDescent="0.25">
      <c r="A5" s="6" t="s">
        <v>139</v>
      </c>
      <c r="B5" s="6" t="s">
        <v>147</v>
      </c>
      <c r="C5" s="1">
        <f>MEDIAN(Budget_Table[Revenue])</f>
        <v>40000</v>
      </c>
      <c r="D5" s="1" t="str">
        <f>IF(C2&gt;Measurements_Table[[#This Row],[Value]],"50% of values below average","50% of values above average")</f>
        <v>50% of values below average</v>
      </c>
      <c r="E5" s="1"/>
    </row>
    <row r="6" spans="1:5" x14ac:dyDescent="0.25">
      <c r="A6" s="6" t="s">
        <v>139</v>
      </c>
      <c r="B6" s="6" t="s">
        <v>170</v>
      </c>
      <c r="C6" s="1">
        <f>MIN(Budget_Table[Revenue])</f>
        <v>30000</v>
      </c>
      <c r="D6" s="1"/>
      <c r="E6" s="1"/>
    </row>
    <row r="7" spans="1:5" x14ac:dyDescent="0.25">
      <c r="A7" s="6" t="s">
        <v>139</v>
      </c>
      <c r="B7" s="6" t="s">
        <v>171</v>
      </c>
      <c r="C7" s="1">
        <f>MAX(Budget_Table[Revenue])</f>
        <v>82000</v>
      </c>
      <c r="D7" s="1"/>
      <c r="E7" s="1"/>
    </row>
    <row r="8" spans="1:5" x14ac:dyDescent="0.25">
      <c r="A8" s="6" t="s">
        <v>139</v>
      </c>
      <c r="B8" s="6" t="s">
        <v>191</v>
      </c>
      <c r="C8" s="1" t="str">
        <f>'01-Budget'!B47</f>
        <v>40000,45000</v>
      </c>
      <c r="D8" s="1" t="s">
        <v>192</v>
      </c>
      <c r="E8" s="1"/>
    </row>
    <row r="9" spans="1:5" ht="45" x14ac:dyDescent="0.25">
      <c r="A9" s="6" t="s">
        <v>140</v>
      </c>
      <c r="B9" s="6" t="s">
        <v>150</v>
      </c>
      <c r="C9" s="1">
        <f>C7-C6</f>
        <v>52000</v>
      </c>
      <c r="D9" s="20" t="s">
        <v>189</v>
      </c>
      <c r="E9" s="1"/>
    </row>
    <row r="10" spans="1:5" x14ac:dyDescent="0.25">
      <c r="A10" s="6" t="s">
        <v>140</v>
      </c>
      <c r="B10" s="6" t="s">
        <v>149</v>
      </c>
      <c r="C10" s="1">
        <f>_xlfn.VAR.P(Budget_Table[Revenue])</f>
        <v>152330246.91358024</v>
      </c>
      <c r="D10" s="1"/>
      <c r="E10" s="1"/>
    </row>
    <row r="11" spans="1:5" ht="30" x14ac:dyDescent="0.25">
      <c r="A11" s="6" t="s">
        <v>140</v>
      </c>
      <c r="B11" s="6" t="s">
        <v>151</v>
      </c>
      <c r="C11" s="1">
        <f>_xlfn.STDEV.P(Budget_Table[Revenue])</f>
        <v>12342.214019922852</v>
      </c>
      <c r="D11" s="20" t="s">
        <v>190</v>
      </c>
      <c r="E11" s="1"/>
    </row>
    <row r="12" spans="1:5" x14ac:dyDescent="0.25">
      <c r="A12" s="6" t="s">
        <v>140</v>
      </c>
      <c r="B12" s="6" t="s">
        <v>152</v>
      </c>
      <c r="C12" s="1">
        <f>_xlfn.QUARTILE.EXC(Budget_Table[Revenue],3)-_xlfn.QUARTILE.EXC(Budget_Table[Revenue],1)</f>
        <v>6000</v>
      </c>
      <c r="D12" s="1"/>
      <c r="E12" s="1"/>
    </row>
    <row r="13" spans="1:5" x14ac:dyDescent="0.25">
      <c r="A13" s="6" t="s">
        <v>140</v>
      </c>
      <c r="B13" s="6" t="s">
        <v>153</v>
      </c>
      <c r="C13" s="1">
        <f>_xlfn.COVARIANCE.S(Budget_Table[Revenue],Budget_Table[Revenue])</f>
        <v>156682539.68253979</v>
      </c>
      <c r="D13" s="1"/>
      <c r="E13" s="1"/>
    </row>
    <row r="14" spans="1:5" x14ac:dyDescent="0.25">
      <c r="A14" s="6" t="s">
        <v>141</v>
      </c>
      <c r="B14" s="6" t="s">
        <v>154</v>
      </c>
      <c r="C14" s="1">
        <f>_xlfn.QUARTILE.EXC(Budget_Table[Revenue],1)</f>
        <v>39000</v>
      </c>
      <c r="D14" s="1"/>
      <c r="E14" s="1"/>
    </row>
    <row r="15" spans="1:5" x14ac:dyDescent="0.25">
      <c r="A15" s="6" t="s">
        <v>141</v>
      </c>
      <c r="B15" s="6" t="s">
        <v>155</v>
      </c>
      <c r="C15" s="1">
        <f>_xlfn.QUARTILE.EXC(Budget_Table[Revenue],2)</f>
        <v>40000</v>
      </c>
      <c r="D15" s="1"/>
      <c r="E15" s="1"/>
    </row>
    <row r="16" spans="1:5" x14ac:dyDescent="0.25">
      <c r="A16" s="6" t="s">
        <v>141</v>
      </c>
      <c r="B16" s="6" t="s">
        <v>156</v>
      </c>
      <c r="C16" s="1">
        <f>_xlfn.QUARTILE.EXC(Budget_Table[Revenue],3)</f>
        <v>45000</v>
      </c>
      <c r="D16" s="1"/>
      <c r="E16" s="1"/>
    </row>
    <row r="17" spans="1:5" x14ac:dyDescent="0.25">
      <c r="A17" s="6" t="s">
        <v>141</v>
      </c>
      <c r="B17" s="6" t="s">
        <v>157</v>
      </c>
      <c r="C17" s="1">
        <f>_xlfn.PERCENTILE.EXC(Budget_Table[Revenue],0.1)</f>
        <v>32100</v>
      </c>
      <c r="D17" s="1"/>
      <c r="E17" s="1"/>
    </row>
    <row r="18" spans="1:5" x14ac:dyDescent="0.25">
      <c r="A18" s="6" t="s">
        <v>141</v>
      </c>
      <c r="B18" s="6" t="s">
        <v>158</v>
      </c>
      <c r="C18" s="1">
        <f>_xlfn.PERCENTILE.EXC(Budget_Table[Revenue],0.2)</f>
        <v>36000</v>
      </c>
      <c r="D18" s="1"/>
      <c r="E18" s="1"/>
    </row>
    <row r="19" spans="1:5" x14ac:dyDescent="0.25">
      <c r="A19" s="6" t="s">
        <v>141</v>
      </c>
      <c r="B19" s="6" t="s">
        <v>159</v>
      </c>
      <c r="C19" s="1">
        <f>_xlfn.PERCENTILE.EXC(Budget_Table[Revenue],0.3)</f>
        <v>39000</v>
      </c>
      <c r="D19" s="1"/>
      <c r="E19" s="1"/>
    </row>
    <row r="20" spans="1:5" x14ac:dyDescent="0.25">
      <c r="A20" s="6" t="s">
        <v>141</v>
      </c>
      <c r="B20" s="6" t="s">
        <v>160</v>
      </c>
      <c r="C20" s="1">
        <f>_xlfn.PERCENTILE.EXC(Budget_Table[Revenue],0.4)</f>
        <v>40000</v>
      </c>
      <c r="D20" s="1"/>
      <c r="E20" s="1"/>
    </row>
    <row r="21" spans="1:5" x14ac:dyDescent="0.25">
      <c r="A21" s="6" t="s">
        <v>141</v>
      </c>
      <c r="B21" s="6" t="s">
        <v>161</v>
      </c>
      <c r="C21" s="1">
        <f>_xlfn.PERCENTILE.EXC(Budget_Table[Revenue],0.5)</f>
        <v>40000</v>
      </c>
      <c r="D21" s="1"/>
      <c r="E21" s="1"/>
    </row>
    <row r="22" spans="1:5" x14ac:dyDescent="0.25">
      <c r="A22" s="6" t="s">
        <v>141</v>
      </c>
      <c r="B22" s="6" t="s">
        <v>162</v>
      </c>
      <c r="C22" s="1">
        <f>_xlfn.PERCENTILE.EXC(Budget_Table[Revenue],0.6)</f>
        <v>43400</v>
      </c>
      <c r="D22" s="1"/>
      <c r="E22" s="1"/>
    </row>
    <row r="23" spans="1:5" x14ac:dyDescent="0.25">
      <c r="A23" s="6" t="s">
        <v>141</v>
      </c>
      <c r="B23" s="6" t="s">
        <v>163</v>
      </c>
      <c r="C23" s="1">
        <f>_xlfn.PERCENTILE.EXC(Budget_Table[Revenue],0.7)</f>
        <v>45000</v>
      </c>
      <c r="D23" s="1"/>
      <c r="E23" s="1"/>
    </row>
    <row r="24" spans="1:5" x14ac:dyDescent="0.25">
      <c r="A24" s="6" t="s">
        <v>141</v>
      </c>
      <c r="B24" s="6" t="s">
        <v>164</v>
      </c>
      <c r="C24" s="1">
        <f>_xlfn.PERCENTILE.EXC(Budget_Table[Revenue],0.8)</f>
        <v>50000</v>
      </c>
      <c r="D24" s="1"/>
      <c r="E24" s="1"/>
    </row>
    <row r="25" spans="1:5" x14ac:dyDescent="0.25">
      <c r="A25" s="6" t="s">
        <v>141</v>
      </c>
      <c r="B25" s="6" t="s">
        <v>165</v>
      </c>
      <c r="C25" s="1">
        <f>_xlfn.PERCENTILE.EXC(Budget_Table[Revenue],0.9)</f>
        <v>59000.000000000131</v>
      </c>
      <c r="D25" s="1"/>
      <c r="E25" s="1"/>
    </row>
    <row r="26" spans="1:5" x14ac:dyDescent="0.25">
      <c r="A26" s="6" t="s">
        <v>142</v>
      </c>
      <c r="B26" s="6" t="s">
        <v>166</v>
      </c>
      <c r="C26" s="1">
        <f>SKEW(Budget_Table[Revenue])</f>
        <v>2.0802439681751914</v>
      </c>
      <c r="D26" s="1" t="s">
        <v>181</v>
      </c>
      <c r="E26" s="1"/>
    </row>
    <row r="27" spans="1:5" x14ac:dyDescent="0.25">
      <c r="A27" s="6" t="s">
        <v>142</v>
      </c>
      <c r="B27" s="6" t="s">
        <v>167</v>
      </c>
      <c r="C27" s="1">
        <f>KURT(Budget_Table[Revenue])</f>
        <v>4.4376289958781081</v>
      </c>
      <c r="D27" s="1" t="s">
        <v>182</v>
      </c>
      <c r="E27" s="1"/>
    </row>
    <row r="28" spans="1:5" x14ac:dyDescent="0.25">
      <c r="A28" s="6" t="s">
        <v>142</v>
      </c>
      <c r="B28" s="6" t="s">
        <v>183</v>
      </c>
      <c r="C28" s="1">
        <f>C14-1.5*C12</f>
        <v>30000</v>
      </c>
      <c r="D28" s="1">
        <f>COUNTIF(Budget_Table[Revenue],"&lt;="&amp;Measurements_Table[[#This Row],[Value]])</f>
        <v>3</v>
      </c>
      <c r="E28" s="1" t="s">
        <v>179</v>
      </c>
    </row>
    <row r="29" spans="1:5" x14ac:dyDescent="0.25">
      <c r="A29" s="6" t="s">
        <v>142</v>
      </c>
      <c r="B29" s="6" t="s">
        <v>184</v>
      </c>
      <c r="C29" s="1">
        <f>C16+1.5*C12</f>
        <v>54000</v>
      </c>
      <c r="D29" s="1">
        <f>COUNTIF(Budget_Table[Revenue],"&gt;="&amp;Measurements_Table[[#This Row],[Value]])</f>
        <v>3</v>
      </c>
      <c r="E29" s="1" t="s">
        <v>180</v>
      </c>
    </row>
    <row r="30" spans="1:5" x14ac:dyDescent="0.25">
      <c r="A30" s="6" t="s">
        <v>142</v>
      </c>
      <c r="B30" s="6" t="s">
        <v>185</v>
      </c>
      <c r="C30" s="1">
        <f>C2-3*C11</f>
        <v>7028.9134957869974</v>
      </c>
      <c r="D30" s="1" t="s">
        <v>187</v>
      </c>
      <c r="E30" s="1"/>
    </row>
    <row r="31" spans="1:5" x14ac:dyDescent="0.25">
      <c r="A31" s="6" t="s">
        <v>142</v>
      </c>
      <c r="B31" s="6" t="s">
        <v>186</v>
      </c>
      <c r="C31" s="1">
        <f>C2+3*C11</f>
        <v>81082.197615324112</v>
      </c>
      <c r="D31" s="1" t="s">
        <v>188</v>
      </c>
      <c r="E31" s="1"/>
    </row>
    <row r="32" spans="1:5" x14ac:dyDescent="0.25">
      <c r="A32" s="6" t="s">
        <v>241</v>
      </c>
      <c r="B32" s="22" t="s">
        <v>235</v>
      </c>
      <c r="C32">
        <f>Budget_Table[[#Totals],[Revenue]]-_xlfn.STDEV.P(Budget_Table[Revenue])</f>
        <v>27657.785980077148</v>
      </c>
      <c r="D32" s="1">
        <f>Budget_Table[[#Totals],[Revenue]]+_xlfn.STDEV.P(Budget_Table[Revenue])</f>
        <v>52342.214019922852</v>
      </c>
      <c r="E32" s="1"/>
    </row>
    <row r="33" spans="1:5" x14ac:dyDescent="0.25">
      <c r="A33" s="6" t="s">
        <v>241</v>
      </c>
      <c r="B33" s="22" t="s">
        <v>236</v>
      </c>
      <c r="C33">
        <f>Budget_Table[[#Totals],[Revenue]]-2*_xlfn.STDEV.P(Budget_Table[Revenue])</f>
        <v>15315.571960154295</v>
      </c>
      <c r="D33" s="1">
        <f>Budget_Table[[#Totals],[Revenue]]+2*_xlfn.STDEV.P(Budget_Table[Revenue])</f>
        <v>64684.428039845705</v>
      </c>
      <c r="E33" s="1"/>
    </row>
    <row r="34" spans="1:5" x14ac:dyDescent="0.25">
      <c r="A34" s="6" t="s">
        <v>241</v>
      </c>
      <c r="B34" s="22" t="s">
        <v>237</v>
      </c>
      <c r="C34">
        <f>Budget_Table[[#Totals],[Revenue]]-3*_xlfn.STDEV.P(Budget_Table[Revenue])</f>
        <v>2973.3579402314426</v>
      </c>
      <c r="D34" s="1">
        <f>Budget_Table[[#Totals],[Revenue]]+3*_xlfn.STDEV.P(Budget_Table[Revenue])</f>
        <v>77026.64205976855</v>
      </c>
      <c r="E34" s="1"/>
    </row>
    <row r="35" spans="1:5" x14ac:dyDescent="0.25">
      <c r="A35" s="6" t="s">
        <v>143</v>
      </c>
      <c r="B35" s="6" t="s">
        <v>168</v>
      </c>
      <c r="C35" s="1">
        <f>CORREL(Gold_Forecasting[Date],Gold_Forecasting[Item_Val])</f>
        <v>0.75065672695889529</v>
      </c>
      <c r="D35" s="1" t="s">
        <v>176</v>
      </c>
      <c r="E35" s="1"/>
    </row>
    <row r="36" spans="1:5" x14ac:dyDescent="0.25">
      <c r="A36" s="6" t="s">
        <v>144</v>
      </c>
      <c r="B36" s="6" t="s">
        <v>169</v>
      </c>
      <c r="C36" s="1">
        <f>_xlfn.FORECAST.LINEAR('02-Gold_Forecasting'!A65,'02-Gold_Forecasting'!C2:C23,'02-Gold_Forecasting'!A2:A23)</f>
        <v>5532.2337662337814</v>
      </c>
      <c r="D36" s="1" t="s">
        <v>177</v>
      </c>
      <c r="E36" s="1"/>
    </row>
    <row r="37" spans="1:5" x14ac:dyDescent="0.25">
      <c r="A37" s="6" t="s">
        <v>193</v>
      </c>
      <c r="B37" s="21">
        <f>SUBTOTAL(103,Measurements_Table[Measurement])</f>
        <v>35</v>
      </c>
      <c r="C37" s="2">
        <f>SUBTOTAL(103,Measurements_Table[Value])</f>
        <v>35</v>
      </c>
      <c r="D37" s="2">
        <f>SUBTOTAL(103,Measurements_Table[Description])</f>
        <v>16</v>
      </c>
      <c r="E37" s="2">
        <f>SUBTOTAL(103,Measurements_Table[Why We need It])</f>
        <v>2</v>
      </c>
    </row>
    <row r="40" spans="1:5" x14ac:dyDescent="0.25">
      <c r="A40" s="7" t="s">
        <v>50</v>
      </c>
      <c r="B40" t="s">
        <v>194</v>
      </c>
    </row>
    <row r="41" spans="1:5" x14ac:dyDescent="0.25">
      <c r="A41" s="8" t="s">
        <v>139</v>
      </c>
      <c r="B41" s="9">
        <v>7</v>
      </c>
    </row>
    <row r="42" spans="1:5" x14ac:dyDescent="0.25">
      <c r="A42" s="8" t="s">
        <v>140</v>
      </c>
      <c r="B42" s="9">
        <v>5</v>
      </c>
    </row>
    <row r="43" spans="1:5" x14ac:dyDescent="0.25">
      <c r="A43" s="8" t="s">
        <v>142</v>
      </c>
      <c r="B43" s="9">
        <v>6</v>
      </c>
    </row>
    <row r="44" spans="1:5" x14ac:dyDescent="0.25">
      <c r="A44" s="8" t="s">
        <v>144</v>
      </c>
      <c r="B44" s="9">
        <v>1</v>
      </c>
    </row>
    <row r="45" spans="1:5" x14ac:dyDescent="0.25">
      <c r="A45" s="8" t="s">
        <v>141</v>
      </c>
      <c r="B45" s="9">
        <v>12</v>
      </c>
    </row>
    <row r="46" spans="1:5" x14ac:dyDescent="0.25">
      <c r="A46" s="8" t="s">
        <v>143</v>
      </c>
      <c r="B46" s="9">
        <v>1</v>
      </c>
    </row>
    <row r="47" spans="1:5" x14ac:dyDescent="0.25">
      <c r="A47" s="8" t="s">
        <v>51</v>
      </c>
      <c r="B47" s="9">
        <v>32</v>
      </c>
    </row>
  </sheetData>
  <phoneticPr fontId="2" type="noConversion"/>
  <conditionalFormatting sqref="D28:D31">
    <cfRule type="cellIs" dxfId="17" priority="1" operator="greaterThan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0934-E6BF-4D61-ABF9-FF9E611BB503}">
  <dimension ref="A1:B7"/>
  <sheetViews>
    <sheetView topLeftCell="A37" workbookViewId="0">
      <selection activeCell="L41" sqref="L41"/>
    </sheetView>
  </sheetViews>
  <sheetFormatPr defaultRowHeight="15" x14ac:dyDescent="0.25"/>
  <cols>
    <col min="1" max="1" width="17.7109375" customWidth="1"/>
    <col min="2" max="2" width="14.28515625" customWidth="1"/>
  </cols>
  <sheetData>
    <row r="1" spans="1:2" x14ac:dyDescent="0.25">
      <c r="A1" s="6" t="s">
        <v>48</v>
      </c>
      <c r="B1" s="6" t="s">
        <v>47</v>
      </c>
    </row>
    <row r="2" spans="1:2" x14ac:dyDescent="0.25">
      <c r="A2" s="6" t="s">
        <v>13</v>
      </c>
      <c r="B2" s="1">
        <f>Budget_Table[[#This Row],[Bank_Balance]]</f>
        <v>70000</v>
      </c>
    </row>
    <row r="3" spans="1:2" x14ac:dyDescent="0.25">
      <c r="A3" s="6" t="s">
        <v>53</v>
      </c>
      <c r="B3" s="1">
        <f>'02-Gold_Forecasting'!D67</f>
        <v>280500</v>
      </c>
    </row>
    <row r="4" spans="1:2" x14ac:dyDescent="0.25">
      <c r="A4" s="6" t="s">
        <v>45</v>
      </c>
      <c r="B4" s="1">
        <v>365000</v>
      </c>
    </row>
    <row r="5" spans="1:2" x14ac:dyDescent="0.25">
      <c r="A5" s="6" t="s">
        <v>38</v>
      </c>
      <c r="B5" s="1">
        <f>'02-Gold_Forecasting'!D68</f>
        <v>2420519.3898143223</v>
      </c>
    </row>
    <row r="6" spans="1:2" x14ac:dyDescent="0.25">
      <c r="A6" s="6" t="s">
        <v>46</v>
      </c>
      <c r="B6" s="1">
        <f>B4+B5-B3</f>
        <v>2505019.3898143223</v>
      </c>
    </row>
    <row r="7" spans="1:2" x14ac:dyDescent="0.25">
      <c r="A7" s="6" t="s">
        <v>52</v>
      </c>
      <c r="B7" s="10">
        <f>B6/(B3+B2)</f>
        <v>7.1469882733646859</v>
      </c>
    </row>
  </sheetData>
  <conditionalFormatting sqref="B5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{417135EF-9677-4EE1-A939-972F138A639F}</x14:id>
        </ext>
      </extLst>
    </cfRule>
  </conditionalFormatting>
  <conditionalFormatting sqref="B6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{32E5EF08-F75A-4B58-BF87-914C20F349EB}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7135EF-9677-4EE1-A939-972F138A63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32E5EF08-F75A-4B58-BF87-914C20F349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560C-10F4-40D6-A78C-CE4B8411163F}">
  <dimension ref="A1:B6"/>
  <sheetViews>
    <sheetView zoomScale="70" zoomScaleNormal="70" workbookViewId="0">
      <selection activeCell="B3" sqref="B3"/>
    </sheetView>
  </sheetViews>
  <sheetFormatPr defaultRowHeight="15" x14ac:dyDescent="0.25"/>
  <cols>
    <col min="1" max="1" width="51.42578125" customWidth="1"/>
    <col min="2" max="2" width="41.42578125" customWidth="1"/>
    <col min="3" max="3" width="23.5703125" customWidth="1"/>
  </cols>
  <sheetData>
    <row r="1" spans="1:2" ht="65.25" customHeight="1" x14ac:dyDescent="0.25">
      <c r="A1" s="14" t="str">
        <f xml:space="preserve"> CONCATENATE("We have a vision for ",B1)</f>
        <v>We have a vision for 3 Years</v>
      </c>
      <c r="B1" s="11" t="str">
        <f>'07-Visualization'!A1</f>
        <v>3 Years</v>
      </c>
    </row>
    <row r="2" spans="1:2" ht="81.75" customHeight="1" x14ac:dyDescent="0.25">
      <c r="A2" s="15" t="str">
        <f xml:space="preserve"> CONCATENATE("Our Initial Bank Budget Balance Was ",TEXT('01-Budget'!C2,"0.0"))</f>
        <v>Our Initial Bank Budget Balance Was 70000.0</v>
      </c>
      <c r="B2" s="12">
        <f>'01-Budget'!C2</f>
        <v>70000</v>
      </c>
    </row>
    <row r="3" spans="1:2" ht="55.5" customHeight="1" x14ac:dyDescent="0.25">
      <c r="A3" s="16" t="s">
        <v>256</v>
      </c>
      <c r="B3" s="12" t="str">
        <f>'01-Budget'!B47</f>
        <v>40000,45000</v>
      </c>
    </row>
    <row r="4" spans="1:2" ht="69" customHeight="1" x14ac:dyDescent="0.25">
      <c r="A4" s="15" t="str">
        <f>CONCATENATE("The gold starts with the value ",TEXT('02-Gold_Forecasting'!C2,"0.0")," And expected to be ",TEXT('02-Gold_Forecasting'!C33,"0.0")," By End of the plan")</f>
        <v>The gold starts with the value 990.0 And expected to be 8629.3 By End of the plan</v>
      </c>
      <c r="B4" s="12">
        <f>'02-Gold_Forecasting'!C33</f>
        <v>8629.3026374842157</v>
      </c>
    </row>
    <row r="5" spans="1:2" ht="69" customHeight="1" x14ac:dyDescent="0.25">
      <c r="A5" s="15" t="str">
        <f>CONCATENATE("By End of the plan, 
We Are expecting to have ",TEXT('07-Visualization'!B7,"0.0"), " Growth times")</f>
        <v>By End of the plan, 
We Are expecting to have 7.1 Growth times</v>
      </c>
      <c r="B5" s="13">
        <f>'07-Visualization'!B7</f>
        <v>7.1469882733646859</v>
      </c>
    </row>
    <row r="6" spans="1:2" ht="63.75" customHeight="1" x14ac:dyDescent="0.25">
      <c r="A6" s="15" t="str">
        <f>CONCATENATE("With Final net Profit ",TEXT('07-Visualization'!B6,"0.0"))</f>
        <v>With Final net Profit 2505019.4</v>
      </c>
      <c r="B6" s="12">
        <f>'07-Visualization'!B6</f>
        <v>2505019.3898143223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4E24-20AA-4501-A8E3-25EFF8D9BA78}">
  <dimension ref="A1:C20"/>
  <sheetViews>
    <sheetView workbookViewId="0">
      <selection activeCell="B19" sqref="B19"/>
    </sheetView>
  </sheetViews>
  <sheetFormatPr defaultRowHeight="15" x14ac:dyDescent="0.25"/>
  <cols>
    <col min="1" max="1" width="39.7109375" bestFit="1" customWidth="1"/>
    <col min="2" max="2" width="15.140625" bestFit="1" customWidth="1"/>
    <col min="3" max="3" width="11" bestFit="1" customWidth="1"/>
  </cols>
  <sheetData>
    <row r="1" spans="1:3" x14ac:dyDescent="0.25">
      <c r="A1" s="1" t="s">
        <v>49</v>
      </c>
      <c r="B1" s="1" t="s">
        <v>242</v>
      </c>
      <c r="C1" s="1" t="s">
        <v>243</v>
      </c>
    </row>
    <row r="2" spans="1:3" x14ac:dyDescent="0.25">
      <c r="A2" s="1">
        <v>2016</v>
      </c>
      <c r="B2" s="1">
        <v>1200</v>
      </c>
      <c r="C2" s="1">
        <v>620</v>
      </c>
    </row>
    <row r="3" spans="1:3" x14ac:dyDescent="0.25">
      <c r="A3" s="1">
        <v>2017</v>
      </c>
      <c r="B3" s="1">
        <v>3000</v>
      </c>
      <c r="C3" s="1">
        <v>523</v>
      </c>
    </row>
    <row r="4" spans="1:3" x14ac:dyDescent="0.25">
      <c r="A4" s="1">
        <v>2018</v>
      </c>
      <c r="B4" s="1">
        <v>3300</v>
      </c>
      <c r="C4" s="1">
        <v>490</v>
      </c>
    </row>
    <row r="5" spans="1:3" x14ac:dyDescent="0.25">
      <c r="A5" s="1">
        <v>2019</v>
      </c>
      <c r="B5" s="1">
        <v>6000</v>
      </c>
      <c r="C5" s="1">
        <v>340</v>
      </c>
    </row>
    <row r="6" spans="1:3" x14ac:dyDescent="0.25">
      <c r="A6" s="1">
        <v>2020</v>
      </c>
      <c r="B6" s="1">
        <v>7000</v>
      </c>
      <c r="C6" s="1">
        <v>280</v>
      </c>
    </row>
    <row r="7" spans="1:3" x14ac:dyDescent="0.25">
      <c r="A7" s="1">
        <v>2021</v>
      </c>
      <c r="B7" s="1">
        <v>8000</v>
      </c>
      <c r="C7" s="1">
        <v>270</v>
      </c>
    </row>
    <row r="8" spans="1:3" x14ac:dyDescent="0.25">
      <c r="A8" s="1">
        <v>2022</v>
      </c>
      <c r="B8" s="1">
        <v>8800</v>
      </c>
      <c r="C8" s="1">
        <v>245</v>
      </c>
    </row>
    <row r="9" spans="1:3" x14ac:dyDescent="0.25">
      <c r="A9" s="1">
        <v>2025</v>
      </c>
      <c r="B9" s="1">
        <f>_xlfn.FORECAST.LINEAR(Table6[[#This Row],[Year]],B2:B8,A2:A8)</f>
        <v>13150</v>
      </c>
      <c r="C9" s="1">
        <f>_xlfn.FORECAST.LINEAR(Table6[[#This Row],[Year]],C2:C8,A2:A8)</f>
        <v>0.92857142857974395</v>
      </c>
    </row>
    <row r="11" spans="1:3" ht="23.25" x14ac:dyDescent="0.35">
      <c r="A11" s="23" t="s">
        <v>251</v>
      </c>
      <c r="B11" t="s">
        <v>252</v>
      </c>
    </row>
    <row r="12" spans="1:3" ht="23.25" x14ac:dyDescent="0.35">
      <c r="A12" s="23" t="s">
        <v>244</v>
      </c>
    </row>
    <row r="13" spans="1:3" x14ac:dyDescent="0.25">
      <c r="A13" t="s">
        <v>245</v>
      </c>
      <c r="B13" s="1">
        <f>CORREL(Table6[Year],Table6[Generated])</f>
        <v>0.99298348852617835</v>
      </c>
    </row>
    <row r="14" spans="1:3" x14ac:dyDescent="0.25">
      <c r="A14" t="s">
        <v>246</v>
      </c>
      <c r="B14" s="1">
        <f>CORREL(Table6[Usage],Table6[Generated])</f>
        <v>-0.9952086714695596</v>
      </c>
    </row>
    <row r="15" spans="1:3" x14ac:dyDescent="0.25">
      <c r="A15" t="s">
        <v>247</v>
      </c>
      <c r="B15" s="24">
        <f>(B9-B8)/B8</f>
        <v>0.49431818181818182</v>
      </c>
    </row>
    <row r="16" spans="1:3" x14ac:dyDescent="0.25">
      <c r="A16" t="s">
        <v>248</v>
      </c>
      <c r="B16" s="1">
        <f>C9</f>
        <v>0.92857142857974395</v>
      </c>
    </row>
    <row r="19" spans="1:2" ht="23.25" x14ac:dyDescent="0.35">
      <c r="A19" s="23" t="s">
        <v>249</v>
      </c>
      <c r="B19" t="s">
        <v>253</v>
      </c>
    </row>
    <row r="20" spans="1:2" x14ac:dyDescent="0.25">
      <c r="B20" t="s">
        <v>250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01-Budget</vt:lpstr>
      <vt:lpstr>02-Gold_Forecasting</vt:lpstr>
      <vt:lpstr>03-Questioning_Phase</vt:lpstr>
      <vt:lpstr>04-RaceSheet</vt:lpstr>
      <vt:lpstr>05-Data_Summarization</vt:lpstr>
      <vt:lpstr>06-Measurements</vt:lpstr>
      <vt:lpstr>07-Visualization</vt:lpstr>
      <vt:lpstr>08-Story_Telling</vt:lpstr>
      <vt:lpstr>QRODES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Yousif Ennwa</dc:creator>
  <cp:lastModifiedBy>Yousif Ennwa</cp:lastModifiedBy>
  <dcterms:created xsi:type="dcterms:W3CDTF">2022-03-08T23:23:41Z</dcterms:created>
  <dcterms:modified xsi:type="dcterms:W3CDTF">2022-04-05T14:46:22Z</dcterms:modified>
</cp:coreProperties>
</file>