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FECB7D04-620F-40C2-9F22-AF88BB22CE62}" xr6:coauthVersionLast="47" xr6:coauthVersionMax="47" xr10:uidLastSave="{00000000-0000-0000-0000-000000000000}"/>
  <bookViews>
    <workbookView xWindow="-120" yWindow="-120" windowWidth="20730" windowHeight="11310" firstSheet="5" activeTab="9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Visualization" sheetId="3" r:id="rId7"/>
    <sheet name="08-Story_Telling" sheetId="8" r:id="rId8"/>
    <sheet name="QRODES" sheetId="13" r:id="rId9"/>
    <sheet name="QRDATASOURCE" sheetId="14" r:id="rId10"/>
  </sheets>
  <definedNames>
    <definedName name="_xlchart.v1.0" hidden="1">'01-Budget'!$D$1</definedName>
    <definedName name="_xlchart.v1.1" hidden="1">'01-Budget'!$D$2:$D$37</definedName>
    <definedName name="_xlchart.v1.2" hidden="1">'01-Budget'!$C$1</definedName>
    <definedName name="_xlchart.v1.3" hidden="1">'01-Budget'!$C$2:$C$38</definedName>
    <definedName name="_xlchart.v1.4" hidden="1">'01-Budget'!$A$2:$A$38</definedName>
    <definedName name="_xlchart.v1.5" hidden="1">'01-Budget'!$D$1</definedName>
    <definedName name="_xlchart.v1.6" hidden="1">'01-Budget'!$D$2:$D$38</definedName>
    <definedName name="_xlchart.v1.7" hidden="1">'01-Budget'!$C$1</definedName>
    <definedName name="_xlchart.v1.8" hidden="1">'01-Budget'!$C$2:$C$37</definedName>
  </definedNames>
  <calcPr calcId="181029"/>
  <pivotCaches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4" l="1"/>
  <c r="B9" i="14"/>
  <c r="B3" i="8"/>
  <c r="C8" i="11"/>
  <c r="B47" i="1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D5" i="11" l="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<sst xmlns="http://schemas.openxmlformats.org/spreadsheetml/2006/main" count="389" uniqueCount="257">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</sst>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9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6"/>
                <c:pt idx="0">
                  <c:v>أغسطس 23</c:v>
                </c:pt>
                <c:pt idx="1">
                  <c:v>إبريل 24</c:v>
                </c:pt>
                <c:pt idx="2">
                  <c:v>مايو 24</c:v>
                </c:pt>
                <c:pt idx="3">
                  <c:v>يونيو 24</c:v>
                </c:pt>
                <c:pt idx="4">
                  <c:v>يوليو 24</c:v>
                </c:pt>
                <c:pt idx="5">
                  <c:v>أغسطس 24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6"/>
                <c:pt idx="0">
                  <c:v>112600</c:v>
                </c:pt>
                <c:pt idx="1">
                  <c:v>117700</c:v>
                </c:pt>
                <c:pt idx="2">
                  <c:v>114850</c:v>
                </c:pt>
                <c:pt idx="3">
                  <c:v>136500</c:v>
                </c:pt>
                <c:pt idx="4">
                  <c:v>138150</c:v>
                </c:pt>
                <c:pt idx="5">
                  <c:v>151800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2024</c:v>
                </c:pt>
                <c:pt idx="3">
                  <c:v>2024</c:v>
                </c:pt>
                <c:pt idx="4">
                  <c:v>2024</c:v>
                </c:pt>
                <c:pt idx="5">
                  <c:v>2024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6"/>
                <c:pt idx="0">
                  <c:v>68550</c:v>
                </c:pt>
                <c:pt idx="1">
                  <c:v>114850</c:v>
                </c:pt>
                <c:pt idx="2">
                  <c:v>136500</c:v>
                </c:pt>
                <c:pt idx="3">
                  <c:v>138150</c:v>
                </c:pt>
                <c:pt idx="4">
                  <c:v>151800</c:v>
                </c:pt>
                <c:pt idx="5">
                  <c:v>107750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_xlchart.v1.2</cx:f>
              <cx:v>Bank_Balance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_xlchart.v1.7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Revenue 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Heatmap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_xlchart.v1.5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_xlchart.v1.0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171449</xdr:rowOff>
    </xdr:from>
    <xdr:to>
      <xdr:col>2</xdr:col>
      <xdr:colOff>228599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2076449"/>
              <a:ext cx="2314575" cy="2381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10</xdr:row>
      <xdr:rowOff>171450</xdr:rowOff>
    </xdr:from>
    <xdr:to>
      <xdr:col>13</xdr:col>
      <xdr:colOff>19049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076450"/>
              <a:ext cx="3152774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238124</xdr:colOff>
      <xdr:row>10</xdr:row>
      <xdr:rowOff>142874</xdr:rowOff>
    </xdr:from>
    <xdr:to>
      <xdr:col>18</xdr:col>
      <xdr:colOff>352425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161925</xdr:rowOff>
    </xdr:from>
    <xdr:to>
      <xdr:col>1</xdr:col>
      <xdr:colOff>952499</xdr:colOff>
      <xdr:row>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24</xdr:row>
      <xdr:rowOff>9524</xdr:rowOff>
    </xdr:from>
    <xdr:to>
      <xdr:col>7</xdr:col>
      <xdr:colOff>409575</xdr:colOff>
      <xdr:row>38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24</xdr:row>
      <xdr:rowOff>0</xdr:rowOff>
    </xdr:from>
    <xdr:to>
      <xdr:col>16</xdr:col>
      <xdr:colOff>133350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4572000"/>
              <a:ext cx="51625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39</xdr:row>
      <xdr:rowOff>28575</xdr:rowOff>
    </xdr:from>
    <xdr:to>
      <xdr:col>3</xdr:col>
      <xdr:colOff>95250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314325</xdr:colOff>
      <xdr:row>10</xdr:row>
      <xdr:rowOff>171450</xdr:rowOff>
    </xdr:from>
    <xdr:to>
      <xdr:col>7</xdr:col>
      <xdr:colOff>466725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076450"/>
              <a:ext cx="32004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397538</xdr:colOff>
      <xdr:row>39</xdr:row>
      <xdr:rowOff>76199</xdr:rowOff>
    </xdr:from>
    <xdr:to>
      <xdr:col>10</xdr:col>
      <xdr:colOff>124928</xdr:colOff>
      <xdr:row>54</xdr:row>
      <xdr:rowOff>29350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38" y="7505699"/>
          <a:ext cx="3994590" cy="2810651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40</xdr:row>
      <xdr:rowOff>0</xdr:rowOff>
    </xdr:from>
    <xdr:to>
      <xdr:col>16</xdr:col>
      <xdr:colOff>95250</xdr:colOff>
      <xdr:row>52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87" dataDxfId="86">
  <autoFilter ref="A1:W37" xr:uid="{3312BD19-C58D-44C9-9081-35E47D6BEE91}">
    <filterColumn colId="3">
      <filters>
        <filter val="40000"/>
      </filters>
    </filterColumn>
  </autoFilter>
  <tableColumns count="23">
    <tableColumn id="24" xr3:uid="{F923AF45-9D46-4D18-B925-38B8BEB86059}" name="Year" dataDxfId="85" totalsRowDxfId="84"/>
    <tableColumn id="1" xr3:uid="{8EBBE7C2-C046-4B4A-B640-ED5DBC962B6F}" name="Month" totalsRowFunction="count" dataDxfId="83" totalsRowDxfId="82"/>
    <tableColumn id="2" xr3:uid="{8A63691D-8589-42E7-A686-3BD5BB74A8B1}" name="Bank_Balance" totalsRowFunction="max" dataDxfId="81" totalsRowDxfId="80"/>
    <tableColumn id="5" xr3:uid="{1203E385-0896-49BE-86F3-C5477688602A}" name="Revenue" totalsRowFunction="average" dataDxfId="79" totalsRowDxfId="78"/>
    <tableColumn id="16" xr3:uid="{508C90CE-22D3-4800-8230-DA9F8D2CA19B}" name="Bonus" totalsRowFunction="average" dataDxfId="77" totalsRowDxfId="76">
      <calculatedColumnFormula>IF(Budget_Table[[#This Row],[Revenue]]&gt;39999,Budget_Table[[#This Row],[Revenue]]*-0.01,0)</calculatedColumnFormula>
    </tableColumn>
    <tableColumn id="14" xr3:uid="{73A5A091-CE88-421D-B76E-51199219B2B8}" name="Gammiat" dataDxfId="75" totalsRowDxfId="74"/>
    <tableColumn id="23" xr3:uid="{8B037BAA-9974-45EB-87C6-912132963841}" name="ZAKAT" dataDxfId="73" totalsRowDxfId="72"/>
    <tableColumn id="3" xr3:uid="{4268231F-3502-48F5-9ECC-1EF1B54B200D}" name="Salaries" totalsRowFunction="sum" dataDxfId="71" totalsRowDxfId="70"/>
    <tableColumn id="4" xr3:uid="{B4D2DED4-25E4-4438-BCAA-3CAEBD7F2E68}" name="Maint" totalsRowFunction="sum" dataDxfId="69" totalsRowDxfId="68"/>
    <tableColumn id="6" xr3:uid="{66310BEE-AE75-45F0-B222-7003746C065A}" name="Stock" totalsRowFunction="sum" dataDxfId="67" totalsRowDxfId="66"/>
    <tableColumn id="7" xr3:uid="{0D7FFC00-3FC9-484D-A5E1-85ECA7D816E7}" name="Home_Expenses" totalsRowFunction="sum" dataDxfId="65" totalsRowDxfId="64"/>
    <tableColumn id="19" xr3:uid="{D0F0DF57-5B43-4740-831F-228734FC7DE7}" name="Cleanind" dataDxfId="63" totalsRowDxfId="62"/>
    <tableColumn id="18" xr3:uid="{036C41B7-0FB1-43D6-9089-3A790919B056}" name="Medicines" dataDxfId="61" totalsRowDxfId="60"/>
    <tableColumn id="22" xr3:uid="{6F9E872C-9774-4953-B865-B1AAEEDC7EBB}" name="Club" dataDxfId="59" totalsRowDxfId="58"/>
    <tableColumn id="17" xr3:uid="{ED175497-748B-40EC-B0AF-DE5405F441D1}" name="Cloths" totalsRowFunction="average" dataDxfId="57" totalsRowDxfId="56">
      <calculatedColumnFormula>-1500*3</calculatedColumnFormula>
    </tableColumn>
    <tableColumn id="12" xr3:uid="{257E32F4-CFAD-49C5-A482-67A4E94CC271}" name="Schools" totalsRowFunction="sum" dataDxfId="55" totalsRowDxfId="54"/>
    <tableColumn id="13" xr3:uid="{406538B9-50A6-4920-BC9A-8CFF81111415}" name="Education" totalsRowFunction="sum" dataDxfId="53" totalsRowDxfId="52"/>
    <tableColumn id="15" xr3:uid="{96F05650-A0B8-48FD-9FF2-0CF2D042920F}" name="Internet" totalsRowFunction="sum" dataDxfId="51" totalsRowDxfId="50"/>
    <tableColumn id="8" xr3:uid="{95C77D14-0A76-4D03-A378-9A2F9589D3A9}" name="Electric" totalsRowFunction="sum" dataDxfId="49" totalsRowDxfId="48"/>
    <tableColumn id="9" xr3:uid="{8B1308FF-6556-45E1-B5DF-82DBE6BD17DD}" name="Gas" totalsRowFunction="sum" dataDxfId="47" totalsRowDxfId="46"/>
    <tableColumn id="21" xr3:uid="{8C97B4B6-F32B-4BEB-96DE-ABF8666A8064}" name="Add_Expenses" dataDxfId="45" totalsRowDxfId="44"/>
    <tableColumn id="10" xr3:uid="{3232CB77-E33A-4499-B61C-DE4C55BD1427}" name="Fuel" totalsRowFunction="sum" dataDxfId="43" totalsRowDxfId="42"/>
    <tableColumn id="11" xr3:uid="{49E26DD5-7DCC-4DE2-9A44-D49E5EA1A831}" name="Balance" totalsRowFunction="max" dataDxfId="41" totalsRowDxfId="40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38" dataDxfId="37">
  <autoFilter ref="A1:D65" xr:uid="{C3265939-9DDE-49D0-B16D-992584708B59}"/>
  <tableColumns count="4">
    <tableColumn id="1" xr3:uid="{C1615512-B305-443E-B90D-B937DDC12AAD}" name="Date" dataDxfId="36"/>
    <tableColumn id="4" xr3:uid="{CD51677C-1FFD-4666-8219-66C9FA06991E}" name="Item" dataDxfId="35"/>
    <tableColumn id="2" xr3:uid="{0763EF00-2B55-43F7-ABF4-D1736C803D76}" name="Item_Val" dataDxfId="34"/>
    <tableColumn id="3" xr3:uid="{48268654-5DAF-481F-8F79-BFA62E4DE8CF}" name="Growth" dataDxfId="33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31" dataDxfId="30">
  <autoFilter ref="A1:F14" xr:uid="{295D201E-D7C4-4A70-B04C-58DAFE9F33CA}"/>
  <tableColumns count="6">
    <tableColumn id="1" xr3:uid="{2BB46849-9F9D-4DF6-A2B9-97B67F7EBBCE}" name="Attribute" dataDxfId="29"/>
    <tableColumn id="5" xr3:uid="{D3B47D54-C984-4A64-81BD-BFB3E291E849}" name="Object" dataDxfId="28"/>
    <tableColumn id="4" xr3:uid="{C0CFD872-AE2C-4A70-ADCE-553B5A5141BA}" name="Attribute_Desc" dataDxfId="27"/>
    <tableColumn id="2" xr3:uid="{0414412C-1674-4CB5-BC78-E617BCDAADBC}" name="Question" dataDxfId="26"/>
    <tableColumn id="6" xr3:uid="{7E7A64D1-692D-49BD-B53A-18EFBB427A10}" name="Answer Approach" dataDxfId="25"/>
    <tableColumn id="3" xr3:uid="{A422447F-2544-4757-8822-5241B7C0C8B4}" name="Type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23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21" dataDxfId="20">
  <autoFilter ref="A1:E36" xr:uid="{08D949C8-7183-46B8-B8DE-C8500CEA663F}"/>
  <tableColumns count="5">
    <tableColumn id="1" xr3:uid="{3DE165E8-C653-49B1-B9FF-7DF40D0C7678}" name="Measurements Types" totalsRowLabel="Count" dataDxfId="19" totalsRowDxfId="18"/>
    <tableColumn id="2" xr3:uid="{24E7BC82-A5E3-4B02-AB56-BCA40829095C}" name="Measurement" totalsRowFunction="count" dataDxfId="17" totalsRowDxfId="16"/>
    <tableColumn id="3" xr3:uid="{43D487C5-6DD1-4CBA-8692-C9C781D0BAA9}" name="Value" totalsRowFunction="count" dataDxfId="15" totalsRowDxfId="14"/>
    <tableColumn id="4" xr3:uid="{E4F9C1FF-E028-4100-B23F-AD155885FE70}" name="Description" totalsRowFunction="count" dataDxfId="13" totalsRowDxfId="12"/>
    <tableColumn id="5" xr3:uid="{15DB07C0-D3A2-4E9F-8472-87FB97F1E68B}" name="Why We need It" totalsRowFunction="count" dataDxfId="11" totalsRow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9" dataDxfId="8">
  <autoFilter ref="A1:C9" xr:uid="{AE0EDD48-DF6B-42AE-AC77-8C772E5BA9E5}"/>
  <tableColumns count="3">
    <tableColumn id="1" xr3:uid="{F09306D3-A1F2-41E1-86DC-67EDFBC18722}" name="Year" dataDxfId="7"/>
    <tableColumn id="2" xr3:uid="{2BC120C4-42A7-4B5F-B780-E61305548892}" name="Generated" dataDxfId="6"/>
    <tableColumn id="3" xr3:uid="{E28AE0CD-4C45-4B53-BFFA-03DDE4A9CBD4}" name="Usage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4" dataDxfId="3">
  <autoFilter ref="A1:C9" xr:uid="{77E360E5-2067-40BC-B7A3-06095CBD22CF}"/>
  <tableColumns count="3">
    <tableColumn id="1" xr3:uid="{0323F7C7-1DB8-4F54-8866-477BCC7ACE27}" name="Year" dataDxfId="2"/>
    <tableColumn id="2" xr3:uid="{1D0671B4-9EF9-4F75-8B21-941CC74796EE}" name="Generated" dataDxfId="1"/>
    <tableColumn id="3" xr3:uid="{B9BDCF29-410A-480C-B445-F5D7C354BB0F}" name="U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workbookViewId="0">
      <selection activeCell="B46" sqref="B46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hidden="1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hidden="1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hidden="1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hidden="1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hidden="1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hidden="1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hidden="1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hidden="1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hidden="1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hidden="1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hidden="1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hidden="1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hidden="1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hidden="1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hidden="1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hidden="1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hidden="1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hidden="1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hidden="1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hidden="1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hidden="1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hidden="1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hidden="1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hidden="1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hidden="1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hidden="1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hidden="1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hidden="1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hidden="1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hidden="1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6</v>
      </c>
      <c r="C38" s="1">
        <f>SUBTOTAL(104,Budget_Table[Bank_Balance])</f>
        <v>151800</v>
      </c>
      <c r="D38" s="1">
        <f>SUBTOTAL(101,Budget_Table[Revenue])</f>
        <v>40000</v>
      </c>
      <c r="E38" s="1">
        <f>SUBTOTAL(101,Budget_Table[Bonus])</f>
        <v>-400</v>
      </c>
      <c r="F38" s="1"/>
      <c r="G38" s="1"/>
      <c r="H38" s="1">
        <f>SUBTOTAL(109,Budget_Table[Salaries])</f>
        <v>-27000</v>
      </c>
      <c r="I38" s="1">
        <f>SUBTOTAL(109,Budget_Table[Maint])</f>
        <v>-1200</v>
      </c>
      <c r="J38" s="1">
        <f>SUBTOTAL(109,Budget_Table[Stock])</f>
        <v>-160000</v>
      </c>
      <c r="K38" s="1">
        <f>SUBTOTAL(109,Budget_Table[Home_Expenses])</f>
        <v>-60000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0</v>
      </c>
      <c r="Q38" s="1">
        <f>SUBTOTAL(109,Budget_Table[Education])</f>
        <v>0</v>
      </c>
      <c r="R38" s="1">
        <f>SUBTOTAL(109,Budget_Table[Internet])</f>
        <v>-3000</v>
      </c>
      <c r="S38" s="1">
        <f>SUBTOTAL(109,Budget_Table[Electric])</f>
        <v>-6000</v>
      </c>
      <c r="T38" s="1">
        <f>SUBTOTAL(109,Budget_Table[Gas])</f>
        <v>-600</v>
      </c>
      <c r="U38" s="1"/>
      <c r="V38" s="1">
        <f>SUBTOTAL(109,Budget_Table[Fuel])</f>
        <v>-4500</v>
      </c>
      <c r="W38" s="1">
        <f>SUBTOTAL(104,Budget_Table[Balance])</f>
        <v>151800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91" priority="11" operator="lessThan">
      <formula>0</formula>
    </cfRule>
  </conditionalFormatting>
  <conditionalFormatting sqref="W2:W37">
    <cfRule type="top10" dxfId="90" priority="12" percent="1" bottom="1" rank="10"/>
    <cfRule type="top10" dxfId="89" priority="13" percent="1" rank="10"/>
  </conditionalFormatting>
  <conditionalFormatting sqref="C2:C38">
    <cfRule type="cellIs" dxfId="88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topLeftCell="A31" workbookViewId="0">
      <selection activeCell="C32" sqref="C32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39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32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topLeftCell="A12" zoomScale="85" zoomScaleNormal="85" workbookViewId="0">
      <selection sqref="A1:D37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27657.785980077148</v>
      </c>
      <c r="D32" s="1">
        <f>Budget_Table[[#Totals],[Revenue]]+_xlfn.STDEV.P(Budget_Table[Revenue])</f>
        <v>52342.214019922852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15315.571960154295</v>
      </c>
      <c r="D33" s="1">
        <f>Budget_Table[[#Totals],[Revenue]]+2*_xlfn.STDEV.P(Budget_Table[Revenue])</f>
        <v>64684.428039845705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2973.3579402314426</v>
      </c>
      <c r="D34" s="1">
        <f>Budget_Table[[#Totals],[Revenue]]+3*_xlfn.STDEV.P(Budget_Table[Revenue])</f>
        <v>77026.64205976855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22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7"/>
  <sheetViews>
    <sheetView topLeftCell="A37" workbookViewId="0">
      <selection activeCell="L41" sqref="L4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s="6" t="s">
        <v>48</v>
      </c>
      <c r="B1" s="6" t="s">
        <v>47</v>
      </c>
    </row>
    <row r="2" spans="1:2" x14ac:dyDescent="0.25">
      <c r="A2" s="6" t="s">
        <v>13</v>
      </c>
      <c r="B2" s="1">
        <f>Budget_Table[[#This Row],[Bank_Balance]]</f>
        <v>70000</v>
      </c>
    </row>
    <row r="3" spans="1:2" x14ac:dyDescent="0.25">
      <c r="A3" s="6" t="s">
        <v>53</v>
      </c>
      <c r="B3" s="1">
        <f>'02-Gold_Forecasting'!D67</f>
        <v>280500</v>
      </c>
    </row>
    <row r="4" spans="1:2" x14ac:dyDescent="0.25">
      <c r="A4" s="6" t="s">
        <v>45</v>
      </c>
      <c r="B4" s="1">
        <v>365000</v>
      </c>
    </row>
    <row r="5" spans="1:2" x14ac:dyDescent="0.25">
      <c r="A5" s="6" t="s">
        <v>38</v>
      </c>
      <c r="B5" s="1">
        <f>'02-Gold_Forecasting'!D68</f>
        <v>2420519.3898143223</v>
      </c>
    </row>
    <row r="6" spans="1:2" x14ac:dyDescent="0.25">
      <c r="A6" s="6" t="s">
        <v>46</v>
      </c>
      <c r="B6" s="1">
        <f>B4+B5-B3</f>
        <v>2505019.3898143223</v>
      </c>
    </row>
    <row r="7" spans="1:2" x14ac:dyDescent="0.25">
      <c r="A7" s="6" t="s">
        <v>52</v>
      </c>
      <c r="B7" s="10">
        <f>B6/(B3+B2)</f>
        <v>7.1469882733646859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2022-04-17T02:12:30Z</dcterms:modified>
</cp:coreProperties>
</file>